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autoCompressPictures="0"/>
  <mc:AlternateContent xmlns:mc="http://schemas.openxmlformats.org/markup-compatibility/2006">
    <mc:Choice Requires="x15">
      <x15ac:absPath xmlns:x15ac="http://schemas.microsoft.com/office/spreadsheetml/2010/11/ac" url="C:\Dropbox\Dpt R3S\PHARMACIE\2. Strat. Intervention Solthis\. Renf Capacités\B. MeO\1. Matériel\a. Outils quanti\1.QuantiARV 1-5 ans\"/>
    </mc:Choice>
  </mc:AlternateContent>
  <bookViews>
    <workbookView xWindow="-15" yWindow="-15" windowWidth="9720" windowHeight="7470" tabRatio="846"/>
  </bookViews>
  <sheets>
    <sheet name="Presentation" sheetId="12" r:id="rId1"/>
    <sheet name="TRAD-Presentation" sheetId="39" state="hidden" r:id="rId2"/>
    <sheet name="General Data" sheetId="38" r:id="rId3"/>
    <sheet name="TRAD-General Data" sheetId="40" state="hidden" r:id="rId4"/>
    <sheet name="Data &amp; hypothesis Adults" sheetId="13" r:id="rId5"/>
    <sheet name="2nd line switch data" sheetId="56" state="hidden" r:id="rId6"/>
    <sheet name="TRAD-Data &amp; hypothesis Adults" sheetId="41" state="hidden" r:id="rId7"/>
    <sheet name="Adults YEAR1" sheetId="2" state="hidden" r:id="rId8"/>
    <sheet name="TRAD-Adults YEAR(1)" sheetId="42" state="hidden" r:id="rId9"/>
    <sheet name="TRAD-Adults YEAR (2)" sheetId="43" state="hidden" r:id="rId10"/>
    <sheet name="Adults YEAR2" sheetId="34" state="hidden" r:id="rId11"/>
    <sheet name="Adults YEAR3" sheetId="35" state="hidden" r:id="rId12"/>
    <sheet name="Adults YEAR4" sheetId="36" state="hidden" r:id="rId13"/>
    <sheet name="Adults YEAR5" sheetId="37" state="hidden" r:id="rId14"/>
    <sheet name="Data &amp; hypothesis Children" sheetId="16" r:id="rId15"/>
    <sheet name="TRAD-Data &amp; hypothesis Children" sheetId="52" state="hidden" r:id="rId16"/>
    <sheet name="Available Stocks" sheetId="29" r:id="rId17"/>
    <sheet name="TRAD-Available Stocks" sheetId="47" state="hidden" r:id="rId18"/>
    <sheet name="TRAD-Synthesis Adults" sheetId="49" state="hidden" r:id="rId19"/>
    <sheet name="Children YEAR1" sheetId="3" state="hidden" r:id="rId20"/>
    <sheet name="TRAD-Children YEAR(1)" sheetId="50" state="hidden" r:id="rId21"/>
    <sheet name="TRAD-Children YEAR(2)" sheetId="51" state="hidden" r:id="rId22"/>
    <sheet name="Children YEAR2" sheetId="30" state="hidden" r:id="rId23"/>
    <sheet name="Children YEAR3" sheetId="31" state="hidden" r:id="rId24"/>
    <sheet name="Children YEAR4" sheetId="32" state="hidden" r:id="rId25"/>
    <sheet name="Children YEAR5" sheetId="33" state="hidden" r:id="rId26"/>
    <sheet name="TRAD-Synthesis Children" sheetId="53" state="hidden" r:id="rId27"/>
    <sheet name="Synthesis Adults" sheetId="10" r:id="rId28"/>
    <sheet name="Synthesis Children" sheetId="17" r:id="rId29"/>
    <sheet name="Global Synthesis" sheetId="26" r:id="rId30"/>
    <sheet name="TRAD-Global Synthesis" sheetId="54" state="hidden" r:id="rId31"/>
    <sheet name="Prices 10-2011 GPRM" sheetId="5" state="hidden" r:id="rId32"/>
    <sheet name="Prix VPP 102012 convert" sheetId="55" r:id="rId33"/>
    <sheet name="TRAD-Prices 10-2011 GPRM" sheetId="48" state="hidden" r:id="rId34"/>
  </sheets>
  <definedNames>
    <definedName name="_xlnm.Print_Titles" localSheetId="29">'Global Synthesis'!$B:$G</definedName>
    <definedName name="_xlnm.Print_Area" localSheetId="16">'Available Stocks'!$A$1:$L$67</definedName>
    <definedName name="_xlnm.Print_Area" localSheetId="4">'Data &amp; hypothesis Adults'!$A$1:$M$190</definedName>
    <definedName name="_xlnm.Print_Area" localSheetId="29">'Global Synthesis'!$A$1:$AG$68</definedName>
  </definedNames>
  <calcPr calcId="152511"/>
  <extLst>
    <ext xmlns:mx="http://schemas.microsoft.com/office/mac/excel/2008/main" uri="{7523E5D3-25F3-A5E0-1632-64F254C22452}">
      <mx:ArchID Flags="2"/>
    </ext>
  </extLst>
</workbook>
</file>

<file path=xl/calcChain.xml><?xml version="1.0" encoding="utf-8"?>
<calcChain xmlns="http://schemas.openxmlformats.org/spreadsheetml/2006/main">
  <c r="H159" i="37" l="1"/>
  <c r="F159" i="37"/>
  <c r="D159" i="37"/>
  <c r="G159" i="36"/>
  <c r="H159" i="36"/>
  <c r="F159" i="36"/>
  <c r="D159" i="36"/>
  <c r="H159" i="35"/>
  <c r="F159" i="35"/>
  <c r="D159" i="35"/>
  <c r="G159" i="34"/>
  <c r="H159" i="34"/>
  <c r="F159" i="34"/>
  <c r="D159" i="34"/>
  <c r="D159" i="2"/>
  <c r="H159" i="2"/>
  <c r="G159" i="2"/>
  <c r="F159" i="2"/>
  <c r="B45" i="41"/>
  <c r="C101" i="13" s="1"/>
  <c r="G136" i="13"/>
  <c r="F136" i="13"/>
  <c r="G135" i="13"/>
  <c r="F135" i="13"/>
  <c r="G134" i="13"/>
  <c r="F134" i="13"/>
  <c r="G133" i="13"/>
  <c r="F133" i="13"/>
  <c r="F76" i="13"/>
  <c r="E76" i="13"/>
  <c r="F75" i="13"/>
  <c r="E75" i="13"/>
  <c r="F74" i="13"/>
  <c r="E74" i="13"/>
  <c r="F73" i="13"/>
  <c r="E73" i="13"/>
  <c r="C54" i="34"/>
  <c r="C55" i="34"/>
  <c r="C56" i="34"/>
  <c r="C57" i="34"/>
  <c r="C58" i="34"/>
  <c r="C59" i="34"/>
  <c r="C60" i="34"/>
  <c r="C61" i="34"/>
  <c r="C62" i="34"/>
  <c r="C54" i="35"/>
  <c r="C55" i="35"/>
  <c r="C56" i="35"/>
  <c r="C57" i="35"/>
  <c r="C58" i="35"/>
  <c r="C59" i="35"/>
  <c r="C60" i="35"/>
  <c r="C61" i="35"/>
  <c r="C62" i="35"/>
  <c r="C54" i="36"/>
  <c r="C55" i="36"/>
  <c r="C56" i="36"/>
  <c r="C57" i="36"/>
  <c r="C58" i="36"/>
  <c r="C59" i="36"/>
  <c r="C60" i="36"/>
  <c r="C61" i="36"/>
  <c r="C62" i="36"/>
  <c r="C54" i="37"/>
  <c r="C55" i="37"/>
  <c r="C56" i="37"/>
  <c r="C57" i="37"/>
  <c r="C58" i="37"/>
  <c r="C59" i="37"/>
  <c r="C60" i="37"/>
  <c r="C61" i="37"/>
  <c r="C62" i="37"/>
  <c r="C54" i="2"/>
  <c r="C55" i="2"/>
  <c r="C56" i="2"/>
  <c r="C57" i="2"/>
  <c r="C58" i="2"/>
  <c r="C59" i="2"/>
  <c r="C60" i="2"/>
  <c r="C61" i="2"/>
  <c r="C62" i="2"/>
  <c r="C53" i="34"/>
  <c r="C53" i="35"/>
  <c r="C53" i="36"/>
  <c r="C53" i="37"/>
  <c r="C53" i="2"/>
  <c r="C40" i="2"/>
  <c r="C41" i="2"/>
  <c r="C42" i="2"/>
  <c r="C43" i="2"/>
  <c r="C44" i="2"/>
  <c r="C45" i="2"/>
  <c r="C46" i="2"/>
  <c r="C47" i="2"/>
  <c r="C48" i="2"/>
  <c r="C40" i="34"/>
  <c r="C41" i="34"/>
  <c r="C42" i="34"/>
  <c r="C43" i="34"/>
  <c r="C44" i="34"/>
  <c r="C45" i="34"/>
  <c r="C46" i="34"/>
  <c r="C47" i="34"/>
  <c r="C48" i="34"/>
  <c r="C40" i="35"/>
  <c r="C41" i="35"/>
  <c r="C42" i="35"/>
  <c r="C43" i="35"/>
  <c r="C44" i="35"/>
  <c r="C45" i="35"/>
  <c r="C46" i="35"/>
  <c r="C47" i="35"/>
  <c r="C48" i="35"/>
  <c r="C40" i="36"/>
  <c r="C41" i="36"/>
  <c r="C42" i="36"/>
  <c r="C43" i="36"/>
  <c r="C44" i="36"/>
  <c r="C45" i="36"/>
  <c r="C46" i="36"/>
  <c r="C47" i="36"/>
  <c r="C48" i="36"/>
  <c r="C40" i="37"/>
  <c r="C41" i="37"/>
  <c r="C42" i="37"/>
  <c r="C43" i="37"/>
  <c r="C44" i="37"/>
  <c r="C45" i="37"/>
  <c r="C46" i="37"/>
  <c r="C47" i="37"/>
  <c r="C48" i="37"/>
  <c r="C39" i="2"/>
  <c r="C39" i="34"/>
  <c r="C39" i="35"/>
  <c r="C39" i="36"/>
  <c r="C39" i="37"/>
  <c r="D47" i="2"/>
  <c r="D48" i="2"/>
  <c r="D47" i="34"/>
  <c r="D48" i="34"/>
  <c r="D47" i="35"/>
  <c r="D48" i="35"/>
  <c r="D47" i="36"/>
  <c r="D48" i="36"/>
  <c r="D47" i="37"/>
  <c r="D48" i="37"/>
  <c r="E28" i="13" l="1"/>
  <c r="B99" i="52"/>
  <c r="B90" i="16" s="1"/>
  <c r="B98" i="52"/>
  <c r="B88" i="16" s="1"/>
  <c r="H14" i="17"/>
  <c r="I14" i="17"/>
  <c r="J14" i="17"/>
  <c r="K14" i="17"/>
  <c r="L14" i="17"/>
  <c r="M14" i="17"/>
  <c r="N14" i="17"/>
  <c r="O14" i="17"/>
  <c r="H15" i="17"/>
  <c r="I15" i="17"/>
  <c r="J15" i="17"/>
  <c r="K15" i="17"/>
  <c r="L15" i="17"/>
  <c r="M15" i="17"/>
  <c r="N15" i="17"/>
  <c r="O15" i="17"/>
  <c r="H16" i="17"/>
  <c r="I16" i="17"/>
  <c r="J16" i="17"/>
  <c r="K16" i="17"/>
  <c r="L16" i="17"/>
  <c r="M16" i="17"/>
  <c r="N16" i="17"/>
  <c r="O16" i="17"/>
  <c r="Q109" i="55"/>
  <c r="R109" i="55"/>
  <c r="S109" i="55"/>
  <c r="Q33" i="55"/>
  <c r="R33" i="55"/>
  <c r="S33" i="55"/>
  <c r="Q34" i="55"/>
  <c r="R34" i="55"/>
  <c r="S34" i="55"/>
  <c r="Q35" i="55"/>
  <c r="R35" i="55"/>
  <c r="S35" i="55"/>
  <c r="Q36" i="55"/>
  <c r="R36" i="55"/>
  <c r="S36" i="55"/>
  <c r="Q37" i="55"/>
  <c r="R37" i="55"/>
  <c r="S37" i="55"/>
  <c r="Q38" i="55"/>
  <c r="R38" i="55"/>
  <c r="S38" i="55"/>
  <c r="Q39" i="55"/>
  <c r="R39" i="55"/>
  <c r="S39" i="55"/>
  <c r="Q40" i="55"/>
  <c r="R40" i="55"/>
  <c r="S40" i="55"/>
  <c r="Q41" i="55"/>
  <c r="R41" i="55"/>
  <c r="S41" i="55"/>
  <c r="Q42" i="55"/>
  <c r="R42" i="55"/>
  <c r="S42" i="55"/>
  <c r="Q43" i="55"/>
  <c r="R43" i="55"/>
  <c r="S43" i="55"/>
  <c r="Q44" i="55"/>
  <c r="R44" i="55"/>
  <c r="S44" i="55"/>
  <c r="Q45" i="55"/>
  <c r="R45" i="55"/>
  <c r="S45" i="55"/>
  <c r="Q46" i="55"/>
  <c r="R46" i="55"/>
  <c r="S46" i="55"/>
  <c r="Q47" i="55"/>
  <c r="R47" i="55"/>
  <c r="S47" i="55"/>
  <c r="Q48" i="55"/>
  <c r="R48" i="55"/>
  <c r="S48" i="55"/>
  <c r="Q49" i="55"/>
  <c r="R49" i="55"/>
  <c r="S49" i="55"/>
  <c r="Q50" i="55"/>
  <c r="R50" i="55"/>
  <c r="S50" i="55"/>
  <c r="Q51" i="55"/>
  <c r="R51" i="55"/>
  <c r="S51" i="55"/>
  <c r="Q52" i="55"/>
  <c r="R52" i="55"/>
  <c r="S52" i="55"/>
  <c r="Q53" i="55"/>
  <c r="R53" i="55"/>
  <c r="S53" i="55"/>
  <c r="Q54" i="55"/>
  <c r="R54" i="55"/>
  <c r="S54" i="55"/>
  <c r="Q55" i="55"/>
  <c r="R55" i="55"/>
  <c r="S55" i="55"/>
  <c r="Q56" i="55"/>
  <c r="R56" i="55"/>
  <c r="S56" i="55"/>
  <c r="Q57" i="55"/>
  <c r="R57" i="55"/>
  <c r="S57" i="55"/>
  <c r="Q58" i="55"/>
  <c r="R58" i="55"/>
  <c r="S58" i="55"/>
  <c r="Q59" i="55"/>
  <c r="R59" i="55"/>
  <c r="S59" i="55"/>
  <c r="Q61" i="55"/>
  <c r="R61" i="55"/>
  <c r="S61" i="55"/>
  <c r="Q62" i="55"/>
  <c r="R62" i="55"/>
  <c r="S62" i="55"/>
  <c r="Q63" i="55"/>
  <c r="R63" i="55"/>
  <c r="S63" i="55"/>
  <c r="Q64" i="55"/>
  <c r="R64" i="55"/>
  <c r="S64" i="55"/>
  <c r="Q65" i="55"/>
  <c r="R65" i="55"/>
  <c r="S65" i="55"/>
  <c r="Q66" i="55"/>
  <c r="R66" i="55"/>
  <c r="S66" i="55"/>
  <c r="Q67" i="55"/>
  <c r="R67" i="55"/>
  <c r="S67" i="55"/>
  <c r="Q68" i="55"/>
  <c r="R68" i="55"/>
  <c r="S68" i="55"/>
  <c r="Q69" i="55"/>
  <c r="R69" i="55"/>
  <c r="S69" i="55"/>
  <c r="Q70" i="55"/>
  <c r="R70" i="55"/>
  <c r="S70" i="55"/>
  <c r="Q71" i="55"/>
  <c r="R71" i="55"/>
  <c r="S71" i="55"/>
  <c r="Q72" i="55"/>
  <c r="R72" i="55"/>
  <c r="S72" i="55"/>
  <c r="Q73" i="55"/>
  <c r="R73" i="55"/>
  <c r="S73" i="55"/>
  <c r="Q74" i="55"/>
  <c r="R74" i="55"/>
  <c r="S74" i="55"/>
  <c r="Q75" i="55"/>
  <c r="R75" i="55"/>
  <c r="S75" i="55"/>
  <c r="Q76" i="55"/>
  <c r="R76" i="55"/>
  <c r="S76" i="55"/>
  <c r="Q77" i="55"/>
  <c r="R77" i="55"/>
  <c r="S77" i="55"/>
  <c r="Q78" i="55"/>
  <c r="R78" i="55"/>
  <c r="S78" i="55"/>
  <c r="Q79" i="55"/>
  <c r="R79" i="55"/>
  <c r="S79" i="55"/>
  <c r="Q80" i="55"/>
  <c r="R80" i="55"/>
  <c r="S80" i="55"/>
  <c r="Q81" i="55"/>
  <c r="R81" i="55"/>
  <c r="S81" i="55"/>
  <c r="Q82" i="55"/>
  <c r="R82" i="55"/>
  <c r="S82" i="55"/>
  <c r="Q83" i="55"/>
  <c r="R83" i="55"/>
  <c r="S83" i="55"/>
  <c r="Q84" i="55"/>
  <c r="R84" i="55"/>
  <c r="S84" i="55"/>
  <c r="Q85" i="55"/>
  <c r="R85" i="55"/>
  <c r="S85" i="55"/>
  <c r="Q86" i="55"/>
  <c r="R86" i="55"/>
  <c r="S86" i="55"/>
  <c r="Q87" i="55"/>
  <c r="R87" i="55"/>
  <c r="S87" i="55"/>
  <c r="Q88" i="55"/>
  <c r="R88" i="55"/>
  <c r="S88" i="55"/>
  <c r="Q89" i="55"/>
  <c r="R89" i="55"/>
  <c r="S89" i="55"/>
  <c r="Q90" i="55"/>
  <c r="R90" i="55"/>
  <c r="S90" i="55"/>
  <c r="Q91" i="55"/>
  <c r="R91" i="55"/>
  <c r="S91" i="55"/>
  <c r="Q92" i="55"/>
  <c r="R92" i="55"/>
  <c r="S92" i="55"/>
  <c r="Q93" i="55"/>
  <c r="R93" i="55"/>
  <c r="S93" i="55"/>
  <c r="Q94" i="55"/>
  <c r="R94" i="55"/>
  <c r="S94" i="55"/>
  <c r="Q95" i="55"/>
  <c r="R95" i="55"/>
  <c r="S95" i="55"/>
  <c r="Q96" i="55"/>
  <c r="R96" i="55"/>
  <c r="S96" i="55"/>
  <c r="Q97" i="55"/>
  <c r="R97" i="55"/>
  <c r="S97" i="55"/>
  <c r="Q98" i="55"/>
  <c r="R98" i="55"/>
  <c r="S98" i="55"/>
  <c r="Q99" i="55"/>
  <c r="R99" i="55"/>
  <c r="S99" i="55"/>
  <c r="Q100" i="55"/>
  <c r="R100" i="55"/>
  <c r="S100" i="55"/>
  <c r="Q101" i="55"/>
  <c r="R101" i="55"/>
  <c r="S101" i="55"/>
  <c r="Q102" i="55"/>
  <c r="R102" i="55"/>
  <c r="S102" i="55"/>
  <c r="Q103" i="55"/>
  <c r="R103" i="55"/>
  <c r="S103" i="55"/>
  <c r="Q104" i="55"/>
  <c r="R104" i="55"/>
  <c r="S104" i="55"/>
  <c r="Q105" i="55"/>
  <c r="R105" i="55"/>
  <c r="S105" i="55"/>
  <c r="Q106" i="55"/>
  <c r="R106" i="55"/>
  <c r="S106" i="55"/>
  <c r="Q107" i="55"/>
  <c r="R107" i="55"/>
  <c r="S107" i="55"/>
  <c r="Q108" i="55"/>
  <c r="R108" i="55"/>
  <c r="S108" i="55"/>
  <c r="Q110" i="55"/>
  <c r="R110" i="55"/>
  <c r="S110" i="55"/>
  <c r="Q111" i="55"/>
  <c r="R111" i="55"/>
  <c r="S111" i="55"/>
  <c r="Q112" i="55"/>
  <c r="R112" i="55"/>
  <c r="S112" i="55"/>
  <c r="Q113" i="55"/>
  <c r="R113" i="55"/>
  <c r="S113" i="55"/>
  <c r="Q114" i="55"/>
  <c r="R114" i="55"/>
  <c r="S114" i="55"/>
  <c r="Q115" i="55"/>
  <c r="R115" i="55"/>
  <c r="S115" i="55"/>
  <c r="Q116" i="55"/>
  <c r="R116" i="55"/>
  <c r="S116" i="55"/>
  <c r="Q117" i="55"/>
  <c r="R117" i="55"/>
  <c r="S117" i="55"/>
  <c r="Q118" i="55"/>
  <c r="R118" i="55"/>
  <c r="S118" i="55"/>
  <c r="Q119" i="55"/>
  <c r="R119" i="55"/>
  <c r="S119" i="55"/>
  <c r="Q120" i="55"/>
  <c r="R120" i="55"/>
  <c r="S120" i="55"/>
  <c r="Q121" i="55"/>
  <c r="R121" i="55"/>
  <c r="S121" i="55"/>
  <c r="Q122" i="55"/>
  <c r="R122" i="55"/>
  <c r="S122" i="55"/>
  <c r="S32" i="55"/>
  <c r="R32" i="55"/>
  <c r="Q32" i="55"/>
  <c r="H20" i="55"/>
  <c r="B45" i="40"/>
  <c r="G52" i="38" s="1"/>
  <c r="I20" i="55" s="1"/>
  <c r="H10" i="55"/>
  <c r="H11" i="55"/>
  <c r="H12" i="55"/>
  <c r="H13" i="55"/>
  <c r="H14" i="55"/>
  <c r="H15" i="55"/>
  <c r="H16" i="55"/>
  <c r="H17" i="55"/>
  <c r="H19" i="55"/>
  <c r="H21" i="55"/>
  <c r="B47" i="40"/>
  <c r="E47" i="38" s="1"/>
  <c r="E16" i="55" s="1"/>
  <c r="B48" i="40"/>
  <c r="E48" i="38" s="1"/>
  <c r="E17" i="55" s="1"/>
  <c r="B49" i="40"/>
  <c r="C50" i="38" s="1"/>
  <c r="C18" i="55" s="1"/>
  <c r="B39" i="40"/>
  <c r="E45" i="38" s="1"/>
  <c r="B40" i="40"/>
  <c r="B41" i="40"/>
  <c r="B36" i="40"/>
  <c r="E14" i="55" l="1"/>
  <c r="L23" i="55"/>
  <c r="G109" i="55" s="1"/>
  <c r="AA109" i="55" s="1"/>
  <c r="G33" i="55" l="1"/>
  <c r="AA33" i="55" s="1"/>
  <c r="G60" i="55"/>
  <c r="AA60" i="55" s="1"/>
  <c r="G118" i="55"/>
  <c r="G85" i="55"/>
  <c r="AA85" i="55" s="1"/>
  <c r="G37" i="55"/>
  <c r="AA37" i="55" s="1"/>
  <c r="G101" i="55"/>
  <c r="AA101" i="55" s="1"/>
  <c r="G56" i="55"/>
  <c r="AA56" i="55" s="1"/>
  <c r="G43" i="55"/>
  <c r="AA43" i="55" s="1"/>
  <c r="G110" i="55"/>
  <c r="AA110" i="55" s="1"/>
  <c r="G93" i="55"/>
  <c r="AA93" i="55" s="1"/>
  <c r="G77" i="55"/>
  <c r="AA77" i="55" s="1"/>
  <c r="G102" i="55"/>
  <c r="AA102" i="55" s="1"/>
  <c r="G35" i="55"/>
  <c r="AA35" i="55" s="1"/>
  <c r="G39" i="55"/>
  <c r="AA39" i="55" s="1"/>
  <c r="G122" i="55"/>
  <c r="G114" i="55"/>
  <c r="G105" i="55"/>
  <c r="AA105" i="55" s="1"/>
  <c r="G97" i="55"/>
  <c r="AA97" i="55" s="1"/>
  <c r="G89" i="55"/>
  <c r="AA89" i="55" s="1"/>
  <c r="G81" i="55"/>
  <c r="AA81" i="55" s="1"/>
  <c r="G71" i="55"/>
  <c r="AA71" i="55" s="1"/>
  <c r="G34" i="55"/>
  <c r="AA34" i="55" s="1"/>
  <c r="G70" i="55"/>
  <c r="AA70" i="55" s="1"/>
  <c r="G41" i="55"/>
  <c r="AA41" i="55" s="1"/>
  <c r="G45" i="55"/>
  <c r="AA45" i="55" s="1"/>
  <c r="G120" i="55"/>
  <c r="G116" i="55"/>
  <c r="G112" i="55"/>
  <c r="AA112" i="55" s="1"/>
  <c r="G107" i="55"/>
  <c r="AA107" i="55" s="1"/>
  <c r="G103" i="55"/>
  <c r="AA103" i="55" s="1"/>
  <c r="G99" i="55"/>
  <c r="AA99" i="55" s="1"/>
  <c r="G95" i="55"/>
  <c r="AA95" i="55" s="1"/>
  <c r="G91" i="55"/>
  <c r="AA91" i="55" s="1"/>
  <c r="G87" i="55"/>
  <c r="AA87" i="55" s="1"/>
  <c r="G83" i="55"/>
  <c r="AA83" i="55" s="1"/>
  <c r="G79" i="55"/>
  <c r="AA79" i="55" s="1"/>
  <c r="G75" i="55"/>
  <c r="AA75" i="55" s="1"/>
  <c r="G65" i="55"/>
  <c r="AA65" i="55" s="1"/>
  <c r="G48" i="55"/>
  <c r="AA48" i="55" s="1"/>
  <c r="G117" i="55"/>
  <c r="G86" i="55"/>
  <c r="AA86" i="55" s="1"/>
  <c r="G53" i="55"/>
  <c r="AA53" i="55" s="1"/>
  <c r="G73" i="55"/>
  <c r="AA73" i="55" s="1"/>
  <c r="G69" i="55"/>
  <c r="AA69" i="55" s="1"/>
  <c r="G61" i="55"/>
  <c r="AA61" i="55" s="1"/>
  <c r="G52" i="55"/>
  <c r="AA52" i="55" s="1"/>
  <c r="G42" i="55"/>
  <c r="AA42" i="55" s="1"/>
  <c r="G121" i="55"/>
  <c r="G111" i="55"/>
  <c r="AA111" i="55" s="1"/>
  <c r="G94" i="55"/>
  <c r="AA94" i="55" s="1"/>
  <c r="G78" i="55"/>
  <c r="AA78" i="55" s="1"/>
  <c r="G62" i="55"/>
  <c r="AA62" i="55" s="1"/>
  <c r="G44" i="55"/>
  <c r="AA44" i="55" s="1"/>
  <c r="G67" i="55"/>
  <c r="AA67" i="55" s="1"/>
  <c r="G63" i="55"/>
  <c r="AA63" i="55" s="1"/>
  <c r="G58" i="55"/>
  <c r="AA58" i="55" s="1"/>
  <c r="G54" i="55"/>
  <c r="AA54" i="55" s="1"/>
  <c r="G50" i="55"/>
  <c r="AA50" i="55" s="1"/>
  <c r="G46" i="55"/>
  <c r="AA46" i="55" s="1"/>
  <c r="G38" i="55"/>
  <c r="AA38" i="55" s="1"/>
  <c r="G32" i="55"/>
  <c r="AA32" i="55" s="1"/>
  <c r="G119" i="55"/>
  <c r="G115" i="55"/>
  <c r="G106" i="55"/>
  <c r="AA106" i="55" s="1"/>
  <c r="G98" i="55"/>
  <c r="AA98" i="55" s="1"/>
  <c r="G90" i="55"/>
  <c r="AA90" i="55" s="1"/>
  <c r="G82" i="55"/>
  <c r="AA82" i="55" s="1"/>
  <c r="G74" i="55"/>
  <c r="AA74" i="55" s="1"/>
  <c r="G66" i="55"/>
  <c r="AA66" i="55" s="1"/>
  <c r="G57" i="55"/>
  <c r="AA57" i="55" s="1"/>
  <c r="G49" i="55"/>
  <c r="AA49" i="55" s="1"/>
  <c r="G36" i="55"/>
  <c r="AA36" i="55" s="1"/>
  <c r="G113" i="55"/>
  <c r="G108" i="55"/>
  <c r="AA108" i="55" s="1"/>
  <c r="G104" i="55"/>
  <c r="AA104" i="55" s="1"/>
  <c r="G100" i="55"/>
  <c r="AA100" i="55" s="1"/>
  <c r="G96" i="55"/>
  <c r="AA96" i="55" s="1"/>
  <c r="G92" i="55"/>
  <c r="AA92" i="55" s="1"/>
  <c r="G88" i="55"/>
  <c r="AA88" i="55" s="1"/>
  <c r="G84" i="55"/>
  <c r="AA84" i="55" s="1"/>
  <c r="G80" i="55"/>
  <c r="AA80" i="55" s="1"/>
  <c r="G76" i="55"/>
  <c r="AA76" i="55" s="1"/>
  <c r="G72" i="55"/>
  <c r="AA72" i="55" s="1"/>
  <c r="G68" i="55"/>
  <c r="AA68" i="55" s="1"/>
  <c r="G64" i="55"/>
  <c r="AA64" i="55" s="1"/>
  <c r="G59" i="55"/>
  <c r="AA59" i="55" s="1"/>
  <c r="G55" i="55"/>
  <c r="AA55" i="55" s="1"/>
  <c r="G51" i="55"/>
  <c r="AA51" i="55" s="1"/>
  <c r="G47" i="55"/>
  <c r="AA47" i="55" s="1"/>
  <c r="G40" i="55"/>
  <c r="AA40" i="55" s="1"/>
  <c r="M34" i="29" l="1"/>
  <c r="M31" i="29"/>
  <c r="M19" i="29"/>
  <c r="M16" i="29"/>
  <c r="M15" i="29"/>
  <c r="M14" i="29"/>
  <c r="M13" i="29"/>
  <c r="M55" i="29"/>
  <c r="E33" i="16"/>
  <c r="E34" i="16"/>
  <c r="C18" i="3" s="1"/>
  <c r="AG45" i="17"/>
  <c r="AH45" i="17"/>
  <c r="AG46" i="17"/>
  <c r="AH46" i="17"/>
  <c r="AG47" i="17"/>
  <c r="AH47" i="17"/>
  <c r="AG48" i="17"/>
  <c r="AH48" i="17"/>
  <c r="AF48" i="17"/>
  <c r="AF47" i="17"/>
  <c r="AF46" i="17"/>
  <c r="AC45" i="17"/>
  <c r="AD45" i="17"/>
  <c r="AC46" i="17"/>
  <c r="AD46" i="17"/>
  <c r="AC47" i="17"/>
  <c r="AD47" i="17"/>
  <c r="AC48" i="17"/>
  <c r="AD48" i="17"/>
  <c r="AB48" i="17"/>
  <c r="AB47" i="17"/>
  <c r="AB46" i="17"/>
  <c r="AB45" i="17"/>
  <c r="AF45" i="17"/>
  <c r="X45" i="17"/>
  <c r="Y45" i="17"/>
  <c r="Z45" i="17"/>
  <c r="Y46" i="17"/>
  <c r="Z46" i="17"/>
  <c r="Y47" i="17"/>
  <c r="Z47" i="17"/>
  <c r="Y48" i="17"/>
  <c r="Z48" i="17"/>
  <c r="X48" i="17"/>
  <c r="X47" i="17"/>
  <c r="X46" i="17"/>
  <c r="N47" i="17"/>
  <c r="O47" i="17"/>
  <c r="N48" i="17"/>
  <c r="O48" i="17"/>
  <c r="M48" i="17"/>
  <c r="M47" i="17"/>
  <c r="AF44" i="17"/>
  <c r="AB44" i="17"/>
  <c r="AB49" i="17"/>
  <c r="AC49" i="17"/>
  <c r="AD49" i="17"/>
  <c r="AF49" i="17"/>
  <c r="AG49" i="17"/>
  <c r="AH49" i="17"/>
  <c r="X49" i="17"/>
  <c r="Y49" i="17"/>
  <c r="Z49" i="17"/>
  <c r="X44" i="17"/>
  <c r="Q45" i="17"/>
  <c r="V45" i="17"/>
  <c r="Q46" i="17"/>
  <c r="V46" i="17"/>
  <c r="Q47" i="17"/>
  <c r="V47" i="17"/>
  <c r="Q48" i="17"/>
  <c r="V48" i="17"/>
  <c r="Q49" i="17"/>
  <c r="V49" i="17"/>
  <c r="F49" i="17"/>
  <c r="U49" i="17" s="1"/>
  <c r="F48" i="17"/>
  <c r="U48" i="17" s="1"/>
  <c r="F47" i="17"/>
  <c r="U47" i="17" s="1"/>
  <c r="F46" i="17"/>
  <c r="U46" i="17" s="1"/>
  <c r="F45" i="17"/>
  <c r="U45" i="17" s="1"/>
  <c r="D49" i="17"/>
  <c r="S49" i="17" s="1"/>
  <c r="E49" i="17"/>
  <c r="T49" i="17" s="1"/>
  <c r="D46" i="17"/>
  <c r="S46" i="17" s="1"/>
  <c r="E46" i="17"/>
  <c r="T46" i="17" s="1"/>
  <c r="D47" i="17"/>
  <c r="S47" i="17" s="1"/>
  <c r="E47" i="17"/>
  <c r="T47" i="17" s="1"/>
  <c r="D48" i="17"/>
  <c r="S48" i="17" s="1"/>
  <c r="E48" i="17"/>
  <c r="T48" i="17" s="1"/>
  <c r="D45" i="17"/>
  <c r="S45" i="17" s="1"/>
  <c r="E45" i="17"/>
  <c r="T45" i="17" s="1"/>
  <c r="C17" i="3"/>
  <c r="H466" i="30"/>
  <c r="H466" i="31"/>
  <c r="H466" i="32"/>
  <c r="H466" i="33"/>
  <c r="H466" i="3"/>
  <c r="H464" i="30"/>
  <c r="H464" i="31"/>
  <c r="H464" i="32"/>
  <c r="H464" i="33"/>
  <c r="H464" i="3"/>
  <c r="H463" i="30"/>
  <c r="H463" i="31"/>
  <c r="H463" i="32"/>
  <c r="H463" i="33"/>
  <c r="H463" i="3"/>
  <c r="H462" i="30"/>
  <c r="H462" i="31"/>
  <c r="H462" i="32"/>
  <c r="H462" i="33"/>
  <c r="H462" i="3"/>
  <c r="H460" i="30"/>
  <c r="H460" i="31"/>
  <c r="H460" i="32"/>
  <c r="H460" i="33"/>
  <c r="H460" i="3"/>
  <c r="H457" i="30"/>
  <c r="H457" i="31"/>
  <c r="H457" i="32"/>
  <c r="H457" i="33"/>
  <c r="H457" i="3"/>
  <c r="H456" i="30"/>
  <c r="H456" i="31"/>
  <c r="H456" i="32"/>
  <c r="H456" i="33"/>
  <c r="H456" i="3"/>
  <c r="H455" i="30"/>
  <c r="H455" i="31"/>
  <c r="H455" i="32"/>
  <c r="H455" i="33"/>
  <c r="H455" i="3"/>
  <c r="D334" i="3" a="1"/>
  <c r="AG335" i="3" s="1"/>
  <c r="D310" i="3" a="1"/>
  <c r="AG311" i="3" s="1"/>
  <c r="D286" i="3" a="1"/>
  <c r="AG287" i="3" s="1"/>
  <c r="D262" i="3" a="1"/>
  <c r="D262" i="3" s="1"/>
  <c r="G262" i="3"/>
  <c r="O262" i="3"/>
  <c r="W262" i="3"/>
  <c r="AE262" i="3"/>
  <c r="H263" i="3"/>
  <c r="X263" i="3"/>
  <c r="C238" i="16" a="1"/>
  <c r="C238" i="16" s="1"/>
  <c r="C170" i="16" a="1"/>
  <c r="AF171" i="16" s="1"/>
  <c r="C152" i="16" a="1"/>
  <c r="AF153" i="16" s="1"/>
  <c r="C134" i="16" a="1"/>
  <c r="C134" i="16" s="1"/>
  <c r="D134" i="16"/>
  <c r="H134" i="16"/>
  <c r="J134" i="16"/>
  <c r="N134" i="16"/>
  <c r="R134" i="16"/>
  <c r="T134" i="16"/>
  <c r="Z134" i="16"/>
  <c r="AD134" i="16"/>
  <c r="C135" i="16"/>
  <c r="E135" i="16"/>
  <c r="S135" i="16"/>
  <c r="AA135" i="16"/>
  <c r="X266" i="30"/>
  <c r="X267" i="30"/>
  <c r="X268" i="30"/>
  <c r="X269" i="30"/>
  <c r="X270" i="30"/>
  <c r="X271" i="30"/>
  <c r="X273" i="30"/>
  <c r="X274" i="30"/>
  <c r="X275" i="30"/>
  <c r="X276" i="30"/>
  <c r="X290" i="30"/>
  <c r="X291" i="30"/>
  <c r="X292" i="30"/>
  <c r="X293" i="30"/>
  <c r="X294" i="30"/>
  <c r="X295" i="30"/>
  <c r="X297" i="30"/>
  <c r="X298" i="30"/>
  <c r="X299" i="30"/>
  <c r="X300" i="30"/>
  <c r="X314" i="30"/>
  <c r="X315" i="30"/>
  <c r="X316" i="30"/>
  <c r="X317" i="30"/>
  <c r="X318" i="30"/>
  <c r="X319" i="30"/>
  <c r="X321" i="30"/>
  <c r="X322" i="30"/>
  <c r="X323" i="30"/>
  <c r="X324" i="30"/>
  <c r="X338" i="30"/>
  <c r="X339" i="30"/>
  <c r="X340" i="30"/>
  <c r="X341" i="30"/>
  <c r="X342" i="30"/>
  <c r="X343" i="30"/>
  <c r="X345" i="30"/>
  <c r="X346" i="30"/>
  <c r="X347" i="30"/>
  <c r="X348" i="30"/>
  <c r="X266" i="31"/>
  <c r="X267" i="31"/>
  <c r="X268" i="31"/>
  <c r="X269" i="31"/>
  <c r="X270" i="31"/>
  <c r="X271" i="31"/>
  <c r="X273" i="31"/>
  <c r="X274" i="31"/>
  <c r="X275" i="31"/>
  <c r="X276" i="31"/>
  <c r="X290" i="31"/>
  <c r="X291" i="31"/>
  <c r="X292" i="31"/>
  <c r="X293" i="31"/>
  <c r="X294" i="31"/>
  <c r="X295" i="31"/>
  <c r="X297" i="31"/>
  <c r="X298" i="31"/>
  <c r="X299" i="31"/>
  <c r="X300" i="31"/>
  <c r="X314" i="31"/>
  <c r="X315" i="31"/>
  <c r="X316" i="31"/>
  <c r="X317" i="31"/>
  <c r="X318" i="31"/>
  <c r="X319" i="31"/>
  <c r="X321" i="31"/>
  <c r="X322" i="31"/>
  <c r="X323" i="31"/>
  <c r="X324" i="31"/>
  <c r="X338" i="31"/>
  <c r="X339" i="31"/>
  <c r="X340" i="31"/>
  <c r="X341" i="31"/>
  <c r="X342" i="31"/>
  <c r="X343" i="31"/>
  <c r="X345" i="31"/>
  <c r="X346" i="31"/>
  <c r="X347" i="31"/>
  <c r="X348" i="31"/>
  <c r="X266" i="32"/>
  <c r="X267" i="32"/>
  <c r="X268" i="32"/>
  <c r="X269" i="32"/>
  <c r="X270" i="32"/>
  <c r="X271" i="32"/>
  <c r="X273" i="32"/>
  <c r="X274" i="32"/>
  <c r="X275" i="32"/>
  <c r="X276" i="32"/>
  <c r="X290" i="32"/>
  <c r="X291" i="32"/>
  <c r="X292" i="32"/>
  <c r="X293" i="32"/>
  <c r="X294" i="32"/>
  <c r="X295" i="32"/>
  <c r="X297" i="32"/>
  <c r="X298" i="32"/>
  <c r="X299" i="32"/>
  <c r="X300" i="32"/>
  <c r="X314" i="32"/>
  <c r="X315" i="32"/>
  <c r="X316" i="32"/>
  <c r="X317" i="32"/>
  <c r="X318" i="32"/>
  <c r="X319" i="32"/>
  <c r="X321" i="32"/>
  <c r="X322" i="32"/>
  <c r="X323" i="32"/>
  <c r="X324" i="32"/>
  <c r="X338" i="32"/>
  <c r="X339" i="32"/>
  <c r="X340" i="32"/>
  <c r="X341" i="32"/>
  <c r="X342" i="32"/>
  <c r="X343" i="32"/>
  <c r="X345" i="32"/>
  <c r="X346" i="32"/>
  <c r="X347" i="32"/>
  <c r="X348" i="32"/>
  <c r="X266" i="33"/>
  <c r="X267" i="33"/>
  <c r="X268" i="33"/>
  <c r="X269" i="33"/>
  <c r="X270" i="33"/>
  <c r="X271" i="33"/>
  <c r="X273" i="33"/>
  <c r="X274" i="33"/>
  <c r="X275" i="33"/>
  <c r="X276" i="33"/>
  <c r="X290" i="33"/>
  <c r="X291" i="33"/>
  <c r="X292" i="33"/>
  <c r="X293" i="33"/>
  <c r="X294" i="33"/>
  <c r="X295" i="33"/>
  <c r="X297" i="33"/>
  <c r="X298" i="33"/>
  <c r="X299" i="33"/>
  <c r="X300" i="33"/>
  <c r="X314" i="33"/>
  <c r="X315" i="33"/>
  <c r="X316" i="33"/>
  <c r="X317" i="33"/>
  <c r="X318" i="33"/>
  <c r="X319" i="33"/>
  <c r="X321" i="33"/>
  <c r="X322" i="33"/>
  <c r="X323" i="33"/>
  <c r="X324" i="33"/>
  <c r="X338" i="33"/>
  <c r="X339" i="33"/>
  <c r="X340" i="33"/>
  <c r="X341" i="33"/>
  <c r="X342" i="33"/>
  <c r="X343" i="33"/>
  <c r="X345" i="33"/>
  <c r="X346" i="33"/>
  <c r="X347" i="33"/>
  <c r="X348" i="33"/>
  <c r="X266" i="3"/>
  <c r="X267" i="3"/>
  <c r="X268" i="3"/>
  <c r="X269" i="3"/>
  <c r="X270" i="3"/>
  <c r="X271" i="3"/>
  <c r="X273" i="3"/>
  <c r="X274" i="3"/>
  <c r="X275" i="3"/>
  <c r="X276" i="3"/>
  <c r="X290" i="3"/>
  <c r="X291" i="3"/>
  <c r="X292" i="3"/>
  <c r="X293" i="3"/>
  <c r="X294" i="3"/>
  <c r="X295" i="3"/>
  <c r="X297" i="3"/>
  <c r="X298" i="3"/>
  <c r="X299" i="3"/>
  <c r="X300" i="3"/>
  <c r="X314" i="3"/>
  <c r="X315" i="3"/>
  <c r="X316" i="3"/>
  <c r="X317" i="3"/>
  <c r="X318" i="3"/>
  <c r="X319" i="3"/>
  <c r="X321" i="3"/>
  <c r="X322" i="3"/>
  <c r="X323" i="3"/>
  <c r="X324" i="3"/>
  <c r="X338" i="3"/>
  <c r="X339" i="3"/>
  <c r="X340" i="3"/>
  <c r="X341" i="3"/>
  <c r="X342" i="3"/>
  <c r="X343" i="3"/>
  <c r="X345" i="3"/>
  <c r="X346" i="3"/>
  <c r="X347" i="3"/>
  <c r="X348" i="3"/>
  <c r="D322" i="30"/>
  <c r="E322" i="30"/>
  <c r="F322" i="30"/>
  <c r="G322" i="30"/>
  <c r="H322" i="30"/>
  <c r="I322" i="30"/>
  <c r="J322" i="30"/>
  <c r="K322" i="30"/>
  <c r="L322" i="30"/>
  <c r="M322" i="30"/>
  <c r="N322" i="30"/>
  <c r="O322" i="30"/>
  <c r="P322" i="30"/>
  <c r="Q322" i="30"/>
  <c r="R322" i="30"/>
  <c r="S322" i="30"/>
  <c r="T322" i="30"/>
  <c r="U322" i="30"/>
  <c r="V322" i="30"/>
  <c r="W322" i="30"/>
  <c r="Y322" i="30"/>
  <c r="Z322" i="30"/>
  <c r="AA322" i="30"/>
  <c r="AB322" i="30"/>
  <c r="AC322" i="30"/>
  <c r="AD322" i="30"/>
  <c r="AE322" i="30"/>
  <c r="AF322" i="30"/>
  <c r="AG322" i="30"/>
  <c r="AH322" i="30"/>
  <c r="D323" i="30"/>
  <c r="E323" i="30"/>
  <c r="F323" i="30"/>
  <c r="G323" i="30"/>
  <c r="H323" i="30"/>
  <c r="I323" i="30"/>
  <c r="J323" i="30"/>
  <c r="K323" i="30"/>
  <c r="L323" i="30"/>
  <c r="M323" i="30"/>
  <c r="N323" i="30"/>
  <c r="O323" i="30"/>
  <c r="P323" i="30"/>
  <c r="Q323" i="30"/>
  <c r="R323" i="30"/>
  <c r="S323" i="30"/>
  <c r="T323" i="30"/>
  <c r="U323" i="30"/>
  <c r="V323" i="30"/>
  <c r="W323" i="30"/>
  <c r="Y323" i="30"/>
  <c r="Z323" i="30"/>
  <c r="AA323" i="30"/>
  <c r="AB323" i="30"/>
  <c r="AC323" i="30"/>
  <c r="AD323" i="30"/>
  <c r="AE323" i="30"/>
  <c r="AF323" i="30"/>
  <c r="AG323" i="30"/>
  <c r="AH323" i="30"/>
  <c r="D322" i="31"/>
  <c r="E322" i="31"/>
  <c r="F322" i="31"/>
  <c r="G322" i="31"/>
  <c r="H322" i="31"/>
  <c r="I322" i="31"/>
  <c r="J322" i="31"/>
  <c r="K322" i="31"/>
  <c r="L322" i="31"/>
  <c r="M322" i="31"/>
  <c r="N322" i="31"/>
  <c r="O322" i="31"/>
  <c r="P322" i="31"/>
  <c r="Q322" i="31"/>
  <c r="R322" i="31"/>
  <c r="S322" i="31"/>
  <c r="T322" i="31"/>
  <c r="U322" i="31"/>
  <c r="V322" i="31"/>
  <c r="W322" i="31"/>
  <c r="Y322" i="31"/>
  <c r="Z322" i="31"/>
  <c r="AA322" i="31"/>
  <c r="AB322" i="31"/>
  <c r="AC322" i="31"/>
  <c r="AD322" i="31"/>
  <c r="AE322" i="31"/>
  <c r="AF322" i="31"/>
  <c r="AG322" i="31"/>
  <c r="AH322" i="31"/>
  <c r="D323" i="31"/>
  <c r="E323" i="31"/>
  <c r="F323" i="31"/>
  <c r="G323" i="31"/>
  <c r="H323" i="31"/>
  <c r="I323" i="31"/>
  <c r="J323" i="31"/>
  <c r="K323" i="31"/>
  <c r="L323" i="31"/>
  <c r="M323" i="31"/>
  <c r="N323" i="31"/>
  <c r="O323" i="31"/>
  <c r="P323" i="31"/>
  <c r="Q323" i="31"/>
  <c r="R323" i="31"/>
  <c r="S323" i="31"/>
  <c r="T323" i="31"/>
  <c r="U323" i="31"/>
  <c r="V323" i="31"/>
  <c r="W323" i="31"/>
  <c r="Y323" i="31"/>
  <c r="Z323" i="31"/>
  <c r="AA323" i="31"/>
  <c r="AB323" i="31"/>
  <c r="AC323" i="31"/>
  <c r="AD323" i="31"/>
  <c r="AE323" i="31"/>
  <c r="AF323" i="31"/>
  <c r="AG323" i="31"/>
  <c r="AH323" i="31"/>
  <c r="D322" i="32"/>
  <c r="E322" i="32"/>
  <c r="F322" i="32"/>
  <c r="G322" i="32"/>
  <c r="H322" i="32"/>
  <c r="I322" i="32"/>
  <c r="J322" i="32"/>
  <c r="K322" i="32"/>
  <c r="L322" i="32"/>
  <c r="M322" i="32"/>
  <c r="N322" i="32"/>
  <c r="O322" i="32"/>
  <c r="P322" i="32"/>
  <c r="Q322" i="32"/>
  <c r="R322" i="32"/>
  <c r="S322" i="32"/>
  <c r="T322" i="32"/>
  <c r="U322" i="32"/>
  <c r="V322" i="32"/>
  <c r="W322" i="32"/>
  <c r="Y322" i="32"/>
  <c r="Z322" i="32"/>
  <c r="AA322" i="32"/>
  <c r="AB322" i="32"/>
  <c r="AC322" i="32"/>
  <c r="AD322" i="32"/>
  <c r="AE322" i="32"/>
  <c r="AF322" i="32"/>
  <c r="AG322" i="32"/>
  <c r="AH322" i="32"/>
  <c r="D323" i="32"/>
  <c r="E323" i="32"/>
  <c r="F323" i="32"/>
  <c r="G323" i="32"/>
  <c r="H323" i="32"/>
  <c r="I323" i="32"/>
  <c r="J323" i="32"/>
  <c r="K323" i="32"/>
  <c r="L323" i="32"/>
  <c r="M323" i="32"/>
  <c r="N323" i="32"/>
  <c r="O323" i="32"/>
  <c r="P323" i="32"/>
  <c r="Q323" i="32"/>
  <c r="R323" i="32"/>
  <c r="S323" i="32"/>
  <c r="T323" i="32"/>
  <c r="U323" i="32"/>
  <c r="V323" i="32"/>
  <c r="W323" i="32"/>
  <c r="Y323" i="32"/>
  <c r="Z323" i="32"/>
  <c r="AA323" i="32"/>
  <c r="AB323" i="32"/>
  <c r="AC323" i="32"/>
  <c r="AD323" i="32"/>
  <c r="AE323" i="32"/>
  <c r="AF323" i="32"/>
  <c r="AG323" i="32"/>
  <c r="AH323" i="32"/>
  <c r="D322" i="33"/>
  <c r="E322" i="33"/>
  <c r="F322" i="33"/>
  <c r="G322" i="33"/>
  <c r="H322" i="33"/>
  <c r="I322" i="33"/>
  <c r="J322" i="33"/>
  <c r="K322" i="33"/>
  <c r="L322" i="33"/>
  <c r="M322" i="33"/>
  <c r="N322" i="33"/>
  <c r="O322" i="33"/>
  <c r="P322" i="33"/>
  <c r="Q322" i="33"/>
  <c r="R322" i="33"/>
  <c r="S322" i="33"/>
  <c r="T322" i="33"/>
  <c r="U322" i="33"/>
  <c r="V322" i="33"/>
  <c r="W322" i="33"/>
  <c r="Y322" i="33"/>
  <c r="Z322" i="33"/>
  <c r="AA322" i="33"/>
  <c r="AB322" i="33"/>
  <c r="AC322" i="33"/>
  <c r="AD322" i="33"/>
  <c r="AE322" i="33"/>
  <c r="AF322" i="33"/>
  <c r="AG322" i="33"/>
  <c r="AH322" i="33"/>
  <c r="D323" i="33"/>
  <c r="E323" i="33"/>
  <c r="F323" i="33"/>
  <c r="G323" i="33"/>
  <c r="H323" i="33"/>
  <c r="I323" i="33"/>
  <c r="J323" i="33"/>
  <c r="K323" i="33"/>
  <c r="L323" i="33"/>
  <c r="M323" i="33"/>
  <c r="N323" i="33"/>
  <c r="O323" i="33"/>
  <c r="P323" i="33"/>
  <c r="Q323" i="33"/>
  <c r="R323" i="33"/>
  <c r="S323" i="33"/>
  <c r="T323" i="33"/>
  <c r="U323" i="33"/>
  <c r="V323" i="33"/>
  <c r="W323" i="33"/>
  <c r="Y323" i="33"/>
  <c r="Z323" i="33"/>
  <c r="AA323" i="33"/>
  <c r="AB323" i="33"/>
  <c r="AC323" i="33"/>
  <c r="AD323" i="33"/>
  <c r="AE323" i="33"/>
  <c r="AF323" i="33"/>
  <c r="AG323" i="33"/>
  <c r="AH323" i="33"/>
  <c r="D322" i="3"/>
  <c r="E322" i="3"/>
  <c r="F322" i="3"/>
  <c r="G322" i="3"/>
  <c r="H322" i="3"/>
  <c r="I322" i="3"/>
  <c r="J322" i="3"/>
  <c r="K322" i="3"/>
  <c r="L322" i="3"/>
  <c r="M322" i="3"/>
  <c r="N322" i="3"/>
  <c r="O322" i="3"/>
  <c r="P322" i="3"/>
  <c r="Q322" i="3"/>
  <c r="R322" i="3"/>
  <c r="S322" i="3"/>
  <c r="T322" i="3"/>
  <c r="U322" i="3"/>
  <c r="V322" i="3"/>
  <c r="W322" i="3"/>
  <c r="Y322" i="3"/>
  <c r="Z322" i="3"/>
  <c r="AA322" i="3"/>
  <c r="AB322" i="3"/>
  <c r="AC322" i="3"/>
  <c r="AD322" i="3"/>
  <c r="AE322" i="3"/>
  <c r="AF322" i="3"/>
  <c r="AG322" i="3"/>
  <c r="AH322" i="3"/>
  <c r="D323" i="3"/>
  <c r="E323" i="3"/>
  <c r="F323" i="3"/>
  <c r="G323" i="3"/>
  <c r="H323" i="3"/>
  <c r="I323" i="3"/>
  <c r="J323" i="3"/>
  <c r="K323" i="3"/>
  <c r="L323" i="3"/>
  <c r="M323" i="3"/>
  <c r="N323" i="3"/>
  <c r="O323" i="3"/>
  <c r="P323" i="3"/>
  <c r="Q323" i="3"/>
  <c r="R323" i="3"/>
  <c r="S323" i="3"/>
  <c r="T323" i="3"/>
  <c r="U323" i="3"/>
  <c r="V323" i="3"/>
  <c r="W323" i="3"/>
  <c r="Y323" i="3"/>
  <c r="Z323" i="3"/>
  <c r="AA323" i="3"/>
  <c r="AB323" i="3"/>
  <c r="AC323" i="3"/>
  <c r="AD323" i="3"/>
  <c r="AE323" i="3"/>
  <c r="AF323" i="3"/>
  <c r="AG323" i="3"/>
  <c r="AH323" i="3"/>
  <c r="D298" i="30"/>
  <c r="E298" i="30"/>
  <c r="F298" i="30"/>
  <c r="G298" i="30"/>
  <c r="H298" i="30"/>
  <c r="I298" i="30"/>
  <c r="J298" i="30"/>
  <c r="K298" i="30"/>
  <c r="L298" i="30"/>
  <c r="M298" i="30"/>
  <c r="N298" i="30"/>
  <c r="O298" i="30"/>
  <c r="P298" i="30"/>
  <c r="Q298" i="30"/>
  <c r="R298" i="30"/>
  <c r="S298" i="30"/>
  <c r="T298" i="30"/>
  <c r="U298" i="30"/>
  <c r="V298" i="30"/>
  <c r="W298" i="30"/>
  <c r="Y298" i="30"/>
  <c r="Z298" i="30"/>
  <c r="AA298" i="30"/>
  <c r="AB298" i="30"/>
  <c r="AC298" i="30"/>
  <c r="AD298" i="30"/>
  <c r="AE298" i="30"/>
  <c r="AF298" i="30"/>
  <c r="AG298" i="30"/>
  <c r="AH298" i="30"/>
  <c r="D299" i="30"/>
  <c r="E299" i="30"/>
  <c r="F299" i="30"/>
  <c r="G299" i="30"/>
  <c r="H299" i="30"/>
  <c r="I299" i="30"/>
  <c r="J299" i="30"/>
  <c r="K299" i="30"/>
  <c r="L299" i="30"/>
  <c r="M299" i="30"/>
  <c r="N299" i="30"/>
  <c r="O299" i="30"/>
  <c r="P299" i="30"/>
  <c r="Q299" i="30"/>
  <c r="R299" i="30"/>
  <c r="S299" i="30"/>
  <c r="T299" i="30"/>
  <c r="U299" i="30"/>
  <c r="V299" i="30"/>
  <c r="W299" i="30"/>
  <c r="Y299" i="30"/>
  <c r="Z299" i="30"/>
  <c r="AA299" i="30"/>
  <c r="AB299" i="30"/>
  <c r="AC299" i="30"/>
  <c r="AD299" i="30"/>
  <c r="AE299" i="30"/>
  <c r="AF299" i="30"/>
  <c r="AG299" i="30"/>
  <c r="AH299" i="30"/>
  <c r="D298" i="31"/>
  <c r="E298" i="31"/>
  <c r="F298" i="31"/>
  <c r="G298" i="31"/>
  <c r="H298" i="31"/>
  <c r="I298" i="31"/>
  <c r="J298" i="31"/>
  <c r="K298" i="31"/>
  <c r="L298" i="31"/>
  <c r="M298" i="31"/>
  <c r="N298" i="31"/>
  <c r="O298" i="31"/>
  <c r="P298" i="31"/>
  <c r="Q298" i="31"/>
  <c r="R298" i="31"/>
  <c r="S298" i="31"/>
  <c r="T298" i="31"/>
  <c r="U298" i="31"/>
  <c r="V298" i="31"/>
  <c r="W298" i="31"/>
  <c r="Y298" i="31"/>
  <c r="Z298" i="31"/>
  <c r="AA298" i="31"/>
  <c r="AB298" i="31"/>
  <c r="AC298" i="31"/>
  <c r="AD298" i="31"/>
  <c r="AE298" i="31"/>
  <c r="AF298" i="31"/>
  <c r="AG298" i="31"/>
  <c r="AH298" i="31"/>
  <c r="D299" i="31"/>
  <c r="E299" i="31"/>
  <c r="F299" i="31"/>
  <c r="G299" i="31"/>
  <c r="H299" i="31"/>
  <c r="I299" i="31"/>
  <c r="J299" i="31"/>
  <c r="K299" i="31"/>
  <c r="L299" i="31"/>
  <c r="M299" i="31"/>
  <c r="N299" i="31"/>
  <c r="O299" i="31"/>
  <c r="P299" i="31"/>
  <c r="Q299" i="31"/>
  <c r="R299" i="31"/>
  <c r="S299" i="31"/>
  <c r="T299" i="31"/>
  <c r="U299" i="31"/>
  <c r="V299" i="31"/>
  <c r="W299" i="31"/>
  <c r="Y299" i="31"/>
  <c r="Z299" i="31"/>
  <c r="AA299" i="31"/>
  <c r="AB299" i="31"/>
  <c r="AC299" i="31"/>
  <c r="AD299" i="31"/>
  <c r="AE299" i="31"/>
  <c r="AF299" i="31"/>
  <c r="AG299" i="31"/>
  <c r="AH299" i="31"/>
  <c r="D298" i="32"/>
  <c r="E298" i="32"/>
  <c r="F298" i="32"/>
  <c r="G298" i="32"/>
  <c r="H298" i="32"/>
  <c r="I298" i="32"/>
  <c r="J298" i="32"/>
  <c r="K298" i="32"/>
  <c r="L298" i="32"/>
  <c r="M298" i="32"/>
  <c r="N298" i="32"/>
  <c r="O298" i="32"/>
  <c r="P298" i="32"/>
  <c r="Q298" i="32"/>
  <c r="R298" i="32"/>
  <c r="S298" i="32"/>
  <c r="T298" i="32"/>
  <c r="U298" i="32"/>
  <c r="V298" i="32"/>
  <c r="W298" i="32"/>
  <c r="Y298" i="32"/>
  <c r="Z298" i="32"/>
  <c r="AA298" i="32"/>
  <c r="AB298" i="32"/>
  <c r="AC298" i="32"/>
  <c r="AD298" i="32"/>
  <c r="AE298" i="32"/>
  <c r="AF298" i="32"/>
  <c r="AG298" i="32"/>
  <c r="AH298" i="32"/>
  <c r="D299" i="32"/>
  <c r="E299" i="32"/>
  <c r="F299" i="32"/>
  <c r="G299" i="32"/>
  <c r="H299" i="32"/>
  <c r="I299" i="32"/>
  <c r="J299" i="32"/>
  <c r="K299" i="32"/>
  <c r="L299" i="32"/>
  <c r="M299" i="32"/>
  <c r="N299" i="32"/>
  <c r="O299" i="32"/>
  <c r="P299" i="32"/>
  <c r="Q299" i="32"/>
  <c r="R299" i="32"/>
  <c r="S299" i="32"/>
  <c r="T299" i="32"/>
  <c r="U299" i="32"/>
  <c r="V299" i="32"/>
  <c r="W299" i="32"/>
  <c r="Y299" i="32"/>
  <c r="Z299" i="32"/>
  <c r="AA299" i="32"/>
  <c r="AB299" i="32"/>
  <c r="AC299" i="32"/>
  <c r="AD299" i="32"/>
  <c r="AE299" i="32"/>
  <c r="AF299" i="32"/>
  <c r="AG299" i="32"/>
  <c r="AH299" i="32"/>
  <c r="D298" i="33"/>
  <c r="E298" i="33"/>
  <c r="F298" i="33"/>
  <c r="G298" i="33"/>
  <c r="H298" i="33"/>
  <c r="I298" i="33"/>
  <c r="J298" i="33"/>
  <c r="K298" i="33"/>
  <c r="L298" i="33"/>
  <c r="M298" i="33"/>
  <c r="N298" i="33"/>
  <c r="O298" i="33"/>
  <c r="P298" i="33"/>
  <c r="Q298" i="33"/>
  <c r="R298" i="33"/>
  <c r="S298" i="33"/>
  <c r="T298" i="33"/>
  <c r="U298" i="33"/>
  <c r="V298" i="33"/>
  <c r="W298" i="33"/>
  <c r="Y298" i="33"/>
  <c r="Z298" i="33"/>
  <c r="AA298" i="33"/>
  <c r="AB298" i="33"/>
  <c r="AC298" i="33"/>
  <c r="AD298" i="33"/>
  <c r="AE298" i="33"/>
  <c r="AF298" i="33"/>
  <c r="AG298" i="33"/>
  <c r="AH298" i="33"/>
  <c r="D299" i="33"/>
  <c r="E299" i="33"/>
  <c r="F299" i="33"/>
  <c r="G299" i="33"/>
  <c r="H299" i="33"/>
  <c r="I299" i="33"/>
  <c r="J299" i="33"/>
  <c r="K299" i="33"/>
  <c r="L299" i="33"/>
  <c r="M299" i="33"/>
  <c r="N299" i="33"/>
  <c r="O299" i="33"/>
  <c r="P299" i="33"/>
  <c r="Q299" i="33"/>
  <c r="R299" i="33"/>
  <c r="S299" i="33"/>
  <c r="T299" i="33"/>
  <c r="U299" i="33"/>
  <c r="V299" i="33"/>
  <c r="W299" i="33"/>
  <c r="Y299" i="33"/>
  <c r="Z299" i="33"/>
  <c r="AA299" i="33"/>
  <c r="AB299" i="33"/>
  <c r="AC299" i="33"/>
  <c r="AD299" i="33"/>
  <c r="AE299" i="33"/>
  <c r="AF299" i="33"/>
  <c r="AG299" i="33"/>
  <c r="AH299" i="33"/>
  <c r="D298" i="3"/>
  <c r="E298" i="3"/>
  <c r="F298" i="3"/>
  <c r="G298" i="3"/>
  <c r="H298" i="3"/>
  <c r="I298" i="3"/>
  <c r="J298" i="3"/>
  <c r="K298" i="3"/>
  <c r="L298" i="3"/>
  <c r="M298" i="3"/>
  <c r="N298" i="3"/>
  <c r="O298" i="3"/>
  <c r="P298" i="3"/>
  <c r="Q298" i="3"/>
  <c r="R298" i="3"/>
  <c r="S298" i="3"/>
  <c r="T298" i="3"/>
  <c r="U298" i="3"/>
  <c r="V298" i="3"/>
  <c r="W298" i="3"/>
  <c r="Y298" i="3"/>
  <c r="Z298" i="3"/>
  <c r="AA298" i="3"/>
  <c r="AB298" i="3"/>
  <c r="AC298" i="3"/>
  <c r="AD298" i="3"/>
  <c r="AE298" i="3"/>
  <c r="AF298" i="3"/>
  <c r="AG298" i="3"/>
  <c r="AH298" i="3"/>
  <c r="D299" i="3"/>
  <c r="E299" i="3"/>
  <c r="F299" i="3"/>
  <c r="G299" i="3"/>
  <c r="H299" i="3"/>
  <c r="I299" i="3"/>
  <c r="J299" i="3"/>
  <c r="K299" i="3"/>
  <c r="L299" i="3"/>
  <c r="M299" i="3"/>
  <c r="N299" i="3"/>
  <c r="O299" i="3"/>
  <c r="P299" i="3"/>
  <c r="Q299" i="3"/>
  <c r="R299" i="3"/>
  <c r="S299" i="3"/>
  <c r="T299" i="3"/>
  <c r="U299" i="3"/>
  <c r="V299" i="3"/>
  <c r="W299" i="3"/>
  <c r="Y299" i="3"/>
  <c r="Z299" i="3"/>
  <c r="AA299" i="3"/>
  <c r="AB299" i="3"/>
  <c r="AC299" i="3"/>
  <c r="AD299" i="3"/>
  <c r="AE299" i="3"/>
  <c r="AF299" i="3"/>
  <c r="AG299" i="3"/>
  <c r="AH299" i="3"/>
  <c r="D274" i="30"/>
  <c r="E274" i="30"/>
  <c r="F274" i="30"/>
  <c r="G274" i="30"/>
  <c r="H274" i="30"/>
  <c r="I274" i="30"/>
  <c r="J274" i="30"/>
  <c r="K274" i="30"/>
  <c r="L274" i="30"/>
  <c r="M274" i="30"/>
  <c r="N274" i="30"/>
  <c r="O274" i="30"/>
  <c r="P274" i="30"/>
  <c r="Q274" i="30"/>
  <c r="R274" i="30"/>
  <c r="S274" i="30"/>
  <c r="T274" i="30"/>
  <c r="U274" i="30"/>
  <c r="V274" i="30"/>
  <c r="W274" i="30"/>
  <c r="Y274" i="30"/>
  <c r="Z274" i="30"/>
  <c r="AA274" i="30"/>
  <c r="AB274" i="30"/>
  <c r="AC274" i="30"/>
  <c r="AD274" i="30"/>
  <c r="AE274" i="30"/>
  <c r="AF274" i="30"/>
  <c r="AG274" i="30"/>
  <c r="AH274" i="30"/>
  <c r="D275" i="30"/>
  <c r="E275" i="30"/>
  <c r="F275" i="30"/>
  <c r="G275" i="30"/>
  <c r="H275" i="30"/>
  <c r="I275" i="30"/>
  <c r="J275" i="30"/>
  <c r="K275" i="30"/>
  <c r="L275" i="30"/>
  <c r="M275" i="30"/>
  <c r="N275" i="30"/>
  <c r="O275" i="30"/>
  <c r="P275" i="30"/>
  <c r="Q275" i="30"/>
  <c r="R275" i="30"/>
  <c r="S275" i="30"/>
  <c r="T275" i="30"/>
  <c r="U275" i="30"/>
  <c r="V275" i="30"/>
  <c r="W275" i="30"/>
  <c r="Y275" i="30"/>
  <c r="Z275" i="30"/>
  <c r="AA275" i="30"/>
  <c r="AB275" i="30"/>
  <c r="AC275" i="30"/>
  <c r="AD275" i="30"/>
  <c r="AE275" i="30"/>
  <c r="AF275" i="30"/>
  <c r="AG275" i="30"/>
  <c r="AH275" i="30"/>
  <c r="D274" i="31"/>
  <c r="E274" i="31"/>
  <c r="F274" i="31"/>
  <c r="G274" i="31"/>
  <c r="H274" i="31"/>
  <c r="I274" i="31"/>
  <c r="J274" i="31"/>
  <c r="K274" i="31"/>
  <c r="L274" i="31"/>
  <c r="M274" i="31"/>
  <c r="N274" i="31"/>
  <c r="O274" i="31"/>
  <c r="P274" i="31"/>
  <c r="Q274" i="31"/>
  <c r="R274" i="31"/>
  <c r="S274" i="31"/>
  <c r="T274" i="31"/>
  <c r="U274" i="31"/>
  <c r="V274" i="31"/>
  <c r="W274" i="31"/>
  <c r="Y274" i="31"/>
  <c r="Z274" i="31"/>
  <c r="AA274" i="31"/>
  <c r="AB274" i="31"/>
  <c r="AC274" i="31"/>
  <c r="AD274" i="31"/>
  <c r="AE274" i="31"/>
  <c r="AF274" i="31"/>
  <c r="AG274" i="31"/>
  <c r="AH274" i="31"/>
  <c r="D275" i="31"/>
  <c r="E275" i="31"/>
  <c r="F275" i="31"/>
  <c r="G275" i="31"/>
  <c r="H275" i="31"/>
  <c r="I275" i="31"/>
  <c r="J275" i="31"/>
  <c r="K275" i="31"/>
  <c r="L275" i="31"/>
  <c r="M275" i="31"/>
  <c r="N275" i="31"/>
  <c r="O275" i="31"/>
  <c r="P275" i="31"/>
  <c r="Q275" i="31"/>
  <c r="R275" i="31"/>
  <c r="S275" i="31"/>
  <c r="T275" i="31"/>
  <c r="U275" i="31"/>
  <c r="V275" i="31"/>
  <c r="W275" i="31"/>
  <c r="Y275" i="31"/>
  <c r="Z275" i="31"/>
  <c r="AA275" i="31"/>
  <c r="AB275" i="31"/>
  <c r="AC275" i="31"/>
  <c r="AD275" i="31"/>
  <c r="AE275" i="31"/>
  <c r="AF275" i="31"/>
  <c r="AG275" i="31"/>
  <c r="AH275" i="31"/>
  <c r="D274" i="32"/>
  <c r="E274" i="32"/>
  <c r="F274" i="32"/>
  <c r="G274" i="32"/>
  <c r="H274" i="32"/>
  <c r="I274" i="32"/>
  <c r="J274" i="32"/>
  <c r="K274" i="32"/>
  <c r="L274" i="32"/>
  <c r="M274" i="32"/>
  <c r="N274" i="32"/>
  <c r="O274" i="32"/>
  <c r="P274" i="32"/>
  <c r="Q274" i="32"/>
  <c r="R274" i="32"/>
  <c r="S274" i="32"/>
  <c r="T274" i="32"/>
  <c r="U274" i="32"/>
  <c r="V274" i="32"/>
  <c r="W274" i="32"/>
  <c r="Y274" i="32"/>
  <c r="Z274" i="32"/>
  <c r="AA274" i="32"/>
  <c r="AB274" i="32"/>
  <c r="AC274" i="32"/>
  <c r="AD274" i="32"/>
  <c r="AE274" i="32"/>
  <c r="AF274" i="32"/>
  <c r="AG274" i="32"/>
  <c r="AH274" i="32"/>
  <c r="D275" i="32"/>
  <c r="E275" i="32"/>
  <c r="F275" i="32"/>
  <c r="G275" i="32"/>
  <c r="H275" i="32"/>
  <c r="I275" i="32"/>
  <c r="J275" i="32"/>
  <c r="K275" i="32"/>
  <c r="L275" i="32"/>
  <c r="M275" i="32"/>
  <c r="N275" i="32"/>
  <c r="O275" i="32"/>
  <c r="P275" i="32"/>
  <c r="Q275" i="32"/>
  <c r="R275" i="32"/>
  <c r="S275" i="32"/>
  <c r="T275" i="32"/>
  <c r="U275" i="32"/>
  <c r="V275" i="32"/>
  <c r="W275" i="32"/>
  <c r="Y275" i="32"/>
  <c r="Z275" i="32"/>
  <c r="AA275" i="32"/>
  <c r="AB275" i="32"/>
  <c r="AC275" i="32"/>
  <c r="AD275" i="32"/>
  <c r="AE275" i="32"/>
  <c r="AF275" i="32"/>
  <c r="AG275" i="32"/>
  <c r="AH275" i="32"/>
  <c r="D274" i="33"/>
  <c r="E274" i="33"/>
  <c r="F274" i="33"/>
  <c r="G274" i="33"/>
  <c r="H274" i="33"/>
  <c r="I274" i="33"/>
  <c r="J274" i="33"/>
  <c r="K274" i="33"/>
  <c r="L274" i="33"/>
  <c r="M274" i="33"/>
  <c r="N274" i="33"/>
  <c r="O274" i="33"/>
  <c r="P274" i="33"/>
  <c r="Q274" i="33"/>
  <c r="R274" i="33"/>
  <c r="S274" i="33"/>
  <c r="T274" i="33"/>
  <c r="U274" i="33"/>
  <c r="V274" i="33"/>
  <c r="W274" i="33"/>
  <c r="Y274" i="33"/>
  <c r="Z274" i="33"/>
  <c r="AA274" i="33"/>
  <c r="AB274" i="33"/>
  <c r="AC274" i="33"/>
  <c r="AD274" i="33"/>
  <c r="AE274" i="33"/>
  <c r="AF274" i="33"/>
  <c r="AG274" i="33"/>
  <c r="AH274" i="33"/>
  <c r="D275" i="33"/>
  <c r="E275" i="33"/>
  <c r="F275" i="33"/>
  <c r="G275" i="33"/>
  <c r="H275" i="33"/>
  <c r="I275" i="33"/>
  <c r="J275" i="33"/>
  <c r="K275" i="33"/>
  <c r="L275" i="33"/>
  <c r="M275" i="33"/>
  <c r="N275" i="33"/>
  <c r="O275" i="33"/>
  <c r="P275" i="33"/>
  <c r="Q275" i="33"/>
  <c r="R275" i="33"/>
  <c r="S275" i="33"/>
  <c r="T275" i="33"/>
  <c r="U275" i="33"/>
  <c r="V275" i="33"/>
  <c r="W275" i="33"/>
  <c r="Y275" i="33"/>
  <c r="Z275" i="33"/>
  <c r="AA275" i="33"/>
  <c r="AB275" i="33"/>
  <c r="AC275" i="33"/>
  <c r="AD275" i="33"/>
  <c r="AE275" i="33"/>
  <c r="AF275" i="33"/>
  <c r="AG275" i="33"/>
  <c r="AH275" i="33"/>
  <c r="D274" i="3"/>
  <c r="E274" i="3"/>
  <c r="F274" i="3"/>
  <c r="G274" i="3"/>
  <c r="H274" i="3"/>
  <c r="I274" i="3"/>
  <c r="J274" i="3"/>
  <c r="K274" i="3"/>
  <c r="L274" i="3"/>
  <c r="M274" i="3"/>
  <c r="N274" i="3"/>
  <c r="O274" i="3"/>
  <c r="P274" i="3"/>
  <c r="Q274" i="3"/>
  <c r="R274" i="3"/>
  <c r="S274" i="3"/>
  <c r="T274" i="3"/>
  <c r="U274" i="3"/>
  <c r="V274" i="3"/>
  <c r="W274" i="3"/>
  <c r="Y274" i="3"/>
  <c r="Z274" i="3"/>
  <c r="AA274" i="3"/>
  <c r="AB274" i="3"/>
  <c r="AC274" i="3"/>
  <c r="AD274" i="3"/>
  <c r="AE274" i="3"/>
  <c r="AF274" i="3"/>
  <c r="AG274" i="3"/>
  <c r="AH274" i="3"/>
  <c r="D275" i="3"/>
  <c r="E275" i="3"/>
  <c r="F275" i="3"/>
  <c r="G275" i="3"/>
  <c r="H275" i="3"/>
  <c r="I275" i="3"/>
  <c r="J275" i="3"/>
  <c r="K275" i="3"/>
  <c r="L275" i="3"/>
  <c r="M275" i="3"/>
  <c r="N275" i="3"/>
  <c r="O275" i="3"/>
  <c r="P275" i="3"/>
  <c r="Q275" i="3"/>
  <c r="R275" i="3"/>
  <c r="S275" i="3"/>
  <c r="T275" i="3"/>
  <c r="U275" i="3"/>
  <c r="V275" i="3"/>
  <c r="W275" i="3"/>
  <c r="Y275" i="3"/>
  <c r="Z275" i="3"/>
  <c r="AA275" i="3"/>
  <c r="AB275" i="3"/>
  <c r="AC275" i="3"/>
  <c r="AD275" i="3"/>
  <c r="AE275" i="3"/>
  <c r="AF275" i="3"/>
  <c r="AG275" i="3"/>
  <c r="AH275" i="3"/>
  <c r="W290" i="30"/>
  <c r="Y290" i="30"/>
  <c r="W291" i="30"/>
  <c r="Y291" i="30"/>
  <c r="W292" i="30"/>
  <c r="Y292" i="30"/>
  <c r="W293" i="30"/>
  <c r="Y293" i="30"/>
  <c r="W294" i="30"/>
  <c r="Y294" i="30"/>
  <c r="W295" i="30"/>
  <c r="Y295" i="30"/>
  <c r="W297" i="30"/>
  <c r="Y297" i="30"/>
  <c r="W300" i="30"/>
  <c r="Y300" i="30"/>
  <c r="W290" i="31"/>
  <c r="Y290" i="31"/>
  <c r="W291" i="31"/>
  <c r="Y291" i="31"/>
  <c r="W292" i="31"/>
  <c r="Y292" i="31"/>
  <c r="W293" i="31"/>
  <c r="Y293" i="31"/>
  <c r="W294" i="31"/>
  <c r="Y294" i="31"/>
  <c r="W295" i="31"/>
  <c r="Y295" i="31"/>
  <c r="W297" i="31"/>
  <c r="Y297" i="31"/>
  <c r="W300" i="31"/>
  <c r="Y300" i="31"/>
  <c r="W290" i="32"/>
  <c r="Y290" i="32"/>
  <c r="W291" i="32"/>
  <c r="Y291" i="32"/>
  <c r="W292" i="32"/>
  <c r="Y292" i="32"/>
  <c r="W293" i="32"/>
  <c r="Y293" i="32"/>
  <c r="W294" i="32"/>
  <c r="Y294" i="32"/>
  <c r="W295" i="32"/>
  <c r="Y295" i="32"/>
  <c r="W297" i="32"/>
  <c r="Y297" i="32"/>
  <c r="W300" i="32"/>
  <c r="Y300" i="32"/>
  <c r="W290" i="33"/>
  <c r="Y290" i="33"/>
  <c r="W291" i="33"/>
  <c r="Y291" i="33"/>
  <c r="W292" i="33"/>
  <c r="Y292" i="33"/>
  <c r="W293" i="33"/>
  <c r="Y293" i="33"/>
  <c r="W294" i="33"/>
  <c r="Y294" i="33"/>
  <c r="W295" i="33"/>
  <c r="Y295" i="33"/>
  <c r="W297" i="33"/>
  <c r="Y297" i="33"/>
  <c r="W300" i="33"/>
  <c r="Y300" i="33"/>
  <c r="W290" i="3"/>
  <c r="Y290" i="3"/>
  <c r="W291" i="3"/>
  <c r="Y291" i="3"/>
  <c r="W292" i="3"/>
  <c r="Y292" i="3"/>
  <c r="W293" i="3"/>
  <c r="Y293" i="3"/>
  <c r="W294" i="3"/>
  <c r="Y294" i="3"/>
  <c r="W295" i="3"/>
  <c r="Y295" i="3"/>
  <c r="W297" i="3"/>
  <c r="Y297" i="3"/>
  <c r="W300" i="3"/>
  <c r="Y300" i="3"/>
  <c r="D346" i="30"/>
  <c r="E346" i="30"/>
  <c r="F346" i="30"/>
  <c r="G346" i="30"/>
  <c r="H346" i="30"/>
  <c r="I346" i="30"/>
  <c r="J346" i="30"/>
  <c r="K346" i="30"/>
  <c r="L346" i="30"/>
  <c r="M346" i="30"/>
  <c r="N346" i="30"/>
  <c r="O346" i="30"/>
  <c r="P346" i="30"/>
  <c r="Q346" i="30"/>
  <c r="R346" i="30"/>
  <c r="S346" i="30"/>
  <c r="T346" i="30"/>
  <c r="U346" i="30"/>
  <c r="V346" i="30"/>
  <c r="W346" i="30"/>
  <c r="Y346" i="30"/>
  <c r="Z346" i="30"/>
  <c r="AA346" i="30"/>
  <c r="AB346" i="30"/>
  <c r="AC346" i="30"/>
  <c r="AD346" i="30"/>
  <c r="AE346" i="30"/>
  <c r="AF346" i="30"/>
  <c r="AG346" i="30"/>
  <c r="AH346" i="30"/>
  <c r="D347" i="30"/>
  <c r="E347" i="30"/>
  <c r="F347" i="30"/>
  <c r="G347" i="30"/>
  <c r="H347" i="30"/>
  <c r="I347" i="30"/>
  <c r="J347" i="30"/>
  <c r="K347" i="30"/>
  <c r="L347" i="30"/>
  <c r="M347" i="30"/>
  <c r="N347" i="30"/>
  <c r="O347" i="30"/>
  <c r="P347" i="30"/>
  <c r="Q347" i="30"/>
  <c r="R347" i="30"/>
  <c r="S347" i="30"/>
  <c r="T347" i="30"/>
  <c r="U347" i="30"/>
  <c r="V347" i="30"/>
  <c r="W347" i="30"/>
  <c r="Y347" i="30"/>
  <c r="Z347" i="30"/>
  <c r="AA347" i="30"/>
  <c r="AB347" i="30"/>
  <c r="AC347" i="30"/>
  <c r="AD347" i="30"/>
  <c r="AE347" i="30"/>
  <c r="AF347" i="30"/>
  <c r="AG347" i="30"/>
  <c r="AH347" i="30"/>
  <c r="D346" i="31"/>
  <c r="E346" i="31"/>
  <c r="F346" i="31"/>
  <c r="G346" i="31"/>
  <c r="H346" i="31"/>
  <c r="I346" i="31"/>
  <c r="J346" i="31"/>
  <c r="K346" i="31"/>
  <c r="L346" i="31"/>
  <c r="M346" i="31"/>
  <c r="N346" i="31"/>
  <c r="O346" i="31"/>
  <c r="P346" i="31"/>
  <c r="Q346" i="31"/>
  <c r="R346" i="31"/>
  <c r="S346" i="31"/>
  <c r="T346" i="31"/>
  <c r="U346" i="31"/>
  <c r="V346" i="31"/>
  <c r="W346" i="31"/>
  <c r="Y346" i="31"/>
  <c r="Z346" i="31"/>
  <c r="AA346" i="31"/>
  <c r="AB346" i="31"/>
  <c r="AC346" i="31"/>
  <c r="AD346" i="31"/>
  <c r="AE346" i="31"/>
  <c r="AF346" i="31"/>
  <c r="AG346" i="31"/>
  <c r="AH346" i="31"/>
  <c r="D347" i="31"/>
  <c r="E347" i="31"/>
  <c r="F347" i="31"/>
  <c r="G347" i="31"/>
  <c r="H347" i="31"/>
  <c r="I347" i="31"/>
  <c r="J347" i="31"/>
  <c r="K347" i="31"/>
  <c r="L347" i="31"/>
  <c r="M347" i="31"/>
  <c r="N347" i="31"/>
  <c r="O347" i="31"/>
  <c r="P347" i="31"/>
  <c r="Q347" i="31"/>
  <c r="R347" i="31"/>
  <c r="S347" i="31"/>
  <c r="T347" i="31"/>
  <c r="U347" i="31"/>
  <c r="V347" i="31"/>
  <c r="W347" i="31"/>
  <c r="Y347" i="31"/>
  <c r="Z347" i="31"/>
  <c r="AA347" i="31"/>
  <c r="AB347" i="31"/>
  <c r="AC347" i="31"/>
  <c r="AD347" i="31"/>
  <c r="AE347" i="31"/>
  <c r="AF347" i="31"/>
  <c r="AG347" i="31"/>
  <c r="AH347" i="31"/>
  <c r="D346" i="32"/>
  <c r="E346" i="32"/>
  <c r="F346" i="32"/>
  <c r="G346" i="32"/>
  <c r="H346" i="32"/>
  <c r="I346" i="32"/>
  <c r="J346" i="32"/>
  <c r="K346" i="32"/>
  <c r="L346" i="32"/>
  <c r="M346" i="32"/>
  <c r="N346" i="32"/>
  <c r="O346" i="32"/>
  <c r="P346" i="32"/>
  <c r="Q346" i="32"/>
  <c r="R346" i="32"/>
  <c r="S346" i="32"/>
  <c r="T346" i="32"/>
  <c r="U346" i="32"/>
  <c r="V346" i="32"/>
  <c r="W346" i="32"/>
  <c r="Y346" i="32"/>
  <c r="Z346" i="32"/>
  <c r="AA346" i="32"/>
  <c r="AB346" i="32"/>
  <c r="AC346" i="32"/>
  <c r="AD346" i="32"/>
  <c r="AE346" i="32"/>
  <c r="AF346" i="32"/>
  <c r="AG346" i="32"/>
  <c r="AH346" i="32"/>
  <c r="D347" i="32"/>
  <c r="E347" i="32"/>
  <c r="F347" i="32"/>
  <c r="G347" i="32"/>
  <c r="H347" i="32"/>
  <c r="I347" i="32"/>
  <c r="J347" i="32"/>
  <c r="K347" i="32"/>
  <c r="L347" i="32"/>
  <c r="M347" i="32"/>
  <c r="N347" i="32"/>
  <c r="O347" i="32"/>
  <c r="P347" i="32"/>
  <c r="Q347" i="32"/>
  <c r="R347" i="32"/>
  <c r="S347" i="32"/>
  <c r="T347" i="32"/>
  <c r="U347" i="32"/>
  <c r="V347" i="32"/>
  <c r="W347" i="32"/>
  <c r="Y347" i="32"/>
  <c r="Z347" i="32"/>
  <c r="AA347" i="32"/>
  <c r="AB347" i="32"/>
  <c r="AC347" i="32"/>
  <c r="AD347" i="32"/>
  <c r="AE347" i="32"/>
  <c r="AF347" i="32"/>
  <c r="AG347" i="32"/>
  <c r="AH347" i="32"/>
  <c r="D346" i="33"/>
  <c r="E346" i="33"/>
  <c r="F346" i="33"/>
  <c r="G346" i="33"/>
  <c r="H346" i="33"/>
  <c r="I346" i="33"/>
  <c r="J346" i="33"/>
  <c r="K346" i="33"/>
  <c r="L346" i="33"/>
  <c r="M346" i="33"/>
  <c r="N346" i="33"/>
  <c r="O346" i="33"/>
  <c r="P346" i="33"/>
  <c r="Q346" i="33"/>
  <c r="R346" i="33"/>
  <c r="S346" i="33"/>
  <c r="T346" i="33"/>
  <c r="U346" i="33"/>
  <c r="V346" i="33"/>
  <c r="W346" i="33"/>
  <c r="Y346" i="33"/>
  <c r="Z346" i="33"/>
  <c r="AA346" i="33"/>
  <c r="AB346" i="33"/>
  <c r="AC346" i="33"/>
  <c r="AD346" i="33"/>
  <c r="AE346" i="33"/>
  <c r="AF346" i="33"/>
  <c r="AG346" i="33"/>
  <c r="AH346" i="33"/>
  <c r="D347" i="33"/>
  <c r="E347" i="33"/>
  <c r="F347" i="33"/>
  <c r="G347" i="33"/>
  <c r="H347" i="33"/>
  <c r="I347" i="33"/>
  <c r="J347" i="33"/>
  <c r="K347" i="33"/>
  <c r="L347" i="33"/>
  <c r="M347" i="33"/>
  <c r="N347" i="33"/>
  <c r="O347" i="33"/>
  <c r="P347" i="33"/>
  <c r="Q347" i="33"/>
  <c r="R347" i="33"/>
  <c r="S347" i="33"/>
  <c r="T347" i="33"/>
  <c r="U347" i="33"/>
  <c r="V347" i="33"/>
  <c r="W347" i="33"/>
  <c r="Y347" i="33"/>
  <c r="Z347" i="33"/>
  <c r="AA347" i="33"/>
  <c r="AB347" i="33"/>
  <c r="AC347" i="33"/>
  <c r="AD347" i="33"/>
  <c r="AE347" i="33"/>
  <c r="AF347" i="33"/>
  <c r="AG347" i="33"/>
  <c r="AH347" i="33"/>
  <c r="D346" i="3"/>
  <c r="E346" i="3"/>
  <c r="F346" i="3"/>
  <c r="G346" i="3"/>
  <c r="H346" i="3"/>
  <c r="I346" i="3"/>
  <c r="J346" i="3"/>
  <c r="K346" i="3"/>
  <c r="L346" i="3"/>
  <c r="M346" i="3"/>
  <c r="N346" i="3"/>
  <c r="O346" i="3"/>
  <c r="P346" i="3"/>
  <c r="Q346" i="3"/>
  <c r="R346" i="3"/>
  <c r="S346" i="3"/>
  <c r="T346" i="3"/>
  <c r="U346" i="3"/>
  <c r="V346" i="3"/>
  <c r="W346" i="3"/>
  <c r="Y346" i="3"/>
  <c r="Z346" i="3"/>
  <c r="AA346" i="3"/>
  <c r="AB346" i="3"/>
  <c r="AC346" i="3"/>
  <c r="AD346" i="3"/>
  <c r="AE346" i="3"/>
  <c r="AF346" i="3"/>
  <c r="AG346" i="3"/>
  <c r="AH346" i="3"/>
  <c r="D347" i="3"/>
  <c r="E347" i="3"/>
  <c r="F347" i="3"/>
  <c r="G347" i="3"/>
  <c r="H347" i="3"/>
  <c r="I347" i="3"/>
  <c r="J347" i="3"/>
  <c r="K347" i="3"/>
  <c r="L347" i="3"/>
  <c r="M347" i="3"/>
  <c r="N347" i="3"/>
  <c r="O347" i="3"/>
  <c r="P347" i="3"/>
  <c r="Q347" i="3"/>
  <c r="R347" i="3"/>
  <c r="S347" i="3"/>
  <c r="T347" i="3"/>
  <c r="U347" i="3"/>
  <c r="V347" i="3"/>
  <c r="W347" i="3"/>
  <c r="Y347" i="3"/>
  <c r="Z347" i="3"/>
  <c r="AA347" i="3"/>
  <c r="AB347" i="3"/>
  <c r="AC347" i="3"/>
  <c r="AD347" i="3"/>
  <c r="AE347" i="3"/>
  <c r="AF347" i="3"/>
  <c r="AG347" i="3"/>
  <c r="AH347" i="3"/>
  <c r="W266" i="30"/>
  <c r="Y266" i="30"/>
  <c r="W267" i="30"/>
  <c r="Y267" i="30"/>
  <c r="W268" i="30"/>
  <c r="Y268" i="30"/>
  <c r="W269" i="30"/>
  <c r="Y269" i="30"/>
  <c r="W270" i="30"/>
  <c r="Y270" i="30"/>
  <c r="W271" i="30"/>
  <c r="Y271" i="30"/>
  <c r="W273" i="30"/>
  <c r="Y273" i="30"/>
  <c r="W276" i="30"/>
  <c r="Y276" i="30"/>
  <c r="W266" i="31"/>
  <c r="Y266" i="31"/>
  <c r="W267" i="31"/>
  <c r="Y267" i="31"/>
  <c r="W268" i="31"/>
  <c r="Y268" i="31"/>
  <c r="W269" i="31"/>
  <c r="Y269" i="31"/>
  <c r="W270" i="31"/>
  <c r="Y270" i="31"/>
  <c r="W271" i="31"/>
  <c r="Y271" i="31"/>
  <c r="W273" i="31"/>
  <c r="Y273" i="31"/>
  <c r="W276" i="31"/>
  <c r="Y276" i="31"/>
  <c r="W266" i="32"/>
  <c r="Y266" i="32"/>
  <c r="W267" i="32"/>
  <c r="Y267" i="32"/>
  <c r="W268" i="32"/>
  <c r="Y268" i="32"/>
  <c r="W269" i="32"/>
  <c r="Y269" i="32"/>
  <c r="W270" i="32"/>
  <c r="Y270" i="32"/>
  <c r="W271" i="32"/>
  <c r="Y271" i="32"/>
  <c r="W273" i="32"/>
  <c r="Y273" i="32"/>
  <c r="W276" i="32"/>
  <c r="Y276" i="32"/>
  <c r="W266" i="33"/>
  <c r="Y266" i="33"/>
  <c r="W267" i="33"/>
  <c r="Y267" i="33"/>
  <c r="W268" i="33"/>
  <c r="Y268" i="33"/>
  <c r="W269" i="33"/>
  <c r="Y269" i="33"/>
  <c r="W270" i="33"/>
  <c r="Y270" i="33"/>
  <c r="W271" i="33"/>
  <c r="Y271" i="33"/>
  <c r="W273" i="33"/>
  <c r="Y273" i="33"/>
  <c r="W276" i="33"/>
  <c r="Y276" i="33"/>
  <c r="W266" i="3"/>
  <c r="Y266" i="3"/>
  <c r="W267" i="3"/>
  <c r="Y267" i="3"/>
  <c r="W268" i="3"/>
  <c r="Y268" i="3"/>
  <c r="W269" i="3"/>
  <c r="Y269" i="3"/>
  <c r="W270" i="3"/>
  <c r="Y270" i="3"/>
  <c r="W271" i="3"/>
  <c r="Y271" i="3"/>
  <c r="W273" i="3"/>
  <c r="Y273" i="3"/>
  <c r="W276" i="3"/>
  <c r="Y276" i="3"/>
  <c r="W314" i="30"/>
  <c r="Y314" i="30"/>
  <c r="W315" i="30"/>
  <c r="Y315" i="30"/>
  <c r="W316" i="30"/>
  <c r="Y316" i="30"/>
  <c r="W317" i="30"/>
  <c r="Y317" i="30"/>
  <c r="W318" i="30"/>
  <c r="Y318" i="30"/>
  <c r="W319" i="30"/>
  <c r="Y319" i="30"/>
  <c r="W321" i="30"/>
  <c r="Y321" i="30"/>
  <c r="W324" i="30"/>
  <c r="Y324" i="30"/>
  <c r="W314" i="31"/>
  <c r="Y314" i="31"/>
  <c r="W315" i="31"/>
  <c r="Y315" i="31"/>
  <c r="W316" i="31"/>
  <c r="Y316" i="31"/>
  <c r="W317" i="31"/>
  <c r="Y317" i="31"/>
  <c r="W318" i="31"/>
  <c r="Y318" i="31"/>
  <c r="W319" i="31"/>
  <c r="Y319" i="31"/>
  <c r="W321" i="31"/>
  <c r="Y321" i="31"/>
  <c r="W324" i="31"/>
  <c r="Y324" i="31"/>
  <c r="W314" i="32"/>
  <c r="Y314" i="32"/>
  <c r="W315" i="32"/>
  <c r="Y315" i="32"/>
  <c r="W316" i="32"/>
  <c r="Y316" i="32"/>
  <c r="W317" i="32"/>
  <c r="Y317" i="32"/>
  <c r="W318" i="32"/>
  <c r="Y318" i="32"/>
  <c r="W319" i="32"/>
  <c r="Y319" i="32"/>
  <c r="W321" i="32"/>
  <c r="Y321" i="32"/>
  <c r="W324" i="32"/>
  <c r="Y324" i="32"/>
  <c r="W314" i="33"/>
  <c r="Y314" i="33"/>
  <c r="W315" i="33"/>
  <c r="Y315" i="33"/>
  <c r="W316" i="33"/>
  <c r="Y316" i="33"/>
  <c r="W317" i="33"/>
  <c r="Y317" i="33"/>
  <c r="W318" i="33"/>
  <c r="Y318" i="33"/>
  <c r="W319" i="33"/>
  <c r="Y319" i="33"/>
  <c r="W321" i="33"/>
  <c r="Y321" i="33"/>
  <c r="W324" i="33"/>
  <c r="Y324" i="33"/>
  <c r="W314" i="3"/>
  <c r="Y314" i="3"/>
  <c r="W315" i="3"/>
  <c r="Y315" i="3"/>
  <c r="W316" i="3"/>
  <c r="Y316" i="3"/>
  <c r="W317" i="3"/>
  <c r="Y317" i="3"/>
  <c r="W318" i="3"/>
  <c r="Y318" i="3"/>
  <c r="W319" i="3"/>
  <c r="Y319" i="3"/>
  <c r="W321" i="3"/>
  <c r="Y321" i="3"/>
  <c r="W324" i="3"/>
  <c r="Y324" i="3"/>
  <c r="W338" i="30"/>
  <c r="Y338" i="30"/>
  <c r="W339" i="30"/>
  <c r="Y339" i="30"/>
  <c r="W340" i="30"/>
  <c r="Y340" i="30"/>
  <c r="W341" i="30"/>
  <c r="Y341" i="30"/>
  <c r="W342" i="30"/>
  <c r="Y342" i="30"/>
  <c r="W343" i="30"/>
  <c r="Y343" i="30"/>
  <c r="W345" i="30"/>
  <c r="Y345" i="30"/>
  <c r="W348" i="30"/>
  <c r="Y348" i="30"/>
  <c r="W338" i="31"/>
  <c r="Y338" i="31"/>
  <c r="W339" i="31"/>
  <c r="Y339" i="31"/>
  <c r="W340" i="31"/>
  <c r="Y340" i="31"/>
  <c r="W341" i="31"/>
  <c r="Y341" i="31"/>
  <c r="W342" i="31"/>
  <c r="Y342" i="31"/>
  <c r="W343" i="31"/>
  <c r="Y343" i="31"/>
  <c r="W345" i="31"/>
  <c r="Y345" i="31"/>
  <c r="W348" i="31"/>
  <c r="Y348" i="31"/>
  <c r="W338" i="32"/>
  <c r="Y338" i="32"/>
  <c r="W339" i="32"/>
  <c r="Y339" i="32"/>
  <c r="W340" i="32"/>
  <c r="Y340" i="32"/>
  <c r="W341" i="32"/>
  <c r="Y341" i="32"/>
  <c r="W342" i="32"/>
  <c r="Y342" i="32"/>
  <c r="W343" i="32"/>
  <c r="Y343" i="32"/>
  <c r="W345" i="32"/>
  <c r="Y345" i="32"/>
  <c r="W348" i="32"/>
  <c r="Y348" i="32"/>
  <c r="W338" i="33"/>
  <c r="Y338" i="33"/>
  <c r="W339" i="33"/>
  <c r="Y339" i="33"/>
  <c r="W340" i="33"/>
  <c r="Y340" i="33"/>
  <c r="W341" i="33"/>
  <c r="Y341" i="33"/>
  <c r="W342" i="33"/>
  <c r="Y342" i="33"/>
  <c r="W343" i="33"/>
  <c r="Y343" i="33"/>
  <c r="W345" i="33"/>
  <c r="Y345" i="33"/>
  <c r="W348" i="33"/>
  <c r="Y348" i="33"/>
  <c r="W338" i="3"/>
  <c r="Y338" i="3"/>
  <c r="W339" i="3"/>
  <c r="Y339" i="3"/>
  <c r="W340" i="3"/>
  <c r="Y340" i="3"/>
  <c r="W341" i="3"/>
  <c r="Y341" i="3"/>
  <c r="W342" i="3"/>
  <c r="Y342" i="3"/>
  <c r="W343" i="3"/>
  <c r="Y343" i="3"/>
  <c r="W345" i="3"/>
  <c r="Y345" i="3"/>
  <c r="W348" i="3"/>
  <c r="Y348" i="3"/>
  <c r="C54" i="30"/>
  <c r="C55" i="30"/>
  <c r="C54" i="31"/>
  <c r="C55" i="31"/>
  <c r="C54" i="32"/>
  <c r="C55" i="32"/>
  <c r="C54" i="33"/>
  <c r="C55" i="33"/>
  <c r="C54" i="3"/>
  <c r="C55" i="3"/>
  <c r="C7" i="17" a="1"/>
  <c r="C7" i="17" s="1"/>
  <c r="B85" i="30" a="1"/>
  <c r="B93" i="30" s="1"/>
  <c r="B85" i="31" a="1"/>
  <c r="B94" i="31" s="1"/>
  <c r="B85" i="32" a="1"/>
  <c r="B93" i="32" s="1"/>
  <c r="B85" i="33" a="1"/>
  <c r="B94" i="33" s="1"/>
  <c r="B85" i="3" a="1"/>
  <c r="B93" i="3" s="1"/>
  <c r="B69" i="30" a="1"/>
  <c r="B77" i="30" s="1"/>
  <c r="B69" i="31" a="1"/>
  <c r="B78" i="31" s="1"/>
  <c r="B69" i="32" a="1"/>
  <c r="B77" i="32" s="1"/>
  <c r="B69" i="33" a="1"/>
  <c r="B78" i="33" s="1"/>
  <c r="B69" i="3" a="1"/>
  <c r="B77" i="3" s="1"/>
  <c r="B53" i="30" a="1"/>
  <c r="B55" i="30" s="1"/>
  <c r="B53" i="31" a="1"/>
  <c r="B56" i="31" s="1"/>
  <c r="B53" i="32" a="1"/>
  <c r="B55" i="32" s="1"/>
  <c r="B53" i="33" a="1"/>
  <c r="B56" i="33" s="1"/>
  <c r="B53" i="3" a="1"/>
  <c r="B55" i="3" s="1"/>
  <c r="C273" i="30" a="1"/>
  <c r="C275" i="30" s="1"/>
  <c r="C273" i="31" a="1"/>
  <c r="C276" i="31" s="1"/>
  <c r="C273" i="32" a="1"/>
  <c r="C275" i="32" s="1"/>
  <c r="C273" i="33" a="1"/>
  <c r="C276" i="33" s="1"/>
  <c r="C273" i="3" a="1"/>
  <c r="C275" i="3" s="1"/>
  <c r="C297" i="30" a="1"/>
  <c r="C299" i="30" s="1"/>
  <c r="C297" i="31" a="1"/>
  <c r="C300" i="31" s="1"/>
  <c r="C297" i="32" a="1"/>
  <c r="C299" i="32" s="1"/>
  <c r="C297" i="33" a="1"/>
  <c r="C300" i="33" s="1"/>
  <c r="C297" i="3" a="1"/>
  <c r="C299" i="3" s="1"/>
  <c r="C321" i="30" a="1"/>
  <c r="C323" i="30" s="1"/>
  <c r="C321" i="31" a="1"/>
  <c r="C324" i="31" s="1"/>
  <c r="C321" i="32" a="1"/>
  <c r="C323" i="32" s="1"/>
  <c r="C321" i="33" a="1"/>
  <c r="C324" i="33" s="1"/>
  <c r="C321" i="3" a="1"/>
  <c r="C323" i="3" s="1"/>
  <c r="C345" i="30" a="1"/>
  <c r="C345" i="30" s="1"/>
  <c r="C345" i="31" a="1"/>
  <c r="C345" i="31" s="1"/>
  <c r="C345" i="32" a="1"/>
  <c r="C345" i="32" s="1"/>
  <c r="C345" i="33" a="1"/>
  <c r="C347" i="33" s="1"/>
  <c r="C345" i="3" a="1"/>
  <c r="C345" i="3" s="1"/>
  <c r="C473" i="30" a="1"/>
  <c r="C481" i="30" s="1"/>
  <c r="C473" i="31" a="1"/>
  <c r="C482" i="31" s="1"/>
  <c r="C473" i="32" a="1"/>
  <c r="C481" i="32" s="1"/>
  <c r="C473" i="33" a="1"/>
  <c r="C482" i="33" s="1"/>
  <c r="C473" i="3" a="1"/>
  <c r="C481" i="3" s="1"/>
  <c r="B10" i="30" a="1"/>
  <c r="B10" i="30" s="1"/>
  <c r="B10" i="31" a="1"/>
  <c r="B16" i="31" s="1"/>
  <c r="B10" i="32" a="1"/>
  <c r="B10" i="32" s="1"/>
  <c r="B10" i="33" a="1"/>
  <c r="B14" i="33" s="1"/>
  <c r="B10" i="3" a="1"/>
  <c r="B14" i="3" s="1"/>
  <c r="D17" i="3"/>
  <c r="E14" i="17" s="1"/>
  <c r="D18" i="3"/>
  <c r="E15" i="17" s="1"/>
  <c r="B27" i="3" a="1"/>
  <c r="B28" i="3" s="1"/>
  <c r="B27" i="33" a="1"/>
  <c r="B28" i="33" s="1"/>
  <c r="B27" i="32" a="1"/>
  <c r="B28" i="32" s="1"/>
  <c r="B27" i="31" a="1"/>
  <c r="B28" i="31" s="1"/>
  <c r="B27" i="30" a="1"/>
  <c r="B28" i="30" s="1"/>
  <c r="B180" i="16" a="1"/>
  <c r="B182" i="16" s="1"/>
  <c r="B162" i="16" a="1"/>
  <c r="B164" i="16" s="1"/>
  <c r="B144" i="16" a="1"/>
  <c r="B146" i="16" s="1"/>
  <c r="B126" i="16" a="1"/>
  <c r="B128" i="16" s="1"/>
  <c r="B79" i="16" a="1"/>
  <c r="B79" i="16" s="1"/>
  <c r="C338" i="30" a="1"/>
  <c r="C340" i="30" s="1"/>
  <c r="C338" i="31" a="1"/>
  <c r="C341" i="31" s="1"/>
  <c r="C338" i="32" a="1"/>
  <c r="C342" i="32" s="1"/>
  <c r="C338" i="33" a="1"/>
  <c r="C341" i="33" s="1"/>
  <c r="C338" i="3" a="1"/>
  <c r="C340" i="3" s="1"/>
  <c r="C314" i="30" a="1"/>
  <c r="C316" i="30" s="1"/>
  <c r="C314" i="31" a="1"/>
  <c r="C319" i="31" s="1"/>
  <c r="C314" i="32" a="1"/>
  <c r="C318" i="32" s="1"/>
  <c r="C314" i="33" a="1"/>
  <c r="C317" i="33" s="1"/>
  <c r="C314" i="3" a="1"/>
  <c r="C316" i="3" s="1"/>
  <c r="C290" i="30" a="1"/>
  <c r="C292" i="30" s="1"/>
  <c r="C290" i="31" a="1"/>
  <c r="C295" i="31" s="1"/>
  <c r="C290" i="32" a="1"/>
  <c r="C293" i="32" s="1"/>
  <c r="C290" i="33" a="1"/>
  <c r="C293" i="33" s="1"/>
  <c r="C290" i="3" a="1"/>
  <c r="C292" i="3" s="1"/>
  <c r="C266" i="30" a="1"/>
  <c r="C268" i="30" s="1"/>
  <c r="C266" i="31" a="1"/>
  <c r="C267" i="31" s="1"/>
  <c r="C266" i="32" a="1"/>
  <c r="C266" i="32" s="1"/>
  <c r="C266" i="33" a="1"/>
  <c r="C268" i="33" s="1"/>
  <c r="C266" i="3" a="1"/>
  <c r="C268" i="3" s="1"/>
  <c r="B36" i="30" a="1"/>
  <c r="B38" i="30" s="1"/>
  <c r="B36" i="31" a="1"/>
  <c r="B41" i="31" s="1"/>
  <c r="B36" i="32" a="1"/>
  <c r="B40" i="32" s="1"/>
  <c r="B36" i="33" a="1"/>
  <c r="B39" i="33" s="1"/>
  <c r="B36" i="3" a="1"/>
  <c r="B38" i="3" s="1"/>
  <c r="B55" i="16" a="1"/>
  <c r="B57" i="16" s="1"/>
  <c r="K12" i="10"/>
  <c r="B22" i="39"/>
  <c r="B50" i="42"/>
  <c r="E92" i="35" s="1"/>
  <c r="B28" i="41"/>
  <c r="C55" i="13" s="1"/>
  <c r="B29" i="41"/>
  <c r="B66" i="13" s="1"/>
  <c r="B27" i="41"/>
  <c r="D53" i="13" s="1"/>
  <c r="B26" i="41"/>
  <c r="B55" i="13" s="1"/>
  <c r="E33" i="13"/>
  <c r="E34" i="13"/>
  <c r="E35" i="13"/>
  <c r="E32" i="13"/>
  <c r="E31" i="13"/>
  <c r="B65" i="13"/>
  <c r="B16" i="41"/>
  <c r="B22" i="13" s="1"/>
  <c r="D214" i="13"/>
  <c r="D215" i="13"/>
  <c r="D216" i="13"/>
  <c r="D195" i="34"/>
  <c r="E195" i="34"/>
  <c r="F195" i="34"/>
  <c r="G195" i="34"/>
  <c r="H195" i="34"/>
  <c r="I195" i="34"/>
  <c r="J195" i="34"/>
  <c r="K195" i="34"/>
  <c r="L195" i="34"/>
  <c r="M195" i="34"/>
  <c r="N195" i="34"/>
  <c r="O195" i="34"/>
  <c r="P195" i="34"/>
  <c r="Q195" i="34"/>
  <c r="R195" i="34"/>
  <c r="S195" i="34"/>
  <c r="T195" i="34"/>
  <c r="U195" i="34"/>
  <c r="V195" i="34"/>
  <c r="W195" i="34"/>
  <c r="X195" i="34"/>
  <c r="Y195" i="34"/>
  <c r="Z195" i="34"/>
  <c r="AA195" i="34"/>
  <c r="AB195" i="34"/>
  <c r="D196" i="34"/>
  <c r="E196" i="34"/>
  <c r="F196" i="34"/>
  <c r="G196" i="34"/>
  <c r="H196" i="34"/>
  <c r="I196" i="34"/>
  <c r="J196" i="34"/>
  <c r="K196" i="34"/>
  <c r="L196" i="34"/>
  <c r="M196" i="34"/>
  <c r="N196" i="34"/>
  <c r="O196" i="34"/>
  <c r="P196" i="34"/>
  <c r="Q196" i="34"/>
  <c r="R196" i="34"/>
  <c r="S196" i="34"/>
  <c r="T196" i="34"/>
  <c r="U196" i="34"/>
  <c r="V196" i="34"/>
  <c r="W196" i="34"/>
  <c r="X196" i="34"/>
  <c r="Y196" i="34"/>
  <c r="Z196" i="34"/>
  <c r="AA196" i="34"/>
  <c r="AB196" i="34"/>
  <c r="D197" i="34"/>
  <c r="E197" i="34"/>
  <c r="F197" i="34"/>
  <c r="G197" i="34"/>
  <c r="H197" i="34"/>
  <c r="I197" i="34"/>
  <c r="J197" i="34"/>
  <c r="K197" i="34"/>
  <c r="L197" i="34"/>
  <c r="M197" i="34"/>
  <c r="N197" i="34"/>
  <c r="O197" i="34"/>
  <c r="P197" i="34"/>
  <c r="Q197" i="34"/>
  <c r="R197" i="34"/>
  <c r="S197" i="34"/>
  <c r="T197" i="34"/>
  <c r="U197" i="34"/>
  <c r="V197" i="34"/>
  <c r="W197" i="34"/>
  <c r="X197" i="34"/>
  <c r="Y197" i="34"/>
  <c r="Z197" i="34"/>
  <c r="AA197" i="34"/>
  <c r="AB197" i="34"/>
  <c r="D195" i="35"/>
  <c r="E195" i="35"/>
  <c r="F195" i="35"/>
  <c r="G195" i="35"/>
  <c r="H195" i="35"/>
  <c r="I195" i="35"/>
  <c r="J195" i="35"/>
  <c r="K195" i="35"/>
  <c r="L195" i="35"/>
  <c r="M195" i="35"/>
  <c r="N195" i="35"/>
  <c r="O195" i="35"/>
  <c r="P195" i="35"/>
  <c r="Q195" i="35"/>
  <c r="R195" i="35"/>
  <c r="S195" i="35"/>
  <c r="T195" i="35"/>
  <c r="U195" i="35"/>
  <c r="V195" i="35"/>
  <c r="W195" i="35"/>
  <c r="X195" i="35"/>
  <c r="Y195" i="35"/>
  <c r="Z195" i="35"/>
  <c r="AA195" i="35"/>
  <c r="AB195" i="35"/>
  <c r="D196" i="35"/>
  <c r="E196" i="35"/>
  <c r="F196" i="35"/>
  <c r="G196" i="35"/>
  <c r="H196" i="35"/>
  <c r="I196" i="35"/>
  <c r="J196" i="35"/>
  <c r="K196" i="35"/>
  <c r="L196" i="35"/>
  <c r="M196" i="35"/>
  <c r="N196" i="35"/>
  <c r="O196" i="35"/>
  <c r="P196" i="35"/>
  <c r="Q196" i="35"/>
  <c r="R196" i="35"/>
  <c r="S196" i="35"/>
  <c r="T196" i="35"/>
  <c r="U196" i="35"/>
  <c r="V196" i="35"/>
  <c r="W196" i="35"/>
  <c r="X196" i="35"/>
  <c r="Y196" i="35"/>
  <c r="Z196" i="35"/>
  <c r="AA196" i="35"/>
  <c r="AB196" i="35"/>
  <c r="D197" i="35"/>
  <c r="E197" i="35"/>
  <c r="F197" i="35"/>
  <c r="G197" i="35"/>
  <c r="H197" i="35"/>
  <c r="I197" i="35"/>
  <c r="J197" i="35"/>
  <c r="K197" i="35"/>
  <c r="L197" i="35"/>
  <c r="M197" i="35"/>
  <c r="N197" i="35"/>
  <c r="O197" i="35"/>
  <c r="P197" i="35"/>
  <c r="Q197" i="35"/>
  <c r="R197" i="35"/>
  <c r="S197" i="35"/>
  <c r="T197" i="35"/>
  <c r="U197" i="35"/>
  <c r="V197" i="35"/>
  <c r="W197" i="35"/>
  <c r="X197" i="35"/>
  <c r="Y197" i="35"/>
  <c r="Z197" i="35"/>
  <c r="AA197" i="35"/>
  <c r="AB197" i="35"/>
  <c r="D195" i="36"/>
  <c r="E195" i="36"/>
  <c r="F195" i="36"/>
  <c r="G195" i="36"/>
  <c r="H195" i="36"/>
  <c r="I195" i="36"/>
  <c r="J195" i="36"/>
  <c r="K195" i="36"/>
  <c r="L195" i="36"/>
  <c r="M195" i="36"/>
  <c r="N195" i="36"/>
  <c r="O195" i="36"/>
  <c r="P195" i="36"/>
  <c r="Q195" i="36"/>
  <c r="R195" i="36"/>
  <c r="S195" i="36"/>
  <c r="T195" i="36"/>
  <c r="U195" i="36"/>
  <c r="V195" i="36"/>
  <c r="W195" i="36"/>
  <c r="X195" i="36"/>
  <c r="Y195" i="36"/>
  <c r="Z195" i="36"/>
  <c r="AA195" i="36"/>
  <c r="AB195" i="36"/>
  <c r="D196" i="36"/>
  <c r="E196" i="36"/>
  <c r="F196" i="36"/>
  <c r="G196" i="36"/>
  <c r="H196" i="36"/>
  <c r="I196" i="36"/>
  <c r="J196" i="36"/>
  <c r="K196" i="36"/>
  <c r="L196" i="36"/>
  <c r="M196" i="36"/>
  <c r="N196" i="36"/>
  <c r="O196" i="36"/>
  <c r="P196" i="36"/>
  <c r="Q196" i="36"/>
  <c r="R196" i="36"/>
  <c r="S196" i="36"/>
  <c r="T196" i="36"/>
  <c r="U196" i="36"/>
  <c r="V196" i="36"/>
  <c r="W196" i="36"/>
  <c r="X196" i="36"/>
  <c r="Y196" i="36"/>
  <c r="Z196" i="36"/>
  <c r="AA196" i="36"/>
  <c r="AB196" i="36"/>
  <c r="D197" i="36"/>
  <c r="E197" i="36"/>
  <c r="F197" i="36"/>
  <c r="G197" i="36"/>
  <c r="H197" i="36"/>
  <c r="I197" i="36"/>
  <c r="J197" i="36"/>
  <c r="K197" i="36"/>
  <c r="L197" i="36"/>
  <c r="M197" i="36"/>
  <c r="N197" i="36"/>
  <c r="O197" i="36"/>
  <c r="P197" i="36"/>
  <c r="Q197" i="36"/>
  <c r="R197" i="36"/>
  <c r="S197" i="36"/>
  <c r="T197" i="36"/>
  <c r="U197" i="36"/>
  <c r="V197" i="36"/>
  <c r="W197" i="36"/>
  <c r="X197" i="36"/>
  <c r="Y197" i="36"/>
  <c r="Z197" i="36"/>
  <c r="AA197" i="36"/>
  <c r="AB197" i="36"/>
  <c r="D195" i="37"/>
  <c r="E195" i="37"/>
  <c r="F195" i="37"/>
  <c r="G195" i="37"/>
  <c r="H195" i="37"/>
  <c r="I195" i="37"/>
  <c r="J195" i="37"/>
  <c r="K195" i="37"/>
  <c r="L195" i="37"/>
  <c r="M195" i="37"/>
  <c r="N195" i="37"/>
  <c r="O195" i="37"/>
  <c r="P195" i="37"/>
  <c r="Q195" i="37"/>
  <c r="R195" i="37"/>
  <c r="S195" i="37"/>
  <c r="T195" i="37"/>
  <c r="U195" i="37"/>
  <c r="V195" i="37"/>
  <c r="W195" i="37"/>
  <c r="X195" i="37"/>
  <c r="Y195" i="37"/>
  <c r="Z195" i="37"/>
  <c r="AA195" i="37"/>
  <c r="AB195" i="37"/>
  <c r="D196" i="37"/>
  <c r="E196" i="37"/>
  <c r="F196" i="37"/>
  <c r="G196" i="37"/>
  <c r="H196" i="37"/>
  <c r="I196" i="37"/>
  <c r="J196" i="37"/>
  <c r="K196" i="37"/>
  <c r="L196" i="37"/>
  <c r="M196" i="37"/>
  <c r="N196" i="37"/>
  <c r="O196" i="37"/>
  <c r="P196" i="37"/>
  <c r="Q196" i="37"/>
  <c r="R196" i="37"/>
  <c r="S196" i="37"/>
  <c r="T196" i="37"/>
  <c r="U196" i="37"/>
  <c r="V196" i="37"/>
  <c r="W196" i="37"/>
  <c r="X196" i="37"/>
  <c r="Y196" i="37"/>
  <c r="Z196" i="37"/>
  <c r="AA196" i="37"/>
  <c r="AB196" i="37"/>
  <c r="D197" i="37"/>
  <c r="E197" i="37"/>
  <c r="F197" i="37"/>
  <c r="G197" i="37"/>
  <c r="H197" i="37"/>
  <c r="I197" i="37"/>
  <c r="J197" i="37"/>
  <c r="K197" i="37"/>
  <c r="L197" i="37"/>
  <c r="M197" i="37"/>
  <c r="N197" i="37"/>
  <c r="O197" i="37"/>
  <c r="P197" i="37"/>
  <c r="Q197" i="37"/>
  <c r="R197" i="37"/>
  <c r="S197" i="37"/>
  <c r="T197" i="37"/>
  <c r="U197" i="37"/>
  <c r="V197" i="37"/>
  <c r="W197" i="37"/>
  <c r="X197" i="37"/>
  <c r="Y197" i="37"/>
  <c r="Z197" i="37"/>
  <c r="AA197" i="37"/>
  <c r="AB197" i="37"/>
  <c r="D195" i="2"/>
  <c r="E195" i="2"/>
  <c r="F195" i="2"/>
  <c r="G195" i="2"/>
  <c r="H195" i="2"/>
  <c r="I195" i="2"/>
  <c r="J195" i="2"/>
  <c r="K195" i="2"/>
  <c r="L195" i="2"/>
  <c r="M195" i="2"/>
  <c r="N195" i="2"/>
  <c r="O195" i="2"/>
  <c r="P195" i="2"/>
  <c r="Q195" i="2"/>
  <c r="R195" i="2"/>
  <c r="S195" i="2"/>
  <c r="T195" i="2"/>
  <c r="U195" i="2"/>
  <c r="V195" i="2"/>
  <c r="W195" i="2"/>
  <c r="X195" i="2"/>
  <c r="Y195" i="2"/>
  <c r="Z195" i="2"/>
  <c r="AA195" i="2"/>
  <c r="AB195" i="2"/>
  <c r="D196" i="2"/>
  <c r="E196" i="2"/>
  <c r="F196" i="2"/>
  <c r="G196" i="2"/>
  <c r="H196" i="2"/>
  <c r="I196" i="2"/>
  <c r="J196" i="2"/>
  <c r="K196" i="2"/>
  <c r="L196" i="2"/>
  <c r="M196" i="2"/>
  <c r="N196" i="2"/>
  <c r="O196" i="2"/>
  <c r="P196" i="2"/>
  <c r="Q196" i="2"/>
  <c r="R196" i="2"/>
  <c r="S196" i="2"/>
  <c r="T196" i="2"/>
  <c r="U196" i="2"/>
  <c r="V196" i="2"/>
  <c r="W196" i="2"/>
  <c r="X196" i="2"/>
  <c r="Y196" i="2"/>
  <c r="Z196" i="2"/>
  <c r="AA196" i="2"/>
  <c r="AB196" i="2"/>
  <c r="D197" i="2"/>
  <c r="E197" i="2"/>
  <c r="F197" i="2"/>
  <c r="G197" i="2"/>
  <c r="H197" i="2"/>
  <c r="I197" i="2"/>
  <c r="J197" i="2"/>
  <c r="K197" i="2"/>
  <c r="L197" i="2"/>
  <c r="M197" i="2"/>
  <c r="N197" i="2"/>
  <c r="O197" i="2"/>
  <c r="P197" i="2"/>
  <c r="Q197" i="2"/>
  <c r="R197" i="2"/>
  <c r="S197" i="2"/>
  <c r="T197" i="2"/>
  <c r="U197" i="2"/>
  <c r="V197" i="2"/>
  <c r="W197" i="2"/>
  <c r="X197" i="2"/>
  <c r="Y197" i="2"/>
  <c r="Z197" i="2"/>
  <c r="AA197" i="2"/>
  <c r="AB197" i="2"/>
  <c r="B105" i="56"/>
  <c r="B106" i="56"/>
  <c r="B107" i="56"/>
  <c r="B108" i="56"/>
  <c r="B109" i="56"/>
  <c r="B110" i="56"/>
  <c r="B104" i="56"/>
  <c r="E40" i="13"/>
  <c r="D24" i="2" s="1"/>
  <c r="D20" i="10" s="1"/>
  <c r="E41" i="13"/>
  <c r="D25" i="2" s="1"/>
  <c r="D21" i="10" s="1"/>
  <c r="E42" i="13"/>
  <c r="D26" i="2" s="1"/>
  <c r="D22" i="10" s="1"/>
  <c r="J20" i="10"/>
  <c r="K20" i="10"/>
  <c r="L20" i="10"/>
  <c r="M20" i="10"/>
  <c r="N20" i="10"/>
  <c r="O20" i="10"/>
  <c r="J21" i="10"/>
  <c r="K21" i="10"/>
  <c r="L21" i="10"/>
  <c r="M21" i="10"/>
  <c r="N21" i="10"/>
  <c r="O21" i="10"/>
  <c r="J22" i="10"/>
  <c r="K22" i="10"/>
  <c r="L22" i="10"/>
  <c r="M22" i="10"/>
  <c r="N22" i="10"/>
  <c r="O22" i="10"/>
  <c r="E24" i="2"/>
  <c r="E20" i="10" s="1"/>
  <c r="E25" i="2"/>
  <c r="E21" i="10" s="1"/>
  <c r="E26" i="2"/>
  <c r="E22" i="10" s="1"/>
  <c r="C24" i="34"/>
  <c r="B77" i="34" s="1"/>
  <c r="C25" i="34"/>
  <c r="B78" i="34" s="1"/>
  <c r="C26" i="34"/>
  <c r="B79" i="34" s="1"/>
  <c r="C24" i="35"/>
  <c r="B77" i="35" s="1"/>
  <c r="C25" i="35"/>
  <c r="B78" i="35" s="1"/>
  <c r="C26" i="35"/>
  <c r="B79" i="35" s="1"/>
  <c r="C24" i="36"/>
  <c r="B77" i="36" s="1"/>
  <c r="C25" i="36"/>
  <c r="B78" i="36" s="1"/>
  <c r="C26" i="36"/>
  <c r="B79" i="36" s="1"/>
  <c r="C24" i="37"/>
  <c r="B77" i="37" s="1"/>
  <c r="C25" i="37"/>
  <c r="B78" i="37" s="1"/>
  <c r="C26" i="37"/>
  <c r="B79" i="37" s="1"/>
  <c r="C24" i="2"/>
  <c r="B77" i="2" s="1"/>
  <c r="C25" i="2"/>
  <c r="B78" i="2" s="1"/>
  <c r="C26" i="2"/>
  <c r="B79" i="2" s="1"/>
  <c r="C11" i="34"/>
  <c r="B40" i="34" s="1"/>
  <c r="B54" i="34" s="1"/>
  <c r="C12" i="34"/>
  <c r="B41" i="34" s="1"/>
  <c r="B55" i="34" s="1"/>
  <c r="C13" i="34"/>
  <c r="B42" i="34" s="1"/>
  <c r="B56" i="34" s="1"/>
  <c r="C14" i="34"/>
  <c r="B43" i="34" s="1"/>
  <c r="B57" i="34" s="1"/>
  <c r="C15" i="34"/>
  <c r="B44" i="34" s="1"/>
  <c r="B58" i="34" s="1"/>
  <c r="C16" i="34"/>
  <c r="B45" i="34" s="1"/>
  <c r="B59" i="34" s="1"/>
  <c r="C17" i="34"/>
  <c r="B46" i="34" s="1"/>
  <c r="B60" i="34" s="1"/>
  <c r="C18" i="34"/>
  <c r="C19" i="34"/>
  <c r="C20" i="34"/>
  <c r="B73" i="34" s="1"/>
  <c r="C21" i="34"/>
  <c r="B74" i="34" s="1"/>
  <c r="C22" i="34"/>
  <c r="B75" i="34" s="1"/>
  <c r="C23" i="34"/>
  <c r="B76" i="34" s="1"/>
  <c r="C11" i="35"/>
  <c r="B40" i="35" s="1"/>
  <c r="B54" i="35" s="1"/>
  <c r="C12" i="35"/>
  <c r="B41" i="35" s="1"/>
  <c r="B55" i="35" s="1"/>
  <c r="C13" i="35"/>
  <c r="B42" i="35" s="1"/>
  <c r="B56" i="35" s="1"/>
  <c r="C14" i="35"/>
  <c r="B43" i="35" s="1"/>
  <c r="B57" i="35" s="1"/>
  <c r="C15" i="35"/>
  <c r="B44" i="35" s="1"/>
  <c r="B58" i="35" s="1"/>
  <c r="C16" i="35"/>
  <c r="B45" i="35" s="1"/>
  <c r="B59" i="35" s="1"/>
  <c r="C17" i="35"/>
  <c r="B46" i="35" s="1"/>
  <c r="B60" i="35" s="1"/>
  <c r="C18" i="35"/>
  <c r="C19" i="35"/>
  <c r="C20" i="35"/>
  <c r="B73" i="35" s="1"/>
  <c r="C21" i="35"/>
  <c r="B74" i="35" s="1"/>
  <c r="C22" i="35"/>
  <c r="B75" i="35" s="1"/>
  <c r="C23" i="35"/>
  <c r="B76" i="35" s="1"/>
  <c r="C11" i="36"/>
  <c r="B40" i="36" s="1"/>
  <c r="B54" i="36" s="1"/>
  <c r="C12" i="36"/>
  <c r="B41" i="36" s="1"/>
  <c r="B55" i="36" s="1"/>
  <c r="C13" i="36"/>
  <c r="B42" i="36" s="1"/>
  <c r="B56" i="36" s="1"/>
  <c r="C14" i="36"/>
  <c r="B43" i="36" s="1"/>
  <c r="B57" i="36" s="1"/>
  <c r="C15" i="36"/>
  <c r="B44" i="36" s="1"/>
  <c r="B58" i="36" s="1"/>
  <c r="C16" i="36"/>
  <c r="B45" i="36" s="1"/>
  <c r="B59" i="36" s="1"/>
  <c r="C17" i="36"/>
  <c r="B46" i="36" s="1"/>
  <c r="B60" i="36" s="1"/>
  <c r="C18" i="36"/>
  <c r="C19" i="36"/>
  <c r="C20" i="36"/>
  <c r="B73" i="36" s="1"/>
  <c r="C21" i="36"/>
  <c r="B74" i="36" s="1"/>
  <c r="C22" i="36"/>
  <c r="B75" i="36" s="1"/>
  <c r="C23" i="36"/>
  <c r="B76" i="36" s="1"/>
  <c r="C11" i="37"/>
  <c r="B40" i="37" s="1"/>
  <c r="B54" i="37" s="1"/>
  <c r="C12" i="37"/>
  <c r="B41" i="37" s="1"/>
  <c r="B55" i="37" s="1"/>
  <c r="C13" i="37"/>
  <c r="B42" i="37" s="1"/>
  <c r="B56" i="37" s="1"/>
  <c r="C14" i="37"/>
  <c r="B43" i="37" s="1"/>
  <c r="B57" i="37" s="1"/>
  <c r="C15" i="37"/>
  <c r="B44" i="37" s="1"/>
  <c r="B58" i="37" s="1"/>
  <c r="C16" i="37"/>
  <c r="B45" i="37" s="1"/>
  <c r="B59" i="37" s="1"/>
  <c r="C17" i="37"/>
  <c r="B46" i="37" s="1"/>
  <c r="B60" i="37" s="1"/>
  <c r="C18" i="37"/>
  <c r="C19" i="37"/>
  <c r="C20" i="37"/>
  <c r="B73" i="37" s="1"/>
  <c r="C21" i="37"/>
  <c r="B74" i="37" s="1"/>
  <c r="C22" i="37"/>
  <c r="B75" i="37" s="1"/>
  <c r="C23" i="37"/>
  <c r="B76" i="37" s="1"/>
  <c r="C11" i="2"/>
  <c r="B40" i="2" s="1"/>
  <c r="B54" i="2" s="1"/>
  <c r="C12" i="2"/>
  <c r="B41" i="2" s="1"/>
  <c r="B55" i="2" s="1"/>
  <c r="C13" i="2"/>
  <c r="B42" i="2" s="1"/>
  <c r="B56" i="2" s="1"/>
  <c r="C14" i="2"/>
  <c r="B43" i="2" s="1"/>
  <c r="B57" i="2" s="1"/>
  <c r="C15" i="2"/>
  <c r="B44" i="2" s="1"/>
  <c r="B58" i="2" s="1"/>
  <c r="C16" i="2"/>
  <c r="B45" i="2" s="1"/>
  <c r="B59" i="2" s="1"/>
  <c r="C17" i="2"/>
  <c r="B46" i="2" s="1"/>
  <c r="B60" i="2" s="1"/>
  <c r="C18" i="2"/>
  <c r="C19" i="2"/>
  <c r="C20" i="2"/>
  <c r="B73" i="2" s="1"/>
  <c r="C21" i="2"/>
  <c r="B74" i="2" s="1"/>
  <c r="C22" i="2"/>
  <c r="B75" i="2" s="1"/>
  <c r="C23" i="2"/>
  <c r="B76" i="2" s="1"/>
  <c r="C10" i="34"/>
  <c r="B39" i="34" s="1"/>
  <c r="B53" i="34" s="1"/>
  <c r="C10" i="35"/>
  <c r="B39" i="35" s="1"/>
  <c r="B53" i="35" s="1"/>
  <c r="C10" i="36"/>
  <c r="B39" i="36" s="1"/>
  <c r="B53" i="36" s="1"/>
  <c r="C10" i="37"/>
  <c r="B39" i="37" s="1"/>
  <c r="B53" i="37" s="1"/>
  <c r="C10" i="2"/>
  <c r="B39" i="2" s="1"/>
  <c r="B53" i="2" s="1"/>
  <c r="D201" i="13"/>
  <c r="D202" i="13"/>
  <c r="D203" i="13"/>
  <c r="D204" i="13"/>
  <c r="D205" i="13"/>
  <c r="D206" i="13"/>
  <c r="D207" i="13"/>
  <c r="D208" i="13"/>
  <c r="D209" i="13"/>
  <c r="D210" i="13"/>
  <c r="D211" i="13"/>
  <c r="D212" i="13"/>
  <c r="D213" i="13"/>
  <c r="D200" i="13"/>
  <c r="B107" i="13"/>
  <c r="B108" i="13"/>
  <c r="B109" i="13"/>
  <c r="B110" i="13"/>
  <c r="B111" i="13"/>
  <c r="B112" i="13"/>
  <c r="B106" i="13"/>
  <c r="B57" i="13"/>
  <c r="B58" i="13"/>
  <c r="B59" i="13"/>
  <c r="B60" i="13"/>
  <c r="B61" i="13"/>
  <c r="B62" i="13"/>
  <c r="B63" i="13"/>
  <c r="B64" i="13"/>
  <c r="B56" i="13"/>
  <c r="B136" i="41"/>
  <c r="A2" i="56" s="1"/>
  <c r="B135" i="41"/>
  <c r="A99" i="56" s="1"/>
  <c r="D87" i="56"/>
  <c r="E87" i="56"/>
  <c r="G87" i="56"/>
  <c r="H87" i="56"/>
  <c r="J87" i="56"/>
  <c r="K87" i="56"/>
  <c r="D88" i="56"/>
  <c r="E88" i="56"/>
  <c r="G88" i="56"/>
  <c r="H88" i="56"/>
  <c r="J88" i="56"/>
  <c r="K88" i="56"/>
  <c r="D89" i="56"/>
  <c r="E89" i="56"/>
  <c r="G89" i="56"/>
  <c r="H89" i="56"/>
  <c r="J89" i="56"/>
  <c r="K89" i="56"/>
  <c r="D90" i="56"/>
  <c r="E90" i="56"/>
  <c r="G90" i="56"/>
  <c r="H90" i="56"/>
  <c r="J90" i="56"/>
  <c r="K90" i="56"/>
  <c r="D91" i="56"/>
  <c r="E91" i="56"/>
  <c r="G91" i="56"/>
  <c r="H91" i="56"/>
  <c r="J91" i="56"/>
  <c r="K91" i="56"/>
  <c r="D92" i="56"/>
  <c r="E92" i="56"/>
  <c r="G92" i="56"/>
  <c r="H92" i="56"/>
  <c r="J92" i="56"/>
  <c r="K92" i="56"/>
  <c r="D93" i="56"/>
  <c r="E93" i="56"/>
  <c r="G93" i="56"/>
  <c r="H93" i="56"/>
  <c r="J93" i="56"/>
  <c r="K93" i="56"/>
  <c r="D94" i="56"/>
  <c r="E94" i="56"/>
  <c r="G94" i="56"/>
  <c r="H94" i="56"/>
  <c r="J94" i="56"/>
  <c r="K94" i="56"/>
  <c r="D95" i="56"/>
  <c r="E95" i="56"/>
  <c r="G95" i="56"/>
  <c r="H95" i="56"/>
  <c r="J95" i="56"/>
  <c r="K95" i="56"/>
  <c r="D96" i="56"/>
  <c r="E96" i="56"/>
  <c r="G96" i="56"/>
  <c r="H96" i="56"/>
  <c r="J96" i="56"/>
  <c r="K96" i="56"/>
  <c r="E85" i="56"/>
  <c r="H85" i="56"/>
  <c r="K85" i="56"/>
  <c r="D71" i="56"/>
  <c r="E71" i="56"/>
  <c r="G71" i="56"/>
  <c r="H71" i="56"/>
  <c r="J71" i="56"/>
  <c r="K71" i="56"/>
  <c r="D72" i="56"/>
  <c r="E72" i="56"/>
  <c r="G72" i="56"/>
  <c r="H72" i="56"/>
  <c r="J72" i="56"/>
  <c r="K72" i="56"/>
  <c r="D73" i="56"/>
  <c r="E73" i="56"/>
  <c r="G73" i="56"/>
  <c r="H73" i="56"/>
  <c r="J73" i="56"/>
  <c r="K73" i="56"/>
  <c r="D74" i="56"/>
  <c r="E74" i="56"/>
  <c r="G74" i="56"/>
  <c r="H74" i="56"/>
  <c r="J74" i="56"/>
  <c r="K74" i="56"/>
  <c r="D75" i="56"/>
  <c r="E75" i="56"/>
  <c r="G75" i="56"/>
  <c r="H75" i="56"/>
  <c r="J75" i="56"/>
  <c r="K75" i="56"/>
  <c r="D76" i="56"/>
  <c r="E76" i="56"/>
  <c r="G76" i="56"/>
  <c r="H76" i="56"/>
  <c r="J76" i="56"/>
  <c r="K76" i="56"/>
  <c r="D77" i="56"/>
  <c r="E77" i="56"/>
  <c r="G77" i="56"/>
  <c r="H77" i="56"/>
  <c r="J77" i="56"/>
  <c r="K77" i="56"/>
  <c r="D78" i="56"/>
  <c r="E78" i="56"/>
  <c r="G78" i="56"/>
  <c r="H78" i="56"/>
  <c r="J78" i="56"/>
  <c r="K78" i="56"/>
  <c r="D79" i="56"/>
  <c r="E79" i="56"/>
  <c r="G79" i="56"/>
  <c r="H79" i="56"/>
  <c r="J79" i="56"/>
  <c r="K79" i="56"/>
  <c r="D80" i="56"/>
  <c r="E80" i="56"/>
  <c r="G80" i="56"/>
  <c r="H80" i="56"/>
  <c r="J80" i="56"/>
  <c r="K80" i="56"/>
  <c r="E69" i="56"/>
  <c r="H69" i="56"/>
  <c r="K69" i="56"/>
  <c r="D62" i="56"/>
  <c r="E62" i="56"/>
  <c r="G62" i="56"/>
  <c r="H62" i="56"/>
  <c r="J62" i="56"/>
  <c r="K62" i="56"/>
  <c r="D63" i="56"/>
  <c r="E63" i="56"/>
  <c r="G63" i="56"/>
  <c r="H63" i="56"/>
  <c r="J63" i="56"/>
  <c r="K63" i="56"/>
  <c r="D64" i="56"/>
  <c r="E64" i="56"/>
  <c r="G64" i="56"/>
  <c r="H64" i="56"/>
  <c r="J64" i="56"/>
  <c r="K64" i="56"/>
  <c r="D55" i="56"/>
  <c r="E55" i="56"/>
  <c r="G55" i="56"/>
  <c r="H55" i="56"/>
  <c r="J55" i="56"/>
  <c r="K55" i="56"/>
  <c r="D56" i="56"/>
  <c r="E56" i="56"/>
  <c r="G56" i="56"/>
  <c r="H56" i="56"/>
  <c r="J56" i="56"/>
  <c r="K56" i="56"/>
  <c r="D57" i="56"/>
  <c r="E57" i="56"/>
  <c r="G57" i="56"/>
  <c r="H57" i="56"/>
  <c r="J57" i="56"/>
  <c r="K57" i="56"/>
  <c r="D58" i="56"/>
  <c r="E58" i="56"/>
  <c r="G58" i="56"/>
  <c r="H58" i="56"/>
  <c r="J58" i="56"/>
  <c r="K58" i="56"/>
  <c r="D59" i="56"/>
  <c r="E59" i="56"/>
  <c r="G59" i="56"/>
  <c r="H59" i="56"/>
  <c r="J59" i="56"/>
  <c r="K59" i="56"/>
  <c r="D60" i="56"/>
  <c r="E60" i="56"/>
  <c r="G60" i="56"/>
  <c r="H60" i="56"/>
  <c r="J60" i="56"/>
  <c r="K60" i="56"/>
  <c r="D61" i="56"/>
  <c r="E61" i="56"/>
  <c r="G61" i="56"/>
  <c r="H61" i="56"/>
  <c r="J61" i="56"/>
  <c r="K61" i="56"/>
  <c r="E53" i="56"/>
  <c r="H53" i="56"/>
  <c r="K53" i="56"/>
  <c r="D48" i="56"/>
  <c r="E48" i="56"/>
  <c r="G48" i="56"/>
  <c r="H48" i="56"/>
  <c r="J48" i="56"/>
  <c r="K48" i="56"/>
  <c r="D39" i="56"/>
  <c r="E39" i="56"/>
  <c r="G39" i="56"/>
  <c r="H39" i="56"/>
  <c r="J39" i="56"/>
  <c r="K39" i="56"/>
  <c r="D40" i="56"/>
  <c r="E40" i="56"/>
  <c r="G40" i="56"/>
  <c r="H40" i="56"/>
  <c r="J40" i="56"/>
  <c r="K40" i="56"/>
  <c r="D41" i="56"/>
  <c r="E41" i="56"/>
  <c r="G41" i="56"/>
  <c r="H41" i="56"/>
  <c r="J41" i="56"/>
  <c r="K41" i="56"/>
  <c r="D42" i="56"/>
  <c r="E42" i="56"/>
  <c r="G42" i="56"/>
  <c r="H42" i="56"/>
  <c r="J42" i="56"/>
  <c r="K42" i="56"/>
  <c r="D43" i="56"/>
  <c r="E43" i="56"/>
  <c r="G43" i="56"/>
  <c r="H43" i="56"/>
  <c r="J43" i="56"/>
  <c r="K43" i="56"/>
  <c r="D44" i="56"/>
  <c r="E44" i="56"/>
  <c r="G44" i="56"/>
  <c r="H44" i="56"/>
  <c r="J44" i="56"/>
  <c r="K44" i="56"/>
  <c r="D45" i="56"/>
  <c r="E45" i="56"/>
  <c r="G45" i="56"/>
  <c r="H45" i="56"/>
  <c r="J45" i="56"/>
  <c r="K45" i="56"/>
  <c r="D46" i="56"/>
  <c r="E46" i="56"/>
  <c r="G46" i="56"/>
  <c r="H46" i="56"/>
  <c r="J46" i="56"/>
  <c r="K46" i="56"/>
  <c r="D47" i="56"/>
  <c r="E47" i="56"/>
  <c r="G47" i="56"/>
  <c r="H47" i="56"/>
  <c r="J47" i="56"/>
  <c r="K47" i="56"/>
  <c r="E37" i="56"/>
  <c r="H37" i="56"/>
  <c r="K37" i="56"/>
  <c r="E21" i="56"/>
  <c r="H21" i="56"/>
  <c r="K21" i="56"/>
  <c r="D23" i="56"/>
  <c r="E23" i="56"/>
  <c r="G23" i="56"/>
  <c r="H23" i="56"/>
  <c r="J23" i="56"/>
  <c r="K23" i="56"/>
  <c r="D24" i="56"/>
  <c r="E24" i="56"/>
  <c r="G24" i="56"/>
  <c r="H24" i="56"/>
  <c r="J24" i="56"/>
  <c r="K24" i="56"/>
  <c r="D25" i="56"/>
  <c r="E25" i="56"/>
  <c r="G25" i="56"/>
  <c r="H25" i="56"/>
  <c r="J25" i="56"/>
  <c r="K25" i="56"/>
  <c r="D26" i="56"/>
  <c r="E26" i="56"/>
  <c r="G26" i="56"/>
  <c r="H26" i="56"/>
  <c r="J26" i="56"/>
  <c r="K26" i="56"/>
  <c r="D27" i="56"/>
  <c r="E27" i="56"/>
  <c r="G27" i="56"/>
  <c r="H27" i="56"/>
  <c r="J27" i="56"/>
  <c r="K27" i="56"/>
  <c r="D28" i="56"/>
  <c r="E28" i="56"/>
  <c r="G28" i="56"/>
  <c r="H28" i="56"/>
  <c r="J28" i="56"/>
  <c r="K28" i="56"/>
  <c r="D29" i="56"/>
  <c r="E29" i="56"/>
  <c r="G29" i="56"/>
  <c r="H29" i="56"/>
  <c r="J29" i="56"/>
  <c r="K29" i="56"/>
  <c r="D30" i="56"/>
  <c r="E30" i="56"/>
  <c r="G30" i="56"/>
  <c r="H30" i="56"/>
  <c r="J30" i="56"/>
  <c r="K30" i="56"/>
  <c r="D31" i="56"/>
  <c r="E31" i="56"/>
  <c r="G31" i="56"/>
  <c r="H31" i="56"/>
  <c r="J31" i="56"/>
  <c r="K31" i="56"/>
  <c r="D32" i="56"/>
  <c r="E32" i="56"/>
  <c r="G32" i="56"/>
  <c r="H32" i="56"/>
  <c r="J32" i="56"/>
  <c r="K32" i="56"/>
  <c r="D4" i="56"/>
  <c r="F4" i="56"/>
  <c r="H4" i="56"/>
  <c r="C7" i="56"/>
  <c r="D7" i="56"/>
  <c r="E7" i="56"/>
  <c r="F7" i="56"/>
  <c r="G7" i="56"/>
  <c r="H7" i="56"/>
  <c r="C8" i="56"/>
  <c r="D8" i="56"/>
  <c r="E8" i="56"/>
  <c r="F8" i="56"/>
  <c r="G8" i="56"/>
  <c r="H8" i="56"/>
  <c r="C9" i="56"/>
  <c r="D9" i="56"/>
  <c r="E9" i="56"/>
  <c r="F9" i="56"/>
  <c r="G9" i="56"/>
  <c r="H9" i="56"/>
  <c r="C10" i="56"/>
  <c r="D10" i="56"/>
  <c r="E10" i="56"/>
  <c r="F10" i="56"/>
  <c r="G10" i="56"/>
  <c r="H10" i="56"/>
  <c r="C11" i="56"/>
  <c r="D11" i="56"/>
  <c r="E11" i="56"/>
  <c r="F11" i="56"/>
  <c r="G11" i="56"/>
  <c r="H11" i="56"/>
  <c r="C12" i="56"/>
  <c r="D12" i="56"/>
  <c r="E12" i="56"/>
  <c r="F12" i="56"/>
  <c r="G12" i="56"/>
  <c r="H12" i="56"/>
  <c r="C13" i="56"/>
  <c r="D13" i="56"/>
  <c r="E13" i="56"/>
  <c r="F13" i="56"/>
  <c r="G13" i="56"/>
  <c r="H13" i="56"/>
  <c r="C14" i="56"/>
  <c r="D14" i="56"/>
  <c r="E14" i="56"/>
  <c r="F14" i="56"/>
  <c r="G14" i="56"/>
  <c r="H14" i="56"/>
  <c r="C15" i="56"/>
  <c r="D15" i="56"/>
  <c r="E15" i="56"/>
  <c r="F15" i="56"/>
  <c r="G15" i="56"/>
  <c r="H15" i="56"/>
  <c r="C16" i="56"/>
  <c r="D16" i="56"/>
  <c r="E16" i="56"/>
  <c r="F16" i="56"/>
  <c r="G16" i="56"/>
  <c r="H16" i="56"/>
  <c r="G102" i="56"/>
  <c r="F102" i="56"/>
  <c r="E102" i="56"/>
  <c r="D102" i="56"/>
  <c r="C102" i="56"/>
  <c r="B59" i="41"/>
  <c r="B58" i="41"/>
  <c r="S5" i="56" s="1"/>
  <c r="C86" i="56" s="1"/>
  <c r="B97" i="13"/>
  <c r="B48" i="56" s="1"/>
  <c r="B96" i="13"/>
  <c r="B95" i="56" s="1"/>
  <c r="B95" i="13"/>
  <c r="J14" i="56" s="1"/>
  <c r="B94" i="13"/>
  <c r="B93" i="56" s="1"/>
  <c r="B93" i="13"/>
  <c r="B60" i="56" s="1"/>
  <c r="B92" i="13"/>
  <c r="B91" i="56" s="1"/>
  <c r="B91" i="13"/>
  <c r="B58" i="56" s="1"/>
  <c r="B90" i="13"/>
  <c r="B89" i="56" s="1"/>
  <c r="B89" i="13"/>
  <c r="B56" i="56" s="1"/>
  <c r="B88" i="13"/>
  <c r="B87" i="56" s="1"/>
  <c r="C104" i="13"/>
  <c r="C84" i="13"/>
  <c r="B49" i="41"/>
  <c r="B57" i="41"/>
  <c r="B56" i="41"/>
  <c r="H87" i="13" s="1"/>
  <c r="K54" i="56" s="1"/>
  <c r="B55" i="41"/>
  <c r="G87" i="13" s="1"/>
  <c r="J86" i="56" s="1"/>
  <c r="B54" i="41"/>
  <c r="B53" i="41"/>
  <c r="B52" i="41"/>
  <c r="J5" i="56" s="1"/>
  <c r="B51" i="41"/>
  <c r="B50" i="41"/>
  <c r="B81" i="13" s="1"/>
  <c r="C82" i="13"/>
  <c r="C83" i="13"/>
  <c r="C81" i="13"/>
  <c r="B46" i="41"/>
  <c r="B47" i="41"/>
  <c r="B48" i="41"/>
  <c r="J85" i="56"/>
  <c r="G85" i="56"/>
  <c r="D85" i="56"/>
  <c r="U135" i="16" l="1"/>
  <c r="D263" i="3"/>
  <c r="B82" i="16"/>
  <c r="K135" i="16"/>
  <c r="T263" i="3"/>
  <c r="B83" i="13"/>
  <c r="B101" i="13"/>
  <c r="B47" i="2"/>
  <c r="B61" i="2" s="1"/>
  <c r="C119" i="37"/>
  <c r="B48" i="37"/>
  <c r="B62" i="37" s="1"/>
  <c r="B47" i="34"/>
  <c r="B61" i="34" s="1"/>
  <c r="C119" i="2"/>
  <c r="B48" i="2"/>
  <c r="B62" i="2" s="1"/>
  <c r="B47" i="35"/>
  <c r="B61" i="35" s="1"/>
  <c r="C119" i="34"/>
  <c r="B48" i="34"/>
  <c r="B62" i="34" s="1"/>
  <c r="B47" i="36"/>
  <c r="B61" i="36" s="1"/>
  <c r="C119" i="35"/>
  <c r="B48" i="35"/>
  <c r="B62" i="35" s="1"/>
  <c r="B47" i="37"/>
  <c r="B61" i="37" s="1"/>
  <c r="C119" i="36"/>
  <c r="B48" i="36"/>
  <c r="B62" i="36" s="1"/>
  <c r="P263" i="3"/>
  <c r="Y135" i="16"/>
  <c r="I135" i="16"/>
  <c r="X134" i="16"/>
  <c r="W135" i="16"/>
  <c r="G135" i="16"/>
  <c r="V134" i="16"/>
  <c r="F134" i="16"/>
  <c r="AG135" i="16"/>
  <c r="Q135" i="16"/>
  <c r="AF134" i="16"/>
  <c r="P134" i="16"/>
  <c r="AE135" i="16"/>
  <c r="O135" i="16"/>
  <c r="AC135" i="16"/>
  <c r="M135" i="16"/>
  <c r="AB134" i="16"/>
  <c r="L134" i="16"/>
  <c r="S262" i="3"/>
  <c r="Y302" i="33"/>
  <c r="AB263" i="3"/>
  <c r="L263" i="3"/>
  <c r="AA262" i="3"/>
  <c r="K262" i="3"/>
  <c r="B80" i="16"/>
  <c r="AF263" i="3"/>
  <c r="D14" i="17"/>
  <c r="D15" i="17"/>
  <c r="X277" i="30"/>
  <c r="Y302" i="31"/>
  <c r="AH263" i="3"/>
  <c r="AD263" i="3"/>
  <c r="Z263" i="3"/>
  <c r="V263" i="3"/>
  <c r="R263" i="3"/>
  <c r="N263" i="3"/>
  <c r="J263" i="3"/>
  <c r="F263" i="3"/>
  <c r="AG262" i="3"/>
  <c r="AC262" i="3"/>
  <c r="Y262" i="3"/>
  <c r="U262" i="3"/>
  <c r="Q262" i="3"/>
  <c r="M262" i="3"/>
  <c r="I262" i="3"/>
  <c r="E262" i="3"/>
  <c r="Y278" i="32"/>
  <c r="Y278" i="3"/>
  <c r="Y278" i="30"/>
  <c r="Y349" i="3"/>
  <c r="Y349" i="33"/>
  <c r="Y349" i="32"/>
  <c r="Y349" i="31"/>
  <c r="Y349" i="30"/>
  <c r="Y277" i="33"/>
  <c r="Y277" i="31"/>
  <c r="Y301" i="3"/>
  <c r="Y301" i="32"/>
  <c r="Y301" i="30"/>
  <c r="Y350" i="3"/>
  <c r="Y350" i="33"/>
  <c r="Y350" i="32"/>
  <c r="Y350" i="31"/>
  <c r="Y350" i="30"/>
  <c r="Y277" i="3"/>
  <c r="Y278" i="33"/>
  <c r="Y277" i="32"/>
  <c r="Y278" i="31"/>
  <c r="Y277" i="30"/>
  <c r="Y302" i="3"/>
  <c r="Y301" i="33"/>
  <c r="Y302" i="32"/>
  <c r="Y301" i="31"/>
  <c r="Y302" i="30"/>
  <c r="E334" i="3"/>
  <c r="G334" i="3"/>
  <c r="I334" i="3"/>
  <c r="K334" i="3"/>
  <c r="M334" i="3"/>
  <c r="O334" i="3"/>
  <c r="Q334" i="3"/>
  <c r="S334" i="3"/>
  <c r="U334" i="3"/>
  <c r="W334" i="3"/>
  <c r="Y334" i="3"/>
  <c r="AA334" i="3"/>
  <c r="AC334" i="3"/>
  <c r="AE334" i="3"/>
  <c r="AG334" i="3"/>
  <c r="D335" i="3"/>
  <c r="F335" i="3"/>
  <c r="H335" i="3"/>
  <c r="J335" i="3"/>
  <c r="L335" i="3"/>
  <c r="N335" i="3"/>
  <c r="P335" i="3"/>
  <c r="R335" i="3"/>
  <c r="T335" i="3"/>
  <c r="V335" i="3"/>
  <c r="X335" i="3"/>
  <c r="Z335" i="3"/>
  <c r="AB335" i="3"/>
  <c r="AD335" i="3"/>
  <c r="AF335" i="3"/>
  <c r="AH335" i="3"/>
  <c r="D334" i="3"/>
  <c r="F334" i="3"/>
  <c r="H334" i="3"/>
  <c r="J334" i="3"/>
  <c r="L334" i="3"/>
  <c r="N334" i="3"/>
  <c r="P334" i="3"/>
  <c r="R334" i="3"/>
  <c r="T334" i="3"/>
  <c r="V334" i="3"/>
  <c r="X334" i="3"/>
  <c r="Z334" i="3"/>
  <c r="AB334" i="3"/>
  <c r="AD334" i="3"/>
  <c r="AF334" i="3"/>
  <c r="AH334" i="3"/>
  <c r="E335" i="3"/>
  <c r="G335" i="3"/>
  <c r="I335" i="3"/>
  <c r="K335" i="3"/>
  <c r="M335" i="3"/>
  <c r="O335" i="3"/>
  <c r="Q335" i="3"/>
  <c r="S335" i="3"/>
  <c r="U335" i="3"/>
  <c r="W335" i="3"/>
  <c r="Y335" i="3"/>
  <c r="AA335" i="3"/>
  <c r="AC335" i="3"/>
  <c r="AE335" i="3"/>
  <c r="E310" i="3"/>
  <c r="G310" i="3"/>
  <c r="I310" i="3"/>
  <c r="K310" i="3"/>
  <c r="M310" i="3"/>
  <c r="O310" i="3"/>
  <c r="Q310" i="3"/>
  <c r="S310" i="3"/>
  <c r="U310" i="3"/>
  <c r="W310" i="3"/>
  <c r="Y310" i="3"/>
  <c r="AA310" i="3"/>
  <c r="AC310" i="3"/>
  <c r="AE310" i="3"/>
  <c r="AG310" i="3"/>
  <c r="D311" i="3"/>
  <c r="F311" i="3"/>
  <c r="H311" i="3"/>
  <c r="J311" i="3"/>
  <c r="L311" i="3"/>
  <c r="N311" i="3"/>
  <c r="P311" i="3"/>
  <c r="R311" i="3"/>
  <c r="T311" i="3"/>
  <c r="V311" i="3"/>
  <c r="X311" i="3"/>
  <c r="Z311" i="3"/>
  <c r="AB311" i="3"/>
  <c r="AD311" i="3"/>
  <c r="AF311" i="3"/>
  <c r="AH311" i="3"/>
  <c r="D310" i="3"/>
  <c r="F310" i="3"/>
  <c r="H310" i="3"/>
  <c r="J310" i="3"/>
  <c r="L310" i="3"/>
  <c r="N310" i="3"/>
  <c r="P310" i="3"/>
  <c r="R310" i="3"/>
  <c r="T310" i="3"/>
  <c r="V310" i="3"/>
  <c r="X310" i="3"/>
  <c r="Z310" i="3"/>
  <c r="AB310" i="3"/>
  <c r="AD310" i="3"/>
  <c r="AF310" i="3"/>
  <c r="AH310" i="3"/>
  <c r="E311" i="3"/>
  <c r="G311" i="3"/>
  <c r="I311" i="3"/>
  <c r="K311" i="3"/>
  <c r="M311" i="3"/>
  <c r="O311" i="3"/>
  <c r="Q311" i="3"/>
  <c r="S311" i="3"/>
  <c r="U311" i="3"/>
  <c r="W311" i="3"/>
  <c r="Y311" i="3"/>
  <c r="AA311" i="3"/>
  <c r="AC311" i="3"/>
  <c r="AE311" i="3"/>
  <c r="E286" i="3"/>
  <c r="G286" i="3"/>
  <c r="I286" i="3"/>
  <c r="K286" i="3"/>
  <c r="M286" i="3"/>
  <c r="O286" i="3"/>
  <c r="Q286" i="3"/>
  <c r="S286" i="3"/>
  <c r="U286" i="3"/>
  <c r="W286" i="3"/>
  <c r="Y286" i="3"/>
  <c r="AA286" i="3"/>
  <c r="AC286" i="3"/>
  <c r="AE286" i="3"/>
  <c r="AG286" i="3"/>
  <c r="D287" i="3"/>
  <c r="F287" i="3"/>
  <c r="H287" i="3"/>
  <c r="J287" i="3"/>
  <c r="L287" i="3"/>
  <c r="N287" i="3"/>
  <c r="P287" i="3"/>
  <c r="R287" i="3"/>
  <c r="T287" i="3"/>
  <c r="V287" i="3"/>
  <c r="X287" i="3"/>
  <c r="Z287" i="3"/>
  <c r="AB287" i="3"/>
  <c r="AD287" i="3"/>
  <c r="AF287" i="3"/>
  <c r="AH287" i="3"/>
  <c r="D286" i="3"/>
  <c r="F286" i="3"/>
  <c r="H286" i="3"/>
  <c r="J286" i="3"/>
  <c r="L286" i="3"/>
  <c r="N286" i="3"/>
  <c r="P286" i="3"/>
  <c r="R286" i="3"/>
  <c r="T286" i="3"/>
  <c r="V286" i="3"/>
  <c r="X286" i="3"/>
  <c r="Z286" i="3"/>
  <c r="AB286" i="3"/>
  <c r="AD286" i="3"/>
  <c r="AF286" i="3"/>
  <c r="AH286" i="3"/>
  <c r="E287" i="3"/>
  <c r="G287" i="3"/>
  <c r="I287" i="3"/>
  <c r="K287" i="3"/>
  <c r="M287" i="3"/>
  <c r="O287" i="3"/>
  <c r="Q287" i="3"/>
  <c r="S287" i="3"/>
  <c r="U287" i="3"/>
  <c r="W287" i="3"/>
  <c r="Y287" i="3"/>
  <c r="AA287" i="3"/>
  <c r="AC287" i="3"/>
  <c r="AE287" i="3"/>
  <c r="AG263" i="3"/>
  <c r="AE263" i="3"/>
  <c r="AC263" i="3"/>
  <c r="AA263" i="3"/>
  <c r="Y263" i="3"/>
  <c r="W263" i="3"/>
  <c r="U263" i="3"/>
  <c r="S263" i="3"/>
  <c r="Q263" i="3"/>
  <c r="O263" i="3"/>
  <c r="M263" i="3"/>
  <c r="K263" i="3"/>
  <c r="I263" i="3"/>
  <c r="G263" i="3"/>
  <c r="E263" i="3"/>
  <c r="AH262" i="3"/>
  <c r="AF262" i="3"/>
  <c r="AD262" i="3"/>
  <c r="AB262" i="3"/>
  <c r="Z262" i="3"/>
  <c r="X262" i="3"/>
  <c r="V262" i="3"/>
  <c r="T262" i="3"/>
  <c r="R262" i="3"/>
  <c r="P262" i="3"/>
  <c r="N262" i="3"/>
  <c r="L262" i="3"/>
  <c r="J262" i="3"/>
  <c r="H262" i="3"/>
  <c r="F262" i="3"/>
  <c r="D253" i="16"/>
  <c r="D245" i="16"/>
  <c r="D257" i="16"/>
  <c r="D249" i="16"/>
  <c r="D241" i="16"/>
  <c r="D259" i="16"/>
  <c r="D255" i="16"/>
  <c r="D251" i="16"/>
  <c r="D247" i="16"/>
  <c r="D243" i="16"/>
  <c r="D239" i="16"/>
  <c r="D260" i="16"/>
  <c r="D258" i="16"/>
  <c r="D256" i="16"/>
  <c r="D254" i="16"/>
  <c r="D252" i="16"/>
  <c r="D250" i="16"/>
  <c r="D248" i="16"/>
  <c r="D246" i="16"/>
  <c r="D244" i="16"/>
  <c r="D242" i="16"/>
  <c r="D240" i="16"/>
  <c r="D238" i="16"/>
  <c r="C260" i="16"/>
  <c r="C259" i="16"/>
  <c r="C258" i="16"/>
  <c r="C257" i="16"/>
  <c r="C256" i="16"/>
  <c r="C255" i="16"/>
  <c r="C254" i="16"/>
  <c r="C253" i="16"/>
  <c r="C252" i="16"/>
  <c r="C251" i="16"/>
  <c r="C250" i="16"/>
  <c r="C249" i="16"/>
  <c r="C248" i="16"/>
  <c r="C247" i="16"/>
  <c r="C246" i="16"/>
  <c r="C245" i="16"/>
  <c r="C244" i="16"/>
  <c r="C243" i="16"/>
  <c r="C242" i="16"/>
  <c r="C241" i="16"/>
  <c r="C240" i="16"/>
  <c r="C239" i="16"/>
  <c r="D170" i="16"/>
  <c r="F170" i="16"/>
  <c r="H170" i="16"/>
  <c r="J170" i="16"/>
  <c r="L170" i="16"/>
  <c r="N170" i="16"/>
  <c r="P170" i="16"/>
  <c r="R170" i="16"/>
  <c r="T170" i="16"/>
  <c r="V170" i="16"/>
  <c r="X170" i="16"/>
  <c r="Z170" i="16"/>
  <c r="AB170" i="16"/>
  <c r="AD170" i="16"/>
  <c r="AF170" i="16"/>
  <c r="C171" i="16"/>
  <c r="E171" i="16"/>
  <c r="G171" i="16"/>
  <c r="I171" i="16"/>
  <c r="K171" i="16"/>
  <c r="M171" i="16"/>
  <c r="O171" i="16"/>
  <c r="Q171" i="16"/>
  <c r="S171" i="16"/>
  <c r="U171" i="16"/>
  <c r="W171" i="16"/>
  <c r="Y171" i="16"/>
  <c r="AA171" i="16"/>
  <c r="AC171" i="16"/>
  <c r="AE171" i="16"/>
  <c r="AG171" i="16"/>
  <c r="C170" i="16"/>
  <c r="E170" i="16"/>
  <c r="G170" i="16"/>
  <c r="I170" i="16"/>
  <c r="K170" i="16"/>
  <c r="M170" i="16"/>
  <c r="O170" i="16"/>
  <c r="Q170" i="16"/>
  <c r="S170" i="16"/>
  <c r="U170" i="16"/>
  <c r="W170" i="16"/>
  <c r="Y170" i="16"/>
  <c r="AA170" i="16"/>
  <c r="AC170" i="16"/>
  <c r="AE170" i="16"/>
  <c r="AG170" i="16"/>
  <c r="D171" i="16"/>
  <c r="F171" i="16"/>
  <c r="H171" i="16"/>
  <c r="J171" i="16"/>
  <c r="L171" i="16"/>
  <c r="N171" i="16"/>
  <c r="P171" i="16"/>
  <c r="R171" i="16"/>
  <c r="T171" i="16"/>
  <c r="V171" i="16"/>
  <c r="X171" i="16"/>
  <c r="Z171" i="16"/>
  <c r="AB171" i="16"/>
  <c r="AD171" i="16"/>
  <c r="D152" i="16"/>
  <c r="F152" i="16"/>
  <c r="H152" i="16"/>
  <c r="J152" i="16"/>
  <c r="L152" i="16"/>
  <c r="N152" i="16"/>
  <c r="P152" i="16"/>
  <c r="R152" i="16"/>
  <c r="T152" i="16"/>
  <c r="V152" i="16"/>
  <c r="X152" i="16"/>
  <c r="Z152" i="16"/>
  <c r="AB152" i="16"/>
  <c r="AD152" i="16"/>
  <c r="AF152" i="16"/>
  <c r="C153" i="16"/>
  <c r="E153" i="16"/>
  <c r="G153" i="16"/>
  <c r="I153" i="16"/>
  <c r="K153" i="16"/>
  <c r="M153" i="16"/>
  <c r="O153" i="16"/>
  <c r="Q153" i="16"/>
  <c r="S153" i="16"/>
  <c r="U153" i="16"/>
  <c r="W153" i="16"/>
  <c r="Y153" i="16"/>
  <c r="AA153" i="16"/>
  <c r="AC153" i="16"/>
  <c r="AE153" i="16"/>
  <c r="AG153" i="16"/>
  <c r="C152" i="16"/>
  <c r="E152" i="16"/>
  <c r="G152" i="16"/>
  <c r="I152" i="16"/>
  <c r="K152" i="16"/>
  <c r="M152" i="16"/>
  <c r="O152" i="16"/>
  <c r="Q152" i="16"/>
  <c r="S152" i="16"/>
  <c r="U152" i="16"/>
  <c r="W152" i="16"/>
  <c r="Y152" i="16"/>
  <c r="AA152" i="16"/>
  <c r="AC152" i="16"/>
  <c r="AE152" i="16"/>
  <c r="AG152" i="16"/>
  <c r="D153" i="16"/>
  <c r="F153" i="16"/>
  <c r="H153" i="16"/>
  <c r="J153" i="16"/>
  <c r="L153" i="16"/>
  <c r="N153" i="16"/>
  <c r="P153" i="16"/>
  <c r="R153" i="16"/>
  <c r="T153" i="16"/>
  <c r="V153" i="16"/>
  <c r="X153" i="16"/>
  <c r="Z153" i="16"/>
  <c r="AB153" i="16"/>
  <c r="AD153" i="16"/>
  <c r="AF135" i="16"/>
  <c r="AD135" i="16"/>
  <c r="AB135" i="16"/>
  <c r="Z135" i="16"/>
  <c r="X135" i="16"/>
  <c r="V135" i="16"/>
  <c r="T135" i="16"/>
  <c r="R135" i="16"/>
  <c r="P135" i="16"/>
  <c r="N135" i="16"/>
  <c r="L135" i="16"/>
  <c r="J135" i="16"/>
  <c r="H135" i="16"/>
  <c r="F135" i="16"/>
  <c r="D135" i="16"/>
  <c r="AG134" i="16"/>
  <c r="AE134" i="16"/>
  <c r="AC134" i="16"/>
  <c r="AA134" i="16"/>
  <c r="Y134" i="16"/>
  <c r="W134" i="16"/>
  <c r="U134" i="16"/>
  <c r="S134" i="16"/>
  <c r="Q134" i="16"/>
  <c r="O134" i="16"/>
  <c r="M134" i="16"/>
  <c r="K134" i="16"/>
  <c r="I134" i="16"/>
  <c r="G134" i="16"/>
  <c r="E134" i="16"/>
  <c r="X325" i="32"/>
  <c r="X325" i="3"/>
  <c r="X301" i="31"/>
  <c r="X325" i="33"/>
  <c r="B13" i="33"/>
  <c r="B17" i="30"/>
  <c r="X277" i="33"/>
  <c r="X325" i="31"/>
  <c r="X301" i="30"/>
  <c r="X277" i="3"/>
  <c r="X277" i="32"/>
  <c r="X277" i="31"/>
  <c r="B11" i="3"/>
  <c r="B17" i="33"/>
  <c r="B11" i="33"/>
  <c r="B17" i="32"/>
  <c r="X301" i="3"/>
  <c r="X301" i="33"/>
  <c r="X301" i="32"/>
  <c r="X326" i="3"/>
  <c r="X278" i="3"/>
  <c r="X326" i="33"/>
  <c r="X278" i="33"/>
  <c r="X326" i="32"/>
  <c r="X278" i="32"/>
  <c r="X326" i="31"/>
  <c r="X302" i="31"/>
  <c r="X278" i="31"/>
  <c r="X326" i="30"/>
  <c r="X302" i="30"/>
  <c r="X278" i="30"/>
  <c r="B13" i="32"/>
  <c r="B13" i="30"/>
  <c r="X302" i="3"/>
  <c r="X302" i="33"/>
  <c r="X302" i="32"/>
  <c r="X325" i="30"/>
  <c r="B13" i="3"/>
  <c r="B10" i="3"/>
  <c r="B19" i="33"/>
  <c r="B15" i="33"/>
  <c r="B12" i="33"/>
  <c r="B10" i="33"/>
  <c r="B19" i="32"/>
  <c r="B15" i="32"/>
  <c r="B11" i="32"/>
  <c r="B19" i="31"/>
  <c r="B13" i="31"/>
  <c r="C348" i="30"/>
  <c r="C273" i="33"/>
  <c r="B85" i="33"/>
  <c r="C14" i="17"/>
  <c r="B17" i="3"/>
  <c r="B12" i="3"/>
  <c r="C273" i="31"/>
  <c r="B15" i="31"/>
  <c r="B11" i="31"/>
  <c r="C348" i="3"/>
  <c r="C346" i="33"/>
  <c r="C348" i="32"/>
  <c r="C348" i="31"/>
  <c r="B89" i="33"/>
  <c r="Y325" i="3"/>
  <c r="Y325" i="33"/>
  <c r="Y325" i="32"/>
  <c r="Y325" i="31"/>
  <c r="Y325" i="30"/>
  <c r="Y326" i="3"/>
  <c r="Y326" i="33"/>
  <c r="Y326" i="32"/>
  <c r="Y326" i="31"/>
  <c r="Y326" i="30"/>
  <c r="B19" i="3"/>
  <c r="B15" i="3"/>
  <c r="C475" i="33"/>
  <c r="C479" i="33"/>
  <c r="C475" i="31"/>
  <c r="C479" i="31"/>
  <c r="C346" i="3"/>
  <c r="C348" i="33"/>
  <c r="C345" i="33"/>
  <c r="C346" i="31"/>
  <c r="C323" i="33"/>
  <c r="C323" i="31"/>
  <c r="C297" i="33"/>
  <c r="C297" i="31"/>
  <c r="C275" i="33"/>
  <c r="C275" i="31"/>
  <c r="B53" i="33"/>
  <c r="B55" i="31"/>
  <c r="B69" i="33"/>
  <c r="B73" i="33"/>
  <c r="B69" i="31"/>
  <c r="B73" i="31"/>
  <c r="B77" i="31"/>
  <c r="B85" i="31"/>
  <c r="B89" i="31"/>
  <c r="B93" i="31"/>
  <c r="B17" i="31"/>
  <c r="B14" i="31"/>
  <c r="B12" i="31"/>
  <c r="B10" i="31"/>
  <c r="B19" i="30"/>
  <c r="B15" i="30"/>
  <c r="B11" i="30"/>
  <c r="C473" i="33"/>
  <c r="C477" i="33"/>
  <c r="C473" i="31"/>
  <c r="C477" i="31"/>
  <c r="C481" i="31"/>
  <c r="C346" i="32"/>
  <c r="C346" i="30"/>
  <c r="C321" i="33"/>
  <c r="C321" i="31"/>
  <c r="C299" i="33"/>
  <c r="C299" i="31"/>
  <c r="B53" i="31"/>
  <c r="B71" i="33"/>
  <c r="B75" i="33"/>
  <c r="B71" i="31"/>
  <c r="B75" i="31"/>
  <c r="B87" i="33"/>
  <c r="B91" i="33"/>
  <c r="B87" i="31"/>
  <c r="B91" i="31"/>
  <c r="C10" i="17"/>
  <c r="C16" i="17"/>
  <c r="C12" i="17"/>
  <c r="C8" i="17"/>
  <c r="C15" i="17"/>
  <c r="C13" i="17"/>
  <c r="C11" i="17"/>
  <c r="C9" i="17"/>
  <c r="B86" i="3"/>
  <c r="B88" i="3"/>
  <c r="B90" i="3"/>
  <c r="B92" i="3"/>
  <c r="B94" i="3"/>
  <c r="B93" i="33"/>
  <c r="B86" i="32"/>
  <c r="B88" i="32"/>
  <c r="B90" i="32"/>
  <c r="B92" i="32"/>
  <c r="B94" i="32"/>
  <c r="B86" i="30"/>
  <c r="B88" i="30"/>
  <c r="B90" i="30"/>
  <c r="B92" i="30"/>
  <c r="B94" i="30"/>
  <c r="B85" i="3"/>
  <c r="B87" i="3"/>
  <c r="B89" i="3"/>
  <c r="B91" i="3"/>
  <c r="B86" i="33"/>
  <c r="B88" i="33"/>
  <c r="B90" i="33"/>
  <c r="B92" i="33"/>
  <c r="B85" i="32"/>
  <c r="B87" i="32"/>
  <c r="B89" i="32"/>
  <c r="B91" i="32"/>
  <c r="B86" i="31"/>
  <c r="B88" i="31"/>
  <c r="B90" i="31"/>
  <c r="B92" i="31"/>
  <c r="B85" i="30"/>
  <c r="B87" i="30"/>
  <c r="B89" i="30"/>
  <c r="B91" i="30"/>
  <c r="B70" i="3"/>
  <c r="B72" i="3"/>
  <c r="B74" i="3"/>
  <c r="B76" i="3"/>
  <c r="B78" i="3"/>
  <c r="B77" i="33"/>
  <c r="B70" i="32"/>
  <c r="B72" i="32"/>
  <c r="B74" i="32"/>
  <c r="B76" i="32"/>
  <c r="B78" i="32"/>
  <c r="B70" i="30"/>
  <c r="B72" i="30"/>
  <c r="B74" i="30"/>
  <c r="B76" i="30"/>
  <c r="B78" i="30"/>
  <c r="B69" i="3"/>
  <c r="B71" i="3"/>
  <c r="B73" i="3"/>
  <c r="B75" i="3"/>
  <c r="B70" i="33"/>
  <c r="B72" i="33"/>
  <c r="B74" i="33"/>
  <c r="B76" i="33"/>
  <c r="B69" i="32"/>
  <c r="B71" i="32"/>
  <c r="B73" i="32"/>
  <c r="B75" i="32"/>
  <c r="B70" i="31"/>
  <c r="B72" i="31"/>
  <c r="B74" i="31"/>
  <c r="B76" i="31"/>
  <c r="B69" i="30"/>
  <c r="B71" i="30"/>
  <c r="B73" i="30"/>
  <c r="B75" i="30"/>
  <c r="B54" i="3"/>
  <c r="B56" i="3"/>
  <c r="B55" i="33"/>
  <c r="B54" i="32"/>
  <c r="B56" i="32"/>
  <c r="B54" i="30"/>
  <c r="B56" i="30"/>
  <c r="B53" i="3"/>
  <c r="B54" i="33"/>
  <c r="B53" i="32"/>
  <c r="B54" i="31"/>
  <c r="B53" i="30"/>
  <c r="C274" i="3"/>
  <c r="C276" i="3"/>
  <c r="C274" i="32"/>
  <c r="C276" i="32"/>
  <c r="C274" i="30"/>
  <c r="C276" i="30"/>
  <c r="C273" i="3"/>
  <c r="C274" i="33"/>
  <c r="C273" i="32"/>
  <c r="C274" i="31"/>
  <c r="C273" i="30"/>
  <c r="C298" i="3"/>
  <c r="C300" i="3"/>
  <c r="C298" i="32"/>
  <c r="C300" i="32"/>
  <c r="C298" i="30"/>
  <c r="C300" i="30"/>
  <c r="C297" i="3"/>
  <c r="C298" i="33"/>
  <c r="C297" i="32"/>
  <c r="C298" i="31"/>
  <c r="C297" i="30"/>
  <c r="C322" i="3"/>
  <c r="C324" i="3"/>
  <c r="C322" i="32"/>
  <c r="C324" i="32"/>
  <c r="C322" i="30"/>
  <c r="C324" i="30"/>
  <c r="C321" i="3"/>
  <c r="C322" i="33"/>
  <c r="C321" i="32"/>
  <c r="C322" i="31"/>
  <c r="C321" i="30"/>
  <c r="C347" i="31"/>
  <c r="C347" i="3"/>
  <c r="C347" i="32"/>
  <c r="C347" i="30"/>
  <c r="C474" i="3"/>
  <c r="C476" i="3"/>
  <c r="C478" i="3"/>
  <c r="C480" i="3"/>
  <c r="C482" i="3"/>
  <c r="C481" i="33"/>
  <c r="C474" i="32"/>
  <c r="C476" i="32"/>
  <c r="C478" i="32"/>
  <c r="C480" i="32"/>
  <c r="C482" i="32"/>
  <c r="C474" i="30"/>
  <c r="C476" i="30"/>
  <c r="C478" i="30"/>
  <c r="C480" i="30"/>
  <c r="C482" i="30"/>
  <c r="C473" i="3"/>
  <c r="C475" i="3"/>
  <c r="C477" i="3"/>
  <c r="C479" i="3"/>
  <c r="C474" i="33"/>
  <c r="C476" i="33"/>
  <c r="C478" i="33"/>
  <c r="C480" i="33"/>
  <c r="C473" i="32"/>
  <c r="C475" i="32"/>
  <c r="C477" i="32"/>
  <c r="C479" i="32"/>
  <c r="C474" i="31"/>
  <c r="C476" i="31"/>
  <c r="C478" i="31"/>
  <c r="C480" i="31"/>
  <c r="C473" i="30"/>
  <c r="C475" i="30"/>
  <c r="C477" i="30"/>
  <c r="C479" i="30"/>
  <c r="B18" i="33"/>
  <c r="B16" i="33"/>
  <c r="B18" i="31"/>
  <c r="B18" i="3"/>
  <c r="B16" i="3"/>
  <c r="B18" i="32"/>
  <c r="B16" i="32"/>
  <c r="B14" i="32"/>
  <c r="B12" i="32"/>
  <c r="B18" i="30"/>
  <c r="B16" i="30"/>
  <c r="B14" i="30"/>
  <c r="B12" i="30"/>
  <c r="B29" i="31"/>
  <c r="B29" i="33"/>
  <c r="B32" i="31"/>
  <c r="B31" i="31"/>
  <c r="B27" i="31"/>
  <c r="B32" i="33"/>
  <c r="B31" i="33"/>
  <c r="B27" i="33"/>
  <c r="B32" i="30"/>
  <c r="B31" i="30"/>
  <c r="B29" i="30"/>
  <c r="B27" i="30"/>
  <c r="B30" i="31"/>
  <c r="B32" i="32"/>
  <c r="B31" i="32"/>
  <c r="B29" i="32"/>
  <c r="B27" i="32"/>
  <c r="B30" i="33"/>
  <c r="B32" i="3"/>
  <c r="B31" i="3"/>
  <c r="B29" i="3"/>
  <c r="B27" i="3"/>
  <c r="B30" i="30"/>
  <c r="B30" i="32"/>
  <c r="B30" i="3"/>
  <c r="B181" i="16"/>
  <c r="B183" i="16"/>
  <c r="B180" i="16"/>
  <c r="B163" i="16"/>
  <c r="B165" i="16"/>
  <c r="B162" i="16"/>
  <c r="B145" i="16"/>
  <c r="B147" i="16"/>
  <c r="B144" i="16"/>
  <c r="B127" i="16"/>
  <c r="B129" i="16"/>
  <c r="B126" i="16"/>
  <c r="B81" i="16"/>
  <c r="B40" i="30"/>
  <c r="C270" i="33"/>
  <c r="C267" i="33"/>
  <c r="C269" i="32"/>
  <c r="C269" i="31"/>
  <c r="C267" i="32"/>
  <c r="C270" i="31"/>
  <c r="C268" i="31"/>
  <c r="C269" i="30"/>
  <c r="C316" i="31"/>
  <c r="C338" i="33"/>
  <c r="C291" i="33"/>
  <c r="C291" i="32"/>
  <c r="B38" i="32"/>
  <c r="C271" i="33"/>
  <c r="C269" i="33"/>
  <c r="C266" i="33"/>
  <c r="C290" i="3"/>
  <c r="C290" i="33"/>
  <c r="C294" i="33"/>
  <c r="C290" i="32"/>
  <c r="C295" i="32"/>
  <c r="C290" i="30"/>
  <c r="C315" i="32"/>
  <c r="C340" i="33"/>
  <c r="C343" i="30"/>
  <c r="B41" i="33"/>
  <c r="C271" i="32"/>
  <c r="C294" i="32"/>
  <c r="C318" i="33"/>
  <c r="C319" i="32"/>
  <c r="C343" i="3"/>
  <c r="C340" i="31"/>
  <c r="C339" i="30"/>
  <c r="B40" i="3"/>
  <c r="B38" i="33"/>
  <c r="C266" i="31"/>
  <c r="C294" i="3"/>
  <c r="C295" i="33"/>
  <c r="C292" i="32"/>
  <c r="C294" i="30"/>
  <c r="C314" i="33"/>
  <c r="C316" i="32"/>
  <c r="C317" i="30"/>
  <c r="C339" i="3"/>
  <c r="C339" i="31"/>
  <c r="B36" i="3"/>
  <c r="B37" i="33"/>
  <c r="B37" i="32"/>
  <c r="B36" i="30"/>
  <c r="C338" i="31"/>
  <c r="C343" i="31"/>
  <c r="B36" i="33"/>
  <c r="C342" i="31"/>
  <c r="C341" i="32"/>
  <c r="C338" i="3"/>
  <c r="C342" i="3"/>
  <c r="C339" i="33"/>
  <c r="C343" i="33"/>
  <c r="C340" i="32"/>
  <c r="C338" i="30"/>
  <c r="C342" i="30"/>
  <c r="C341" i="3"/>
  <c r="C342" i="33"/>
  <c r="C339" i="32"/>
  <c r="C343" i="32"/>
  <c r="C341" i="30"/>
  <c r="C338" i="32"/>
  <c r="C317" i="3"/>
  <c r="C315" i="3"/>
  <c r="C319" i="3"/>
  <c r="C316" i="33"/>
  <c r="C317" i="32"/>
  <c r="C314" i="31"/>
  <c r="C318" i="31"/>
  <c r="C315" i="30"/>
  <c r="C319" i="30"/>
  <c r="C314" i="3"/>
  <c r="C318" i="3"/>
  <c r="C315" i="33"/>
  <c r="C319" i="33"/>
  <c r="C317" i="31"/>
  <c r="C314" i="30"/>
  <c r="C318" i="30"/>
  <c r="C314" i="32"/>
  <c r="C315" i="31"/>
  <c r="C293" i="31"/>
  <c r="C291" i="3"/>
  <c r="C295" i="3"/>
  <c r="C292" i="33"/>
  <c r="C290" i="31"/>
  <c r="C294" i="31"/>
  <c r="C291" i="30"/>
  <c r="C295" i="30"/>
  <c r="C293" i="3"/>
  <c r="C292" i="31"/>
  <c r="C293" i="30"/>
  <c r="C291" i="31"/>
  <c r="C269" i="3"/>
  <c r="C270" i="3"/>
  <c r="C266" i="3"/>
  <c r="C268" i="32"/>
  <c r="C271" i="31"/>
  <c r="C270" i="30"/>
  <c r="C266" i="30"/>
  <c r="C271" i="3"/>
  <c r="C267" i="3"/>
  <c r="C271" i="30"/>
  <c r="C267" i="30"/>
  <c r="C270" i="32"/>
  <c r="B37" i="3"/>
  <c r="B41" i="3"/>
  <c r="B39" i="32"/>
  <c r="B36" i="31"/>
  <c r="B40" i="31"/>
  <c r="B37" i="30"/>
  <c r="B41" i="30"/>
  <c r="B39" i="3"/>
  <c r="B40" i="33"/>
  <c r="B41" i="32"/>
  <c r="B38" i="31"/>
  <c r="B39" i="30"/>
  <c r="B39" i="31"/>
  <c r="B36" i="32"/>
  <c r="B37" i="31"/>
  <c r="B58" i="16"/>
  <c r="B59" i="16"/>
  <c r="B55" i="16"/>
  <c r="B60" i="16"/>
  <c r="B56" i="16"/>
  <c r="C101" i="56"/>
  <c r="E92" i="2"/>
  <c r="E92" i="34"/>
  <c r="E92" i="36"/>
  <c r="E92" i="37"/>
  <c r="M5" i="56"/>
  <c r="C38" i="56" s="1"/>
  <c r="Q5" i="56"/>
  <c r="C70" i="56" s="1"/>
  <c r="K5" i="56"/>
  <c r="C22" i="56" s="1"/>
  <c r="O5" i="56"/>
  <c r="C54" i="56" s="1"/>
  <c r="AC197" i="2"/>
  <c r="AC195" i="2"/>
  <c r="D125" i="2"/>
  <c r="AC196" i="2"/>
  <c r="D126" i="2"/>
  <c r="D124" i="2"/>
  <c r="C181" i="2"/>
  <c r="C181" i="36"/>
  <c r="C181" i="34"/>
  <c r="C192" i="2"/>
  <c r="C190" i="2"/>
  <c r="C188" i="2"/>
  <c r="C186" i="2"/>
  <c r="C184" i="2"/>
  <c r="C182" i="2"/>
  <c r="C192" i="37"/>
  <c r="C190" i="37"/>
  <c r="C188" i="37"/>
  <c r="C186" i="37"/>
  <c r="C184" i="37"/>
  <c r="C182" i="37"/>
  <c r="C192" i="36"/>
  <c r="C190" i="36"/>
  <c r="C188" i="36"/>
  <c r="C186" i="36"/>
  <c r="C184" i="36"/>
  <c r="C182" i="36"/>
  <c r="C192" i="35"/>
  <c r="C190" i="35"/>
  <c r="C188" i="35"/>
  <c r="C186" i="35"/>
  <c r="C184" i="35"/>
  <c r="C182" i="35"/>
  <c r="C192" i="34"/>
  <c r="C190" i="34"/>
  <c r="C188" i="34"/>
  <c r="C186" i="34"/>
  <c r="C184" i="34"/>
  <c r="C182" i="34"/>
  <c r="C107" i="56"/>
  <c r="C109" i="13" s="1"/>
  <c r="C181" i="37"/>
  <c r="C181" i="35"/>
  <c r="C193" i="2"/>
  <c r="C191" i="2"/>
  <c r="C189" i="2"/>
  <c r="C187" i="2"/>
  <c r="C185" i="2"/>
  <c r="C183" i="2"/>
  <c r="C193" i="37"/>
  <c r="C191" i="37"/>
  <c r="C189" i="37"/>
  <c r="C187" i="37"/>
  <c r="C185" i="37"/>
  <c r="C183" i="37"/>
  <c r="C193" i="36"/>
  <c r="C191" i="36"/>
  <c r="C189" i="36"/>
  <c r="C187" i="36"/>
  <c r="C185" i="36"/>
  <c r="C183" i="36"/>
  <c r="C193" i="35"/>
  <c r="C191" i="35"/>
  <c r="C189" i="35"/>
  <c r="C187" i="35"/>
  <c r="C185" i="35"/>
  <c r="C183" i="35"/>
  <c r="C193" i="34"/>
  <c r="C191" i="34"/>
  <c r="C189" i="34"/>
  <c r="C187" i="34"/>
  <c r="C185" i="34"/>
  <c r="C183" i="34"/>
  <c r="F107" i="56"/>
  <c r="G107" i="56"/>
  <c r="D107" i="56"/>
  <c r="E107" i="56"/>
  <c r="C195" i="2"/>
  <c r="C195" i="34"/>
  <c r="C195" i="36"/>
  <c r="C195" i="37"/>
  <c r="C195" i="35"/>
  <c r="C194" i="2"/>
  <c r="C194" i="37"/>
  <c r="C194" i="36"/>
  <c r="C194" i="35"/>
  <c r="C194" i="34"/>
  <c r="C197" i="2"/>
  <c r="C197" i="37"/>
  <c r="C197" i="36"/>
  <c r="C197" i="35"/>
  <c r="C197" i="34"/>
  <c r="C196" i="2"/>
  <c r="C196" i="37"/>
  <c r="C196" i="36"/>
  <c r="C196" i="35"/>
  <c r="C196" i="34"/>
  <c r="C140" i="2"/>
  <c r="C140" i="36"/>
  <c r="C140" i="34"/>
  <c r="C142" i="2"/>
  <c r="C144" i="2"/>
  <c r="C146" i="2"/>
  <c r="C148" i="2"/>
  <c r="C150" i="2"/>
  <c r="C152" i="2"/>
  <c r="C154" i="2"/>
  <c r="C20" i="10" s="1"/>
  <c r="C156" i="2"/>
  <c r="C22" i="10" s="1"/>
  <c r="C142" i="37"/>
  <c r="C144" i="37"/>
  <c r="C146" i="37"/>
  <c r="C148" i="37"/>
  <c r="C150" i="37"/>
  <c r="C152" i="37"/>
  <c r="C154" i="37"/>
  <c r="C156" i="37"/>
  <c r="C142" i="36"/>
  <c r="C144" i="36"/>
  <c r="C146" i="36"/>
  <c r="C148" i="36"/>
  <c r="C150" i="36"/>
  <c r="C152" i="36"/>
  <c r="C154" i="36"/>
  <c r="C156" i="36"/>
  <c r="C142" i="35"/>
  <c r="C144" i="35"/>
  <c r="C146" i="35"/>
  <c r="C148" i="35"/>
  <c r="C150" i="35"/>
  <c r="C152" i="35"/>
  <c r="C154" i="35"/>
  <c r="C156" i="35"/>
  <c r="C142" i="34"/>
  <c r="C144" i="34"/>
  <c r="C146" i="34"/>
  <c r="C148" i="34"/>
  <c r="C150" i="34"/>
  <c r="C152" i="34"/>
  <c r="C154" i="34"/>
  <c r="C156" i="34"/>
  <c r="C140" i="37"/>
  <c r="C140" i="35"/>
  <c r="C141" i="2"/>
  <c r="C143" i="2"/>
  <c r="C145" i="2"/>
  <c r="C147" i="2"/>
  <c r="C149" i="2"/>
  <c r="C151" i="2"/>
  <c r="C153" i="2"/>
  <c r="C155" i="2"/>
  <c r="C21" i="10" s="1"/>
  <c r="C141" i="37"/>
  <c r="C143" i="37"/>
  <c r="C145" i="37"/>
  <c r="C147" i="37"/>
  <c r="C149" i="37"/>
  <c r="C151" i="37"/>
  <c r="C153" i="37"/>
  <c r="C155" i="37"/>
  <c r="C141" i="36"/>
  <c r="C143" i="36"/>
  <c r="C145" i="36"/>
  <c r="C147" i="36"/>
  <c r="C149" i="36"/>
  <c r="C151" i="36"/>
  <c r="C153" i="36"/>
  <c r="C155" i="36"/>
  <c r="C141" i="35"/>
  <c r="C143" i="35"/>
  <c r="C145" i="35"/>
  <c r="C147" i="35"/>
  <c r="C149" i="35"/>
  <c r="C151" i="35"/>
  <c r="C153" i="35"/>
  <c r="C155" i="35"/>
  <c r="C141" i="34"/>
  <c r="C143" i="34"/>
  <c r="C145" i="34"/>
  <c r="C147" i="34"/>
  <c r="C149" i="34"/>
  <c r="C151" i="34"/>
  <c r="C153" i="34"/>
  <c r="C155" i="34"/>
  <c r="C125" i="2"/>
  <c r="C123" i="2"/>
  <c r="C121" i="2"/>
  <c r="C117" i="2"/>
  <c r="C115" i="2"/>
  <c r="C113" i="2"/>
  <c r="C111" i="2"/>
  <c r="C125" i="37"/>
  <c r="C123" i="37"/>
  <c r="C121" i="37"/>
  <c r="C117" i="37"/>
  <c r="C115" i="37"/>
  <c r="C113" i="37"/>
  <c r="C111" i="37"/>
  <c r="C125" i="36"/>
  <c r="C123" i="36"/>
  <c r="C121" i="36"/>
  <c r="C117" i="36"/>
  <c r="C115" i="36"/>
  <c r="C113" i="36"/>
  <c r="C111" i="36"/>
  <c r="C125" i="35"/>
  <c r="C123" i="35"/>
  <c r="C121" i="35"/>
  <c r="C117" i="35"/>
  <c r="C115" i="35"/>
  <c r="C113" i="35"/>
  <c r="C111" i="35"/>
  <c r="C125" i="34"/>
  <c r="C123" i="34"/>
  <c r="C121" i="34"/>
  <c r="C117" i="34"/>
  <c r="C115" i="34"/>
  <c r="C113" i="34"/>
  <c r="C111" i="34"/>
  <c r="C126" i="2"/>
  <c r="C124" i="2"/>
  <c r="C122" i="2"/>
  <c r="C120" i="2"/>
  <c r="C118" i="2"/>
  <c r="C116" i="2"/>
  <c r="C114" i="2"/>
  <c r="C112" i="2"/>
  <c r="C126" i="37"/>
  <c r="C124" i="37"/>
  <c r="C122" i="37"/>
  <c r="C120" i="37"/>
  <c r="C118" i="37"/>
  <c r="C116" i="37"/>
  <c r="C114" i="37"/>
  <c r="C112" i="37"/>
  <c r="C126" i="36"/>
  <c r="C124" i="36"/>
  <c r="C122" i="36"/>
  <c r="C120" i="36"/>
  <c r="C118" i="36"/>
  <c r="C116" i="36"/>
  <c r="C114" i="36"/>
  <c r="C112" i="36"/>
  <c r="C126" i="35"/>
  <c r="C124" i="35"/>
  <c r="C122" i="35"/>
  <c r="C120" i="35"/>
  <c r="C118" i="35"/>
  <c r="C116" i="35"/>
  <c r="C114" i="35"/>
  <c r="C112" i="35"/>
  <c r="C126" i="34"/>
  <c r="C124" i="34"/>
  <c r="C122" i="34"/>
  <c r="C120" i="34"/>
  <c r="C118" i="34"/>
  <c r="C116" i="34"/>
  <c r="C114" i="34"/>
  <c r="C112" i="34"/>
  <c r="C110" i="2"/>
  <c r="C110" i="36"/>
  <c r="C110" i="34"/>
  <c r="C110" i="37"/>
  <c r="C110" i="35"/>
  <c r="B15" i="56"/>
  <c r="B13" i="56"/>
  <c r="B11" i="56"/>
  <c r="B9" i="56"/>
  <c r="H5" i="56"/>
  <c r="G4" i="56"/>
  <c r="E4" i="56"/>
  <c r="J7" i="56"/>
  <c r="J15" i="56"/>
  <c r="J13" i="56"/>
  <c r="J11" i="56"/>
  <c r="J9" i="56"/>
  <c r="C4" i="56"/>
  <c r="B32" i="56"/>
  <c r="B30" i="56"/>
  <c r="B28" i="56"/>
  <c r="B26" i="56"/>
  <c r="B24" i="56"/>
  <c r="J22" i="56"/>
  <c r="J21" i="56"/>
  <c r="G21" i="56"/>
  <c r="D21" i="56"/>
  <c r="J37" i="56"/>
  <c r="G37" i="56"/>
  <c r="D37" i="56"/>
  <c r="B46" i="56"/>
  <c r="B44" i="56"/>
  <c r="B42" i="56"/>
  <c r="B40" i="56"/>
  <c r="K38" i="56"/>
  <c r="B61" i="56"/>
  <c r="B59" i="56"/>
  <c r="B57" i="56"/>
  <c r="B55" i="56"/>
  <c r="J54" i="56"/>
  <c r="B64" i="56"/>
  <c r="B62" i="56"/>
  <c r="B80" i="56"/>
  <c r="B78" i="56"/>
  <c r="B76" i="56"/>
  <c r="B74" i="56"/>
  <c r="B72" i="56"/>
  <c r="K70" i="56"/>
  <c r="B96" i="56"/>
  <c r="B94" i="56"/>
  <c r="B92" i="56"/>
  <c r="B90" i="56"/>
  <c r="B88" i="56"/>
  <c r="K86" i="56"/>
  <c r="B16" i="56"/>
  <c r="B14" i="56"/>
  <c r="B12" i="56"/>
  <c r="B10" i="56"/>
  <c r="B8" i="56"/>
  <c r="G5" i="56"/>
  <c r="B7" i="56"/>
  <c r="J16" i="56"/>
  <c r="J12" i="56"/>
  <c r="J10" i="56"/>
  <c r="J8" i="56"/>
  <c r="B31" i="56"/>
  <c r="B29" i="56"/>
  <c r="B27" i="56"/>
  <c r="B25" i="56"/>
  <c r="B23" i="56"/>
  <c r="K22" i="56"/>
  <c r="B47" i="56"/>
  <c r="B45" i="56"/>
  <c r="B43" i="56"/>
  <c r="B41" i="56"/>
  <c r="B39" i="56"/>
  <c r="J38" i="56"/>
  <c r="J53" i="56"/>
  <c r="G53" i="56"/>
  <c r="D53" i="56"/>
  <c r="B63" i="56"/>
  <c r="J69" i="56"/>
  <c r="G69" i="56"/>
  <c r="D69" i="56"/>
  <c r="B79" i="56"/>
  <c r="B77" i="56"/>
  <c r="B75" i="56"/>
  <c r="B73" i="56"/>
  <c r="B71" i="56"/>
  <c r="J70" i="56"/>
  <c r="C87" i="13"/>
  <c r="E87" i="13"/>
  <c r="B87" i="13"/>
  <c r="D87" i="13"/>
  <c r="F87" i="13"/>
  <c r="C444" i="32" l="1" a="1"/>
  <c r="C444" i="33" a="1"/>
  <c r="C444" i="3" a="1"/>
  <c r="C444" i="30" a="1"/>
  <c r="C444" i="31" a="1"/>
  <c r="C369" i="3" a="1"/>
  <c r="C369" i="32" a="1"/>
  <c r="C369" i="30" a="1"/>
  <c r="C405" i="31" a="1"/>
  <c r="C194" i="3" a="1"/>
  <c r="C405" i="32" a="1"/>
  <c r="C194" i="32" a="1"/>
  <c r="C194" i="30" a="1"/>
  <c r="C369" i="33" a="1"/>
  <c r="C369" i="31" a="1"/>
  <c r="C405" i="33" a="1"/>
  <c r="C194" i="33" a="1"/>
  <c r="C405" i="3" a="1"/>
  <c r="C405" i="30" a="1"/>
  <c r="C194" i="31" a="1"/>
  <c r="C76" i="34"/>
  <c r="C76" i="36"/>
  <c r="C76" i="2"/>
  <c r="C76" i="35"/>
  <c r="C76" i="37"/>
  <c r="F109" i="13"/>
  <c r="D109" i="13"/>
  <c r="G109" i="13"/>
  <c r="E109" i="13"/>
  <c r="H54" i="56"/>
  <c r="H22" i="56"/>
  <c r="H86" i="56"/>
  <c r="H70" i="56"/>
  <c r="H38" i="56"/>
  <c r="F5" i="56"/>
  <c r="B54" i="56"/>
  <c r="B86" i="56"/>
  <c r="B70" i="56"/>
  <c r="B38" i="56"/>
  <c r="B22" i="56"/>
  <c r="B5" i="56"/>
  <c r="D86" i="56"/>
  <c r="D70" i="56"/>
  <c r="D38" i="56"/>
  <c r="C5" i="56"/>
  <c r="D54" i="56"/>
  <c r="D22" i="56"/>
  <c r="E54" i="56"/>
  <c r="E22" i="56"/>
  <c r="E86" i="56"/>
  <c r="E70" i="56"/>
  <c r="E38" i="56"/>
  <c r="D5" i="56"/>
  <c r="G86" i="56"/>
  <c r="G70" i="56"/>
  <c r="G38" i="56"/>
  <c r="E5" i="56"/>
  <c r="G54" i="56"/>
  <c r="G22" i="56"/>
  <c r="C427" i="30" l="1"/>
  <c r="D406" i="30"/>
  <c r="D408" i="30"/>
  <c r="D410" i="30"/>
  <c r="D412" i="30"/>
  <c r="D414" i="30"/>
  <c r="D416" i="30"/>
  <c r="D418" i="30"/>
  <c r="D420" i="30"/>
  <c r="D422" i="30"/>
  <c r="D424" i="30"/>
  <c r="D426" i="30"/>
  <c r="C405" i="30"/>
  <c r="D405" i="30"/>
  <c r="D407" i="30"/>
  <c r="D409" i="30"/>
  <c r="D411" i="30"/>
  <c r="D413" i="30"/>
  <c r="D415" i="30"/>
  <c r="D417" i="30"/>
  <c r="D419" i="30"/>
  <c r="D421" i="30"/>
  <c r="D423" i="30"/>
  <c r="D425" i="30"/>
  <c r="D427" i="30"/>
  <c r="C406" i="30"/>
  <c r="C408" i="30"/>
  <c r="C410" i="30"/>
  <c r="C412" i="30"/>
  <c r="C414" i="30"/>
  <c r="C416" i="30"/>
  <c r="C418" i="30"/>
  <c r="C420" i="30"/>
  <c r="C422" i="30"/>
  <c r="C424" i="30"/>
  <c r="C426" i="30"/>
  <c r="C407" i="30"/>
  <c r="C409" i="30"/>
  <c r="C411" i="30"/>
  <c r="C413" i="30"/>
  <c r="C415" i="30"/>
  <c r="C417" i="30"/>
  <c r="C419" i="30"/>
  <c r="C421" i="30"/>
  <c r="C423" i="30"/>
  <c r="C425" i="30"/>
  <c r="C194" i="33"/>
  <c r="D194" i="33"/>
  <c r="H194" i="33"/>
  <c r="F195" i="33"/>
  <c r="D196" i="33"/>
  <c r="H196" i="33"/>
  <c r="F197" i="33"/>
  <c r="D198" i="33"/>
  <c r="H198" i="33"/>
  <c r="F199" i="33"/>
  <c r="D200" i="33"/>
  <c r="H200" i="33"/>
  <c r="F201" i="33"/>
  <c r="D202" i="33"/>
  <c r="H202" i="33"/>
  <c r="F203" i="33"/>
  <c r="D204" i="33"/>
  <c r="H204" i="33"/>
  <c r="F205" i="33"/>
  <c r="D206" i="33"/>
  <c r="H206" i="33"/>
  <c r="F207" i="33"/>
  <c r="D208" i="33"/>
  <c r="H208" i="33"/>
  <c r="F209" i="33"/>
  <c r="D210" i="33"/>
  <c r="H210" i="33"/>
  <c r="F211" i="33"/>
  <c r="D212" i="33"/>
  <c r="H212" i="33"/>
  <c r="F213" i="33"/>
  <c r="D214" i="33"/>
  <c r="H214" i="33"/>
  <c r="F215" i="33"/>
  <c r="D216" i="33"/>
  <c r="H216" i="33"/>
  <c r="F194" i="33"/>
  <c r="D195" i="33"/>
  <c r="H195" i="33"/>
  <c r="F196" i="33"/>
  <c r="D197" i="33"/>
  <c r="H197" i="33"/>
  <c r="F198" i="33"/>
  <c r="D199" i="33"/>
  <c r="H199" i="33"/>
  <c r="F200" i="33"/>
  <c r="D201" i="33"/>
  <c r="H201" i="33"/>
  <c r="F202" i="33"/>
  <c r="D203" i="33"/>
  <c r="H203" i="33"/>
  <c r="F204" i="33"/>
  <c r="D205" i="33"/>
  <c r="H205" i="33"/>
  <c r="F206" i="33"/>
  <c r="D207" i="33"/>
  <c r="H207" i="33"/>
  <c r="F208" i="33"/>
  <c r="D209" i="33"/>
  <c r="H209" i="33"/>
  <c r="F210" i="33"/>
  <c r="D211" i="33"/>
  <c r="H211" i="33"/>
  <c r="F212" i="33"/>
  <c r="D213" i="33"/>
  <c r="H213" i="33"/>
  <c r="F214" i="33"/>
  <c r="D215" i="33"/>
  <c r="H215" i="33"/>
  <c r="F216" i="33"/>
  <c r="G216" i="33"/>
  <c r="C216" i="33"/>
  <c r="E215" i="33"/>
  <c r="G214" i="33"/>
  <c r="C214" i="33"/>
  <c r="E213" i="33"/>
  <c r="G212" i="33"/>
  <c r="C212" i="33"/>
  <c r="E211" i="33"/>
  <c r="G210" i="33"/>
  <c r="C210" i="33"/>
  <c r="E209" i="33"/>
  <c r="G208" i="33"/>
  <c r="C208" i="33"/>
  <c r="E207" i="33"/>
  <c r="G206" i="33"/>
  <c r="C206" i="33"/>
  <c r="E205" i="33"/>
  <c r="G204" i="33"/>
  <c r="C204" i="33"/>
  <c r="E203" i="33"/>
  <c r="G202" i="33"/>
  <c r="C202" i="33"/>
  <c r="E201" i="33"/>
  <c r="G200" i="33"/>
  <c r="C200" i="33"/>
  <c r="E199" i="33"/>
  <c r="G198" i="33"/>
  <c r="C198" i="33"/>
  <c r="E197" i="33"/>
  <c r="G196" i="33"/>
  <c r="C196" i="33"/>
  <c r="E195" i="33"/>
  <c r="G194" i="33"/>
  <c r="E216" i="33"/>
  <c r="G215" i="33"/>
  <c r="C215" i="33"/>
  <c r="E214" i="33"/>
  <c r="G213" i="33"/>
  <c r="C213" i="33"/>
  <c r="E212" i="33"/>
  <c r="G211" i="33"/>
  <c r="C211" i="33"/>
  <c r="E210" i="33"/>
  <c r="G209" i="33"/>
  <c r="C209" i="33"/>
  <c r="E208" i="33"/>
  <c r="G207" i="33"/>
  <c r="C207" i="33"/>
  <c r="E206" i="33"/>
  <c r="G205" i="33"/>
  <c r="C205" i="33"/>
  <c r="E204" i="33"/>
  <c r="G203" i="33"/>
  <c r="C203" i="33"/>
  <c r="E202" i="33"/>
  <c r="G201" i="33"/>
  <c r="C201" i="33"/>
  <c r="E200" i="33"/>
  <c r="G199" i="33"/>
  <c r="C199" i="33"/>
  <c r="E198" i="33"/>
  <c r="G197" i="33"/>
  <c r="C197" i="33"/>
  <c r="E196" i="33"/>
  <c r="G195" i="33"/>
  <c r="C195" i="33"/>
  <c r="E194" i="33"/>
  <c r="C369" i="31"/>
  <c r="D370" i="31"/>
  <c r="D374" i="31"/>
  <c r="D378" i="31"/>
  <c r="D382" i="31"/>
  <c r="D386" i="31"/>
  <c r="D390" i="31"/>
  <c r="D372" i="31"/>
  <c r="D376" i="31"/>
  <c r="D380" i="31"/>
  <c r="D384" i="31"/>
  <c r="D388" i="31"/>
  <c r="D389" i="31"/>
  <c r="D385" i="31"/>
  <c r="D381" i="31"/>
  <c r="D377" i="31"/>
  <c r="D373" i="31"/>
  <c r="D369" i="31"/>
  <c r="D391" i="31"/>
  <c r="D387" i="31"/>
  <c r="D383" i="31"/>
  <c r="D379" i="31"/>
  <c r="D375" i="31"/>
  <c r="D371" i="31"/>
  <c r="C391" i="31"/>
  <c r="C389" i="31"/>
  <c r="C387" i="31"/>
  <c r="C385" i="31"/>
  <c r="C383" i="31"/>
  <c r="C381" i="31"/>
  <c r="C379" i="31"/>
  <c r="C377" i="31"/>
  <c r="C375" i="31"/>
  <c r="C373" i="31"/>
  <c r="C371" i="31"/>
  <c r="C390" i="31"/>
  <c r="C388" i="31"/>
  <c r="C386" i="31"/>
  <c r="C384" i="31"/>
  <c r="C382" i="31"/>
  <c r="C380" i="31"/>
  <c r="C378" i="31"/>
  <c r="C376" i="31"/>
  <c r="C374" i="31"/>
  <c r="C372" i="31"/>
  <c r="C370" i="31"/>
  <c r="C194" i="30"/>
  <c r="F196" i="30"/>
  <c r="D199" i="30"/>
  <c r="H201" i="30"/>
  <c r="F204" i="30"/>
  <c r="D207" i="30"/>
  <c r="H209" i="30"/>
  <c r="F212" i="30"/>
  <c r="D215" i="30"/>
  <c r="D195" i="30"/>
  <c r="H197" i="30"/>
  <c r="F200" i="30"/>
  <c r="D203" i="30"/>
  <c r="H205" i="30"/>
  <c r="F208" i="30"/>
  <c r="D211" i="30"/>
  <c r="H213" i="30"/>
  <c r="F216" i="30"/>
  <c r="F214" i="30"/>
  <c r="H211" i="30"/>
  <c r="D209" i="30"/>
  <c r="F206" i="30"/>
  <c r="H203" i="30"/>
  <c r="D201" i="30"/>
  <c r="F198" i="30"/>
  <c r="H195" i="30"/>
  <c r="D216" i="30"/>
  <c r="H214" i="30"/>
  <c r="F213" i="30"/>
  <c r="D212" i="30"/>
  <c r="H210" i="30"/>
  <c r="F209" i="30"/>
  <c r="D208" i="30"/>
  <c r="H206" i="30"/>
  <c r="F205" i="30"/>
  <c r="D204" i="30"/>
  <c r="H202" i="30"/>
  <c r="F201" i="30"/>
  <c r="D200" i="30"/>
  <c r="H198" i="30"/>
  <c r="F197" i="30"/>
  <c r="D196" i="30"/>
  <c r="H194" i="30"/>
  <c r="H215" i="30"/>
  <c r="D213" i="30"/>
  <c r="F210" i="30"/>
  <c r="H207" i="30"/>
  <c r="D205" i="30"/>
  <c r="F202" i="30"/>
  <c r="H199" i="30"/>
  <c r="D197" i="30"/>
  <c r="F194" i="30"/>
  <c r="H216" i="30"/>
  <c r="F215" i="30"/>
  <c r="D214" i="30"/>
  <c r="H212" i="30"/>
  <c r="F211" i="30"/>
  <c r="D210" i="30"/>
  <c r="H208" i="30"/>
  <c r="F207" i="30"/>
  <c r="D206" i="30"/>
  <c r="H204" i="30"/>
  <c r="F203" i="30"/>
  <c r="D202" i="30"/>
  <c r="H200" i="30"/>
  <c r="F199" i="30"/>
  <c r="D198" i="30"/>
  <c r="H196" i="30"/>
  <c r="F195" i="30"/>
  <c r="D194" i="30"/>
  <c r="G216" i="30"/>
  <c r="C216" i="30"/>
  <c r="E215" i="30"/>
  <c r="G214" i="30"/>
  <c r="C214" i="30"/>
  <c r="E213" i="30"/>
  <c r="G212" i="30"/>
  <c r="C212" i="30"/>
  <c r="E211" i="30"/>
  <c r="G210" i="30"/>
  <c r="C210" i="30"/>
  <c r="E209" i="30"/>
  <c r="G208" i="30"/>
  <c r="C208" i="30"/>
  <c r="E207" i="30"/>
  <c r="G206" i="30"/>
  <c r="C206" i="30"/>
  <c r="E205" i="30"/>
  <c r="G204" i="30"/>
  <c r="C204" i="30"/>
  <c r="E203" i="30"/>
  <c r="G202" i="30"/>
  <c r="C202" i="30"/>
  <c r="E201" i="30"/>
  <c r="G200" i="30"/>
  <c r="C200" i="30"/>
  <c r="E199" i="30"/>
  <c r="G198" i="30"/>
  <c r="C198" i="30"/>
  <c r="E197" i="30"/>
  <c r="G196" i="30"/>
  <c r="C196" i="30"/>
  <c r="E195" i="30"/>
  <c r="G194" i="30"/>
  <c r="E216" i="30"/>
  <c r="G215" i="30"/>
  <c r="C215" i="30"/>
  <c r="E214" i="30"/>
  <c r="G213" i="30"/>
  <c r="C213" i="30"/>
  <c r="E212" i="30"/>
  <c r="G211" i="30"/>
  <c r="C211" i="30"/>
  <c r="E210" i="30"/>
  <c r="G209" i="30"/>
  <c r="C209" i="30"/>
  <c r="E208" i="30"/>
  <c r="G207" i="30"/>
  <c r="C207" i="30"/>
  <c r="E206" i="30"/>
  <c r="G205" i="30"/>
  <c r="C205" i="30"/>
  <c r="E204" i="30"/>
  <c r="G203" i="30"/>
  <c r="C203" i="30"/>
  <c r="E202" i="30"/>
  <c r="G201" i="30"/>
  <c r="C201" i="30"/>
  <c r="E200" i="30"/>
  <c r="G199" i="30"/>
  <c r="C199" i="30"/>
  <c r="E198" i="30"/>
  <c r="G197" i="30"/>
  <c r="C197" i="30"/>
  <c r="E196" i="30"/>
  <c r="G195" i="30"/>
  <c r="C195" i="30"/>
  <c r="E194" i="30"/>
  <c r="C427" i="32"/>
  <c r="D405" i="32"/>
  <c r="D407" i="32"/>
  <c r="D409" i="32"/>
  <c r="D411" i="32"/>
  <c r="D413" i="32"/>
  <c r="D415" i="32"/>
  <c r="D417" i="32"/>
  <c r="D419" i="32"/>
  <c r="D421" i="32"/>
  <c r="D423" i="32"/>
  <c r="D425" i="32"/>
  <c r="D427" i="32"/>
  <c r="C405" i="32"/>
  <c r="C407" i="32"/>
  <c r="C409" i="32"/>
  <c r="C411" i="32"/>
  <c r="C413" i="32"/>
  <c r="C415" i="32"/>
  <c r="C417" i="32"/>
  <c r="C419" i="32"/>
  <c r="C421" i="32"/>
  <c r="C423" i="32"/>
  <c r="C425" i="32"/>
  <c r="D406" i="32"/>
  <c r="D408" i="32"/>
  <c r="D410" i="32"/>
  <c r="D412" i="32"/>
  <c r="D414" i="32"/>
  <c r="D416" i="32"/>
  <c r="D418" i="32"/>
  <c r="D420" i="32"/>
  <c r="D422" i="32"/>
  <c r="D424" i="32"/>
  <c r="D426" i="32"/>
  <c r="C406" i="32"/>
  <c r="C408" i="32"/>
  <c r="C410" i="32"/>
  <c r="C414" i="32"/>
  <c r="C418" i="32"/>
  <c r="C422" i="32"/>
  <c r="C426" i="32"/>
  <c r="C412" i="32"/>
  <c r="C416" i="32"/>
  <c r="C420" i="32"/>
  <c r="C424" i="32"/>
  <c r="D427" i="31"/>
  <c r="C405" i="31"/>
  <c r="C409" i="31"/>
  <c r="C413" i="31"/>
  <c r="C417" i="31"/>
  <c r="C421" i="31"/>
  <c r="C425" i="31"/>
  <c r="C406" i="31"/>
  <c r="C410" i="31"/>
  <c r="C414" i="31"/>
  <c r="C418" i="31"/>
  <c r="C422" i="31"/>
  <c r="C426" i="31"/>
  <c r="D405" i="31"/>
  <c r="D407" i="31"/>
  <c r="D409" i="31"/>
  <c r="D411" i="31"/>
  <c r="D413" i="31"/>
  <c r="D415" i="31"/>
  <c r="D417" i="31"/>
  <c r="D419" i="31"/>
  <c r="D421" i="31"/>
  <c r="D423" i="31"/>
  <c r="D425" i="31"/>
  <c r="C407" i="31"/>
  <c r="C411" i="31"/>
  <c r="C415" i="31"/>
  <c r="C419" i="31"/>
  <c r="C423" i="31"/>
  <c r="C427" i="31"/>
  <c r="C408" i="31"/>
  <c r="C412" i="31"/>
  <c r="C416" i="31"/>
  <c r="C420" i="31"/>
  <c r="C424" i="31"/>
  <c r="D408" i="31"/>
  <c r="D412" i="31"/>
  <c r="D416" i="31"/>
  <c r="D420" i="31"/>
  <c r="D424" i="31"/>
  <c r="D406" i="31"/>
  <c r="D410" i="31"/>
  <c r="D414" i="31"/>
  <c r="D418" i="31"/>
  <c r="D422" i="31"/>
  <c r="D426" i="31"/>
  <c r="C369" i="32"/>
  <c r="D372" i="32"/>
  <c r="D380" i="32"/>
  <c r="D388" i="32"/>
  <c r="D376" i="32"/>
  <c r="D384" i="32"/>
  <c r="D386" i="32"/>
  <c r="D378" i="32"/>
  <c r="D370" i="32"/>
  <c r="D382" i="32"/>
  <c r="D374" i="32"/>
  <c r="D390" i="32"/>
  <c r="D391" i="32"/>
  <c r="D387" i="32"/>
  <c r="D383" i="32"/>
  <c r="D379" i="32"/>
  <c r="D375" i="32"/>
  <c r="D371" i="32"/>
  <c r="D389" i="32"/>
  <c r="D385" i="32"/>
  <c r="D381" i="32"/>
  <c r="D377" i="32"/>
  <c r="D373" i="32"/>
  <c r="D369" i="32"/>
  <c r="C390" i="32"/>
  <c r="C388" i="32"/>
  <c r="C386" i="32"/>
  <c r="C384" i="32"/>
  <c r="C382" i="32"/>
  <c r="C380" i="32"/>
  <c r="C378" i="32"/>
  <c r="C376" i="32"/>
  <c r="C374" i="32"/>
  <c r="C372" i="32"/>
  <c r="C370" i="32"/>
  <c r="C391" i="32"/>
  <c r="C389" i="32"/>
  <c r="C387" i="32"/>
  <c r="C385" i="32"/>
  <c r="C383" i="32"/>
  <c r="C381" i="32"/>
  <c r="C379" i="32"/>
  <c r="C377" i="32"/>
  <c r="C375" i="32"/>
  <c r="C373" i="32"/>
  <c r="C371" i="32"/>
  <c r="C453" i="31"/>
  <c r="C446" i="31"/>
  <c r="C450" i="31"/>
  <c r="C454" i="31"/>
  <c r="C447" i="31"/>
  <c r="C451" i="31"/>
  <c r="C444" i="31"/>
  <c r="C448" i="31"/>
  <c r="C452" i="31"/>
  <c r="C445" i="31"/>
  <c r="C449" i="31"/>
  <c r="C453" i="3"/>
  <c r="C446" i="3"/>
  <c r="C450" i="3"/>
  <c r="C454" i="3"/>
  <c r="C447" i="3"/>
  <c r="C451" i="3"/>
  <c r="C444" i="3"/>
  <c r="C448" i="3"/>
  <c r="C452" i="3"/>
  <c r="C445" i="3"/>
  <c r="C449" i="3"/>
  <c r="C453" i="32"/>
  <c r="C446" i="32"/>
  <c r="C450" i="32"/>
  <c r="C454" i="32"/>
  <c r="C447" i="32"/>
  <c r="C451" i="32"/>
  <c r="C444" i="32"/>
  <c r="C448" i="32"/>
  <c r="C452" i="32"/>
  <c r="C445" i="32"/>
  <c r="C449" i="32"/>
  <c r="C194" i="31"/>
  <c r="F194" i="31"/>
  <c r="D195" i="31"/>
  <c r="H195" i="31"/>
  <c r="F196" i="31"/>
  <c r="D197" i="31"/>
  <c r="H197" i="31"/>
  <c r="F198" i="31"/>
  <c r="D199" i="31"/>
  <c r="H199" i="31"/>
  <c r="F200" i="31"/>
  <c r="D201" i="31"/>
  <c r="H201" i="31"/>
  <c r="F202" i="31"/>
  <c r="D203" i="31"/>
  <c r="H203" i="31"/>
  <c r="F204" i="31"/>
  <c r="D205" i="31"/>
  <c r="H205" i="31"/>
  <c r="F206" i="31"/>
  <c r="D207" i="31"/>
  <c r="H207" i="31"/>
  <c r="F208" i="31"/>
  <c r="D209" i="31"/>
  <c r="H209" i="31"/>
  <c r="F210" i="31"/>
  <c r="D211" i="31"/>
  <c r="H211" i="31"/>
  <c r="F212" i="31"/>
  <c r="D213" i="31"/>
  <c r="H213" i="31"/>
  <c r="F214" i="31"/>
  <c r="D215" i="31"/>
  <c r="H215" i="31"/>
  <c r="F216" i="31"/>
  <c r="D194" i="31"/>
  <c r="H194" i="31"/>
  <c r="F195" i="31"/>
  <c r="D196" i="31"/>
  <c r="H196" i="31"/>
  <c r="F197" i="31"/>
  <c r="D198" i="31"/>
  <c r="H198" i="31"/>
  <c r="F199" i="31"/>
  <c r="D200" i="31"/>
  <c r="H200" i="31"/>
  <c r="F201" i="31"/>
  <c r="D202" i="31"/>
  <c r="H202" i="31"/>
  <c r="F203" i="31"/>
  <c r="D204" i="31"/>
  <c r="H204" i="31"/>
  <c r="F205" i="31"/>
  <c r="D206" i="31"/>
  <c r="H206" i="31"/>
  <c r="F207" i="31"/>
  <c r="D208" i="31"/>
  <c r="H208" i="31"/>
  <c r="F209" i="31"/>
  <c r="D210" i="31"/>
  <c r="H210" i="31"/>
  <c r="F211" i="31"/>
  <c r="D212" i="31"/>
  <c r="H212" i="31"/>
  <c r="F213" i="31"/>
  <c r="D214" i="31"/>
  <c r="H214" i="31"/>
  <c r="F215" i="31"/>
  <c r="D216" i="31"/>
  <c r="H216" i="31"/>
  <c r="E216" i="31"/>
  <c r="G215" i="31"/>
  <c r="C215" i="31"/>
  <c r="E214" i="31"/>
  <c r="G213" i="31"/>
  <c r="C213" i="31"/>
  <c r="E212" i="31"/>
  <c r="G211" i="31"/>
  <c r="C211" i="31"/>
  <c r="E210" i="31"/>
  <c r="G209" i="31"/>
  <c r="C209" i="31"/>
  <c r="E208" i="31"/>
  <c r="G207" i="31"/>
  <c r="C207" i="31"/>
  <c r="E206" i="31"/>
  <c r="G205" i="31"/>
  <c r="C205" i="31"/>
  <c r="E204" i="31"/>
  <c r="G203" i="31"/>
  <c r="C203" i="31"/>
  <c r="E202" i="31"/>
  <c r="G201" i="31"/>
  <c r="C201" i="31"/>
  <c r="E200" i="31"/>
  <c r="G199" i="31"/>
  <c r="C199" i="31"/>
  <c r="E198" i="31"/>
  <c r="G197" i="31"/>
  <c r="C197" i="31"/>
  <c r="E196" i="31"/>
  <c r="G195" i="31"/>
  <c r="C195" i="31"/>
  <c r="E194" i="31"/>
  <c r="G216" i="31"/>
  <c r="C216" i="31"/>
  <c r="E215" i="31"/>
  <c r="G214" i="31"/>
  <c r="C214" i="31"/>
  <c r="E213" i="31"/>
  <c r="G212" i="31"/>
  <c r="C212" i="31"/>
  <c r="E211" i="31"/>
  <c r="G210" i="31"/>
  <c r="C210" i="31"/>
  <c r="E209" i="31"/>
  <c r="G208" i="31"/>
  <c r="C208" i="31"/>
  <c r="E207" i="31"/>
  <c r="G206" i="31"/>
  <c r="C206" i="31"/>
  <c r="E205" i="31"/>
  <c r="G204" i="31"/>
  <c r="C204" i="31"/>
  <c r="E203" i="31"/>
  <c r="G202" i="31"/>
  <c r="C202" i="31"/>
  <c r="E201" i="31"/>
  <c r="G200" i="31"/>
  <c r="C200" i="31"/>
  <c r="E199" i="31"/>
  <c r="G198" i="31"/>
  <c r="C198" i="31"/>
  <c r="E197" i="31"/>
  <c r="G196" i="31"/>
  <c r="C196" i="31"/>
  <c r="E195" i="31"/>
  <c r="G194" i="31"/>
  <c r="C427" i="3"/>
  <c r="D406" i="3"/>
  <c r="D408" i="3"/>
  <c r="D410" i="3"/>
  <c r="D412" i="3"/>
  <c r="D414" i="3"/>
  <c r="D416" i="3"/>
  <c r="D418" i="3"/>
  <c r="D420" i="3"/>
  <c r="D422" i="3"/>
  <c r="D424" i="3"/>
  <c r="D426" i="3"/>
  <c r="C405" i="3"/>
  <c r="C407" i="3"/>
  <c r="C409" i="3"/>
  <c r="C411" i="3"/>
  <c r="C413" i="3"/>
  <c r="C415" i="3"/>
  <c r="C417" i="3"/>
  <c r="C419" i="3"/>
  <c r="C421" i="3"/>
  <c r="C423" i="3"/>
  <c r="C425" i="3"/>
  <c r="D405" i="3"/>
  <c r="D407" i="3"/>
  <c r="D409" i="3"/>
  <c r="D411" i="3"/>
  <c r="D413" i="3"/>
  <c r="D415" i="3"/>
  <c r="D417" i="3"/>
  <c r="D419" i="3"/>
  <c r="D421" i="3"/>
  <c r="D423" i="3"/>
  <c r="D425" i="3"/>
  <c r="D427" i="3"/>
  <c r="C406" i="3"/>
  <c r="C408" i="3"/>
  <c r="C410" i="3"/>
  <c r="C412" i="3"/>
  <c r="C414" i="3"/>
  <c r="C416" i="3"/>
  <c r="C418" i="3"/>
  <c r="C420" i="3"/>
  <c r="C422" i="3"/>
  <c r="C424" i="3"/>
  <c r="C426" i="3"/>
  <c r="D427" i="33"/>
  <c r="C405" i="33"/>
  <c r="C413" i="33"/>
  <c r="C421" i="33"/>
  <c r="C411" i="33"/>
  <c r="C419" i="33"/>
  <c r="C406" i="33"/>
  <c r="C410" i="33"/>
  <c r="C414" i="33"/>
  <c r="C418" i="33"/>
  <c r="C422" i="33"/>
  <c r="C426" i="33"/>
  <c r="D405" i="33"/>
  <c r="D407" i="33"/>
  <c r="D409" i="33"/>
  <c r="D411" i="33"/>
  <c r="D413" i="33"/>
  <c r="D415" i="33"/>
  <c r="D417" i="33"/>
  <c r="D419" i="33"/>
  <c r="D421" i="33"/>
  <c r="D423" i="33"/>
  <c r="D425" i="33"/>
  <c r="C409" i="33"/>
  <c r="C417" i="33"/>
  <c r="C425" i="33"/>
  <c r="C407" i="33"/>
  <c r="C415" i="33"/>
  <c r="C423" i="33"/>
  <c r="C408" i="33"/>
  <c r="C412" i="33"/>
  <c r="C416" i="33"/>
  <c r="C420" i="33"/>
  <c r="C424" i="33"/>
  <c r="C427" i="33"/>
  <c r="D406" i="33"/>
  <c r="D408" i="33"/>
  <c r="D410" i="33"/>
  <c r="D412" i="33"/>
  <c r="D414" i="33"/>
  <c r="D416" i="33"/>
  <c r="D418" i="33"/>
  <c r="D420" i="33"/>
  <c r="D422" i="33"/>
  <c r="D424" i="33"/>
  <c r="D426" i="33"/>
  <c r="C369" i="33"/>
  <c r="D370" i="33"/>
  <c r="D374" i="33"/>
  <c r="D378" i="33"/>
  <c r="D382" i="33"/>
  <c r="D386" i="33"/>
  <c r="D390" i="33"/>
  <c r="D372" i="33"/>
  <c r="D376" i="33"/>
  <c r="D380" i="33"/>
  <c r="D384" i="33"/>
  <c r="D388" i="33"/>
  <c r="D389" i="33"/>
  <c r="D385" i="33"/>
  <c r="D381" i="33"/>
  <c r="D377" i="33"/>
  <c r="D373" i="33"/>
  <c r="D369" i="33"/>
  <c r="D391" i="33"/>
  <c r="D387" i="33"/>
  <c r="D383" i="33"/>
  <c r="D379" i="33"/>
  <c r="D375" i="33"/>
  <c r="D371" i="33"/>
  <c r="C391" i="33"/>
  <c r="C389" i="33"/>
  <c r="C387" i="33"/>
  <c r="C385" i="33"/>
  <c r="C383" i="33"/>
  <c r="C381" i="33"/>
  <c r="C379" i="33"/>
  <c r="C377" i="33"/>
  <c r="C375" i="33"/>
  <c r="C373" i="33"/>
  <c r="C371" i="33"/>
  <c r="C390" i="33"/>
  <c r="C388" i="33"/>
  <c r="C386" i="33"/>
  <c r="C384" i="33"/>
  <c r="C382" i="33"/>
  <c r="C380" i="33"/>
  <c r="C378" i="33"/>
  <c r="C376" i="33"/>
  <c r="C374" i="33"/>
  <c r="C372" i="33"/>
  <c r="C370" i="33"/>
  <c r="C194" i="32"/>
  <c r="D195" i="32"/>
  <c r="F196" i="32"/>
  <c r="H197" i="32"/>
  <c r="D199" i="32"/>
  <c r="F200" i="32"/>
  <c r="H201" i="32"/>
  <c r="D203" i="32"/>
  <c r="F204" i="32"/>
  <c r="H205" i="32"/>
  <c r="D207" i="32"/>
  <c r="F208" i="32"/>
  <c r="H209" i="32"/>
  <c r="D211" i="32"/>
  <c r="F212" i="32"/>
  <c r="H213" i="32"/>
  <c r="D215" i="32"/>
  <c r="F216" i="32"/>
  <c r="F194" i="32"/>
  <c r="H195" i="32"/>
  <c r="D197" i="32"/>
  <c r="F198" i="32"/>
  <c r="H199" i="32"/>
  <c r="D201" i="32"/>
  <c r="F202" i="32"/>
  <c r="H203" i="32"/>
  <c r="D205" i="32"/>
  <c r="F206" i="32"/>
  <c r="H207" i="32"/>
  <c r="D209" i="32"/>
  <c r="F210" i="32"/>
  <c r="H211" i="32"/>
  <c r="D213" i="32"/>
  <c r="F214" i="32"/>
  <c r="H215" i="32"/>
  <c r="H216" i="32"/>
  <c r="F215" i="32"/>
  <c r="D214" i="32"/>
  <c r="H212" i="32"/>
  <c r="F211" i="32"/>
  <c r="D210" i="32"/>
  <c r="H208" i="32"/>
  <c r="F207" i="32"/>
  <c r="D206" i="32"/>
  <c r="H204" i="32"/>
  <c r="F203" i="32"/>
  <c r="D202" i="32"/>
  <c r="H200" i="32"/>
  <c r="F199" i="32"/>
  <c r="D198" i="32"/>
  <c r="H196" i="32"/>
  <c r="F195" i="32"/>
  <c r="D194" i="32"/>
  <c r="G216" i="32"/>
  <c r="C216" i="32"/>
  <c r="E215" i="32"/>
  <c r="G214" i="32"/>
  <c r="C214" i="32"/>
  <c r="E213" i="32"/>
  <c r="G212" i="32"/>
  <c r="C212" i="32"/>
  <c r="E211" i="32"/>
  <c r="G210" i="32"/>
  <c r="C210" i="32"/>
  <c r="E209" i="32"/>
  <c r="G208" i="32"/>
  <c r="C208" i="32"/>
  <c r="E207" i="32"/>
  <c r="G206" i="32"/>
  <c r="D216" i="32"/>
  <c r="H214" i="32"/>
  <c r="F213" i="32"/>
  <c r="D212" i="32"/>
  <c r="H210" i="32"/>
  <c r="F209" i="32"/>
  <c r="D208" i="32"/>
  <c r="H206" i="32"/>
  <c r="F205" i="32"/>
  <c r="D204" i="32"/>
  <c r="H202" i="32"/>
  <c r="F201" i="32"/>
  <c r="D200" i="32"/>
  <c r="H198" i="32"/>
  <c r="F197" i="32"/>
  <c r="D196" i="32"/>
  <c r="H194" i="32"/>
  <c r="E216" i="32"/>
  <c r="C215" i="32"/>
  <c r="G213" i="32"/>
  <c r="E212" i="32"/>
  <c r="C211" i="32"/>
  <c r="G209" i="32"/>
  <c r="E208" i="32"/>
  <c r="C207" i="32"/>
  <c r="C206" i="32"/>
  <c r="E205" i="32"/>
  <c r="G204" i="32"/>
  <c r="C204" i="32"/>
  <c r="E203" i="32"/>
  <c r="G202" i="32"/>
  <c r="C202" i="32"/>
  <c r="E201" i="32"/>
  <c r="G200" i="32"/>
  <c r="C200" i="32"/>
  <c r="E199" i="32"/>
  <c r="G198" i="32"/>
  <c r="C198" i="32"/>
  <c r="E197" i="32"/>
  <c r="G196" i="32"/>
  <c r="C196" i="32"/>
  <c r="E195" i="32"/>
  <c r="G194" i="32"/>
  <c r="G215" i="32"/>
  <c r="E214" i="32"/>
  <c r="C213" i="32"/>
  <c r="G211" i="32"/>
  <c r="E210" i="32"/>
  <c r="C209" i="32"/>
  <c r="G207" i="32"/>
  <c r="E206" i="32"/>
  <c r="G205" i="32"/>
  <c r="C205" i="32"/>
  <c r="E204" i="32"/>
  <c r="G203" i="32"/>
  <c r="C203" i="32"/>
  <c r="E202" i="32"/>
  <c r="G201" i="32"/>
  <c r="C201" i="32"/>
  <c r="E200" i="32"/>
  <c r="G199" i="32"/>
  <c r="C199" i="32"/>
  <c r="E198" i="32"/>
  <c r="G197" i="32"/>
  <c r="C197" i="32"/>
  <c r="E196" i="32"/>
  <c r="G195" i="32"/>
  <c r="C195" i="32"/>
  <c r="E194" i="32"/>
  <c r="C194" i="3"/>
  <c r="F194" i="3"/>
  <c r="H195" i="3"/>
  <c r="D197" i="3"/>
  <c r="F198" i="3"/>
  <c r="H199" i="3"/>
  <c r="D201" i="3"/>
  <c r="F202" i="3"/>
  <c r="H203" i="3"/>
  <c r="D205" i="3"/>
  <c r="F206" i="3"/>
  <c r="H207" i="3"/>
  <c r="D209" i="3"/>
  <c r="F210" i="3"/>
  <c r="H211" i="3"/>
  <c r="D213" i="3"/>
  <c r="F214" i="3"/>
  <c r="H215" i="3"/>
  <c r="D195" i="3"/>
  <c r="F196" i="3"/>
  <c r="H197" i="3"/>
  <c r="D199" i="3"/>
  <c r="F200" i="3"/>
  <c r="H201" i="3"/>
  <c r="D203" i="3"/>
  <c r="F204" i="3"/>
  <c r="H205" i="3"/>
  <c r="D207" i="3"/>
  <c r="F208" i="3"/>
  <c r="H209" i="3"/>
  <c r="D211" i="3"/>
  <c r="F212" i="3"/>
  <c r="H213" i="3"/>
  <c r="D215" i="3"/>
  <c r="F216" i="3"/>
  <c r="H216" i="3"/>
  <c r="F215" i="3"/>
  <c r="D214" i="3"/>
  <c r="H212" i="3"/>
  <c r="F211" i="3"/>
  <c r="D210" i="3"/>
  <c r="H208" i="3"/>
  <c r="F207" i="3"/>
  <c r="D206" i="3"/>
  <c r="H204" i="3"/>
  <c r="F203" i="3"/>
  <c r="D202" i="3"/>
  <c r="H200" i="3"/>
  <c r="F199" i="3"/>
  <c r="D198" i="3"/>
  <c r="H196" i="3"/>
  <c r="F195" i="3"/>
  <c r="D194" i="3"/>
  <c r="G216" i="3"/>
  <c r="C216" i="3"/>
  <c r="E215" i="3"/>
  <c r="G214" i="3"/>
  <c r="C214" i="3"/>
  <c r="E213" i="3"/>
  <c r="G212" i="3"/>
  <c r="C212" i="3"/>
  <c r="E211" i="3"/>
  <c r="G210" i="3"/>
  <c r="C210" i="3"/>
  <c r="E209" i="3"/>
  <c r="G208" i="3"/>
  <c r="C208" i="3"/>
  <c r="E207" i="3"/>
  <c r="G206" i="3"/>
  <c r="C206" i="3"/>
  <c r="E205" i="3"/>
  <c r="G204" i="3"/>
  <c r="C204" i="3"/>
  <c r="E203" i="3"/>
  <c r="G202" i="3"/>
  <c r="C202" i="3"/>
  <c r="E201" i="3"/>
  <c r="G200" i="3"/>
  <c r="C200" i="3"/>
  <c r="E199" i="3"/>
  <c r="G198" i="3"/>
  <c r="C198" i="3"/>
  <c r="E197" i="3"/>
  <c r="G196" i="3"/>
  <c r="C196" i="3"/>
  <c r="E195" i="3"/>
  <c r="G194" i="3"/>
  <c r="D216" i="3"/>
  <c r="H214" i="3"/>
  <c r="F213" i="3"/>
  <c r="D212" i="3"/>
  <c r="H210" i="3"/>
  <c r="F209" i="3"/>
  <c r="D208" i="3"/>
  <c r="H206" i="3"/>
  <c r="F205" i="3"/>
  <c r="D204" i="3"/>
  <c r="H202" i="3"/>
  <c r="F201" i="3"/>
  <c r="D200" i="3"/>
  <c r="H198" i="3"/>
  <c r="F197" i="3"/>
  <c r="D196" i="3"/>
  <c r="H194" i="3"/>
  <c r="E216" i="3"/>
  <c r="C215" i="3"/>
  <c r="G213" i="3"/>
  <c r="E212" i="3"/>
  <c r="C211" i="3"/>
  <c r="G209" i="3"/>
  <c r="E208" i="3"/>
  <c r="C207" i="3"/>
  <c r="G205" i="3"/>
  <c r="E204" i="3"/>
  <c r="C203" i="3"/>
  <c r="G201" i="3"/>
  <c r="E200" i="3"/>
  <c r="C199" i="3"/>
  <c r="G197" i="3"/>
  <c r="E196" i="3"/>
  <c r="C195" i="3"/>
  <c r="G215" i="3"/>
  <c r="E214" i="3"/>
  <c r="C213" i="3"/>
  <c r="G211" i="3"/>
  <c r="E210" i="3"/>
  <c r="C209" i="3"/>
  <c r="G207" i="3"/>
  <c r="E206" i="3"/>
  <c r="C205" i="3"/>
  <c r="G203" i="3"/>
  <c r="E202" i="3"/>
  <c r="C201" i="3"/>
  <c r="G199" i="3"/>
  <c r="E198" i="3"/>
  <c r="C197" i="3"/>
  <c r="G195" i="3"/>
  <c r="E194" i="3"/>
  <c r="C369" i="30"/>
  <c r="D372" i="30"/>
  <c r="D380" i="30"/>
  <c r="D388" i="30"/>
  <c r="D376" i="30"/>
  <c r="D384" i="30"/>
  <c r="D386" i="30"/>
  <c r="D378" i="30"/>
  <c r="D370" i="30"/>
  <c r="D390" i="30"/>
  <c r="D382" i="30"/>
  <c r="D374" i="30"/>
  <c r="D391" i="30"/>
  <c r="D387" i="30"/>
  <c r="D383" i="30"/>
  <c r="D379" i="30"/>
  <c r="D375" i="30"/>
  <c r="D371" i="30"/>
  <c r="D389" i="30"/>
  <c r="D385" i="30"/>
  <c r="D381" i="30"/>
  <c r="D377" i="30"/>
  <c r="D373" i="30"/>
  <c r="D369" i="30"/>
  <c r="C390" i="30"/>
  <c r="C388" i="30"/>
  <c r="C386" i="30"/>
  <c r="C384" i="30"/>
  <c r="C382" i="30"/>
  <c r="C380" i="30"/>
  <c r="C378" i="30"/>
  <c r="C376" i="30"/>
  <c r="C374" i="30"/>
  <c r="C372" i="30"/>
  <c r="C370" i="30"/>
  <c r="C391" i="30"/>
  <c r="C389" i="30"/>
  <c r="C387" i="30"/>
  <c r="C385" i="30"/>
  <c r="C383" i="30"/>
  <c r="C381" i="30"/>
  <c r="C379" i="30"/>
  <c r="C377" i="30"/>
  <c r="C375" i="30"/>
  <c r="C373" i="30"/>
  <c r="C371" i="30"/>
  <c r="C369" i="3"/>
  <c r="D370" i="3"/>
  <c r="D378" i="3"/>
  <c r="D386" i="3"/>
  <c r="D374" i="3"/>
  <c r="D382" i="3"/>
  <c r="D390" i="3"/>
  <c r="D384" i="3"/>
  <c r="D376" i="3"/>
  <c r="D369" i="3"/>
  <c r="D388" i="3"/>
  <c r="D380" i="3"/>
  <c r="D372" i="3"/>
  <c r="D391" i="3"/>
  <c r="D387" i="3"/>
  <c r="D383" i="3"/>
  <c r="D379" i="3"/>
  <c r="D375" i="3"/>
  <c r="D371" i="3"/>
  <c r="D389" i="3"/>
  <c r="D385" i="3"/>
  <c r="D381" i="3"/>
  <c r="D377" i="3"/>
  <c r="D373" i="3"/>
  <c r="C390" i="3"/>
  <c r="C388" i="3"/>
  <c r="C386" i="3"/>
  <c r="C384" i="3"/>
  <c r="C382" i="3"/>
  <c r="C380" i="3"/>
  <c r="C378" i="3"/>
  <c r="C376" i="3"/>
  <c r="C374" i="3"/>
  <c r="C372" i="3"/>
  <c r="C370" i="3"/>
  <c r="C391" i="3"/>
  <c r="C389" i="3"/>
  <c r="C387" i="3"/>
  <c r="C385" i="3"/>
  <c r="C383" i="3"/>
  <c r="C381" i="3"/>
  <c r="C379" i="3"/>
  <c r="C377" i="3"/>
  <c r="C375" i="3"/>
  <c r="C373" i="3"/>
  <c r="C371" i="3"/>
  <c r="C453" i="30"/>
  <c r="C446" i="30"/>
  <c r="C450" i="30"/>
  <c r="C454" i="30"/>
  <c r="C447" i="30"/>
  <c r="C451" i="30"/>
  <c r="C444" i="30"/>
  <c r="C448" i="30"/>
  <c r="C452" i="30"/>
  <c r="C445" i="30"/>
  <c r="C449" i="30"/>
  <c r="C453" i="33"/>
  <c r="C446" i="33"/>
  <c r="C450" i="33"/>
  <c r="C454" i="33"/>
  <c r="C447" i="33"/>
  <c r="C451" i="33"/>
  <c r="C444" i="33"/>
  <c r="C448" i="33"/>
  <c r="C452" i="33"/>
  <c r="C445" i="33"/>
  <c r="C449" i="33"/>
  <c r="L98" i="5"/>
  <c r="O98" i="5" s="1"/>
  <c r="N127" i="5"/>
  <c r="Q127" i="5" s="1"/>
  <c r="M127" i="5"/>
  <c r="P127" i="5" s="1"/>
  <c r="L127" i="5"/>
  <c r="O127" i="5" s="1"/>
  <c r="N27" i="5"/>
  <c r="Q27" i="5" s="1"/>
  <c r="M27" i="5"/>
  <c r="P27" i="5" s="1"/>
  <c r="L27" i="5"/>
  <c r="O27" i="5" s="1"/>
  <c r="R32" i="5"/>
  <c r="N32" i="5"/>
  <c r="Q32" i="5" s="1"/>
  <c r="M32" i="5"/>
  <c r="P32" i="5" s="1"/>
  <c r="L32" i="5"/>
  <c r="O32" i="5" s="1"/>
  <c r="L55" i="5"/>
  <c r="I55" i="5" s="1"/>
  <c r="L47" i="5"/>
  <c r="O47" i="5" s="1"/>
  <c r="B43" i="40"/>
  <c r="G42" i="38" s="1"/>
  <c r="I11" i="55" s="1"/>
  <c r="G60" i="10"/>
  <c r="B44" i="40"/>
  <c r="B46" i="40"/>
  <c r="B37" i="40"/>
  <c r="E41" i="38" s="1"/>
  <c r="E10" i="55" s="1"/>
  <c r="B42" i="40"/>
  <c r="E42" i="38" s="1"/>
  <c r="E11" i="55" s="1"/>
  <c r="D232" i="32" l="1" a="1"/>
  <c r="E254" i="32" s="1"/>
  <c r="C243" i="32"/>
  <c r="F236" i="32"/>
  <c r="D232" i="3" a="1"/>
  <c r="F245" i="3" s="1"/>
  <c r="D232" i="31" a="1"/>
  <c r="F248" i="31" s="1"/>
  <c r="C232" i="30" a="1"/>
  <c r="C232" i="30" s="1"/>
  <c r="C232" i="33" a="1"/>
  <c r="C247" i="33" s="1"/>
  <c r="G238" i="31"/>
  <c r="E248" i="31"/>
  <c r="G237" i="31"/>
  <c r="F239" i="32"/>
  <c r="C254" i="32"/>
  <c r="E250" i="32"/>
  <c r="D246" i="31"/>
  <c r="D254" i="31"/>
  <c r="G244" i="31"/>
  <c r="E239" i="31"/>
  <c r="F241" i="32"/>
  <c r="D235" i="32"/>
  <c r="E251" i="32"/>
  <c r="D253" i="32"/>
  <c r="G254" i="32"/>
  <c r="G251" i="32"/>
  <c r="F236" i="31"/>
  <c r="D240" i="31"/>
  <c r="D248" i="31"/>
  <c r="F253" i="31"/>
  <c r="G250" i="31"/>
  <c r="G249" i="31"/>
  <c r="G241" i="31"/>
  <c r="E236" i="31"/>
  <c r="G233" i="31"/>
  <c r="C232" i="3" a="1"/>
  <c r="C245" i="3" s="1"/>
  <c r="C232" i="32" a="1"/>
  <c r="C234" i="32" s="1"/>
  <c r="C232" i="31" a="1"/>
  <c r="C240" i="31" s="1"/>
  <c r="D232" i="30" a="1"/>
  <c r="D234" i="30" s="1"/>
  <c r="D232" i="33" a="1"/>
  <c r="F247" i="33" s="1"/>
  <c r="E238" i="32"/>
  <c r="C247" i="31"/>
  <c r="D252" i="31"/>
  <c r="G254" i="31"/>
  <c r="E241" i="31"/>
  <c r="C236" i="32"/>
  <c r="G236" i="32"/>
  <c r="G252" i="32"/>
  <c r="C246" i="32"/>
  <c r="G234" i="32"/>
  <c r="F235" i="31"/>
  <c r="F243" i="31"/>
  <c r="F251" i="31"/>
  <c r="E247" i="31"/>
  <c r="C238" i="33"/>
  <c r="F240" i="3"/>
  <c r="F235" i="32"/>
  <c r="D238" i="32"/>
  <c r="D248" i="32"/>
  <c r="F253" i="32"/>
  <c r="C240" i="32"/>
  <c r="F242" i="32"/>
  <c r="E239" i="32"/>
  <c r="G244" i="32"/>
  <c r="E253" i="32"/>
  <c r="G245" i="32"/>
  <c r="E242" i="32"/>
  <c r="D233" i="31"/>
  <c r="F238" i="31"/>
  <c r="D241" i="31"/>
  <c r="F239" i="31"/>
  <c r="D242" i="31"/>
  <c r="D250" i="31"/>
  <c r="E251" i="31"/>
  <c r="E250" i="31"/>
  <c r="G247" i="31"/>
  <c r="E242" i="31"/>
  <c r="G239" i="31"/>
  <c r="C242" i="30"/>
  <c r="C242" i="33"/>
  <c r="G44" i="38"/>
  <c r="I13" i="55" s="1"/>
  <c r="G53" i="38"/>
  <c r="I21" i="55" s="1"/>
  <c r="G43" i="38"/>
  <c r="I12" i="55" s="1"/>
  <c r="G51" i="38"/>
  <c r="I19" i="55" s="1"/>
  <c r="F240" i="30" l="1"/>
  <c r="D247" i="3"/>
  <c r="G248" i="30"/>
  <c r="G237" i="30"/>
  <c r="D251" i="3"/>
  <c r="E238" i="30"/>
  <c r="G247" i="30"/>
  <c r="F254" i="3"/>
  <c r="E246" i="3"/>
  <c r="C247" i="32"/>
  <c r="E239" i="30"/>
  <c r="F236" i="30"/>
  <c r="G249" i="3"/>
  <c r="G244" i="3"/>
  <c r="D235" i="30"/>
  <c r="E247" i="3"/>
  <c r="G245" i="30"/>
  <c r="E233" i="30"/>
  <c r="E232" i="3"/>
  <c r="E247" i="30"/>
  <c r="C244" i="32"/>
  <c r="G246" i="30"/>
  <c r="D250" i="32"/>
  <c r="C235" i="32"/>
  <c r="G238" i="30"/>
  <c r="D233" i="3"/>
  <c r="E252" i="30"/>
  <c r="E248" i="30"/>
  <c r="F253" i="30"/>
  <c r="G250" i="3"/>
  <c r="D252" i="30"/>
  <c r="D244" i="3"/>
  <c r="E242" i="3"/>
  <c r="G236" i="30"/>
  <c r="C248" i="33"/>
  <c r="C240" i="33"/>
  <c r="C232" i="33"/>
  <c r="C243" i="33"/>
  <c r="C249" i="33"/>
  <c r="D245" i="30"/>
  <c r="F248" i="30"/>
  <c r="C252" i="30"/>
  <c r="C235" i="33"/>
  <c r="G242" i="30"/>
  <c r="D248" i="30"/>
  <c r="G252" i="30"/>
  <c r="F241" i="30"/>
  <c r="D249" i="30"/>
  <c r="D232" i="30"/>
  <c r="C241" i="33"/>
  <c r="D237" i="30"/>
  <c r="D243" i="30"/>
  <c r="F238" i="30"/>
  <c r="E249" i="31"/>
  <c r="G251" i="30"/>
  <c r="F234" i="30"/>
  <c r="E252" i="31"/>
  <c r="F237" i="31"/>
  <c r="F249" i="30"/>
  <c r="D238" i="31"/>
  <c r="C236" i="30"/>
  <c r="F249" i="31"/>
  <c r="D232" i="31"/>
  <c r="E254" i="30"/>
  <c r="F252" i="30"/>
  <c r="C243" i="30"/>
  <c r="E235" i="31"/>
  <c r="F254" i="31"/>
  <c r="E245" i="30"/>
  <c r="G235" i="31"/>
  <c r="D237" i="31"/>
  <c r="C251" i="32"/>
  <c r="C236" i="33"/>
  <c r="F239" i="30"/>
  <c r="D251" i="31"/>
  <c r="E244" i="30"/>
  <c r="D247" i="30"/>
  <c r="F237" i="30"/>
  <c r="G240" i="31"/>
  <c r="C252" i="31"/>
  <c r="F252" i="32"/>
  <c r="C241" i="32"/>
  <c r="C241" i="3"/>
  <c r="G234" i="30"/>
  <c r="E254" i="31"/>
  <c r="E234" i="32"/>
  <c r="C237" i="32"/>
  <c r="C253" i="33"/>
  <c r="G245" i="31"/>
  <c r="C246" i="31"/>
  <c r="C232" i="32"/>
  <c r="E235" i="30"/>
  <c r="D238" i="30"/>
  <c r="G242" i="31"/>
  <c r="D247" i="31"/>
  <c r="F247" i="32"/>
  <c r="F253" i="3"/>
  <c r="E238" i="31"/>
  <c r="D245" i="31"/>
  <c r="C237" i="33"/>
  <c r="C237" i="30"/>
  <c r="D243" i="31"/>
  <c r="E241" i="32"/>
  <c r="D232" i="32"/>
  <c r="C234" i="33"/>
  <c r="C239" i="33"/>
  <c r="C252" i="33"/>
  <c r="E234" i="30"/>
  <c r="E237" i="30"/>
  <c r="F245" i="30"/>
  <c r="G232" i="31"/>
  <c r="D234" i="31"/>
  <c r="G253" i="30"/>
  <c r="D236" i="30"/>
  <c r="F242" i="31"/>
  <c r="C244" i="33"/>
  <c r="D241" i="30"/>
  <c r="F233" i="31"/>
  <c r="E236" i="30"/>
  <c r="D246" i="30"/>
  <c r="G234" i="31"/>
  <c r="F252" i="31"/>
  <c r="C253" i="32"/>
  <c r="D244" i="30"/>
  <c r="D253" i="31"/>
  <c r="F244" i="3"/>
  <c r="D242" i="30"/>
  <c r="D236" i="31"/>
  <c r="G233" i="30"/>
  <c r="F244" i="30"/>
  <c r="E234" i="31"/>
  <c r="E243" i="31"/>
  <c r="F246" i="31"/>
  <c r="C250" i="32"/>
  <c r="F241" i="3"/>
  <c r="D251" i="30"/>
  <c r="G236" i="31"/>
  <c r="G250" i="32"/>
  <c r="E252" i="3"/>
  <c r="C245" i="33"/>
  <c r="G253" i="31"/>
  <c r="D235" i="31"/>
  <c r="E240" i="30"/>
  <c r="F235" i="30"/>
  <c r="E245" i="31"/>
  <c r="D239" i="31"/>
  <c r="C238" i="32"/>
  <c r="C254" i="33"/>
  <c r="E246" i="31"/>
  <c r="F234" i="31"/>
  <c r="G235" i="30"/>
  <c r="E232" i="31"/>
  <c r="F232" i="31"/>
  <c r="F246" i="32"/>
  <c r="E236" i="32"/>
  <c r="G237" i="33"/>
  <c r="D245" i="33"/>
  <c r="F234" i="33"/>
  <c r="F235" i="33"/>
  <c r="E249" i="33"/>
  <c r="D251" i="33"/>
  <c r="F233" i="33"/>
  <c r="D241" i="33"/>
  <c r="E240" i="3"/>
  <c r="E250" i="3"/>
  <c r="E233" i="3"/>
  <c r="D245" i="3"/>
  <c r="F234" i="3"/>
  <c r="D250" i="3"/>
  <c r="C251" i="3"/>
  <c r="F245" i="33"/>
  <c r="G242" i="33"/>
  <c r="F250" i="33"/>
  <c r="E252" i="32"/>
  <c r="C252" i="32"/>
  <c r="E243" i="32"/>
  <c r="C242" i="32"/>
  <c r="D252" i="32"/>
  <c r="F237" i="32"/>
  <c r="E234" i="3"/>
  <c r="E249" i="3"/>
  <c r="F250" i="3"/>
  <c r="C240" i="3"/>
  <c r="E243" i="3"/>
  <c r="F239" i="3"/>
  <c r="D240" i="3"/>
  <c r="C235" i="3"/>
  <c r="G234" i="33"/>
  <c r="G250" i="33"/>
  <c r="G243" i="33"/>
  <c r="F252" i="33"/>
  <c r="F253" i="33"/>
  <c r="G240" i="33"/>
  <c r="G233" i="33"/>
  <c r="G249" i="33"/>
  <c r="D249" i="33"/>
  <c r="G244" i="33"/>
  <c r="G253" i="33"/>
  <c r="D246" i="33"/>
  <c r="C244" i="3"/>
  <c r="C253" i="3"/>
  <c r="E233" i="33"/>
  <c r="E242" i="33"/>
  <c r="D252" i="33"/>
  <c r="C249" i="3"/>
  <c r="C254" i="31"/>
  <c r="E245" i="33"/>
  <c r="E238" i="33"/>
  <c r="E254" i="33"/>
  <c r="F244" i="33"/>
  <c r="C234" i="30"/>
  <c r="C235" i="30"/>
  <c r="C253" i="31"/>
  <c r="C244" i="31"/>
  <c r="E244" i="3"/>
  <c r="E254" i="3"/>
  <c r="C254" i="3"/>
  <c r="D243" i="3"/>
  <c r="F232" i="3"/>
  <c r="D246" i="3"/>
  <c r="C247" i="3"/>
  <c r="D243" i="33"/>
  <c r="D244" i="33"/>
  <c r="G241" i="3"/>
  <c r="F252" i="3"/>
  <c r="C234" i="3"/>
  <c r="C233" i="3"/>
  <c r="E235" i="33"/>
  <c r="E251" i="33"/>
  <c r="E244" i="33"/>
  <c r="F238" i="33"/>
  <c r="D250" i="33"/>
  <c r="D234" i="33"/>
  <c r="C245" i="30"/>
  <c r="E239" i="33"/>
  <c r="E232" i="33"/>
  <c r="E248" i="33"/>
  <c r="D237" i="33"/>
  <c r="D238" i="33"/>
  <c r="C248" i="30"/>
  <c r="C249" i="30"/>
  <c r="C251" i="31"/>
  <c r="C250" i="31"/>
  <c r="E246" i="32"/>
  <c r="G249" i="32"/>
  <c r="E233" i="32"/>
  <c r="D245" i="32"/>
  <c r="D244" i="32"/>
  <c r="F233" i="32"/>
  <c r="G253" i="3"/>
  <c r="E241" i="3"/>
  <c r="F246" i="3"/>
  <c r="C236" i="3"/>
  <c r="E235" i="3"/>
  <c r="C237" i="3"/>
  <c r="F237" i="3"/>
  <c r="G246" i="33"/>
  <c r="G239" i="33"/>
  <c r="D235" i="33"/>
  <c r="D236" i="33"/>
  <c r="C241" i="31"/>
  <c r="C248" i="31"/>
  <c r="G239" i="32"/>
  <c r="E245" i="32"/>
  <c r="D254" i="32"/>
  <c r="F245" i="32"/>
  <c r="G235" i="3"/>
  <c r="C250" i="3"/>
  <c r="G236" i="3"/>
  <c r="C239" i="3"/>
  <c r="C238" i="31"/>
  <c r="G246" i="32"/>
  <c r="D249" i="32"/>
  <c r="G232" i="32"/>
  <c r="D239" i="32"/>
  <c r="G239" i="3"/>
  <c r="G238" i="3"/>
  <c r="C248" i="3"/>
  <c r="D237" i="3"/>
  <c r="G232" i="3"/>
  <c r="D234" i="3"/>
  <c r="G241" i="32"/>
  <c r="G235" i="33"/>
  <c r="G251" i="33"/>
  <c r="D247" i="33"/>
  <c r="F236" i="33"/>
  <c r="D248" i="33"/>
  <c r="F237" i="33"/>
  <c r="C245" i="31"/>
  <c r="C236" i="31"/>
  <c r="E240" i="32"/>
  <c r="E237" i="32"/>
  <c r="F244" i="32"/>
  <c r="D246" i="32"/>
  <c r="F234" i="32"/>
  <c r="G233" i="3"/>
  <c r="G243" i="3"/>
  <c r="G234" i="3"/>
  <c r="C246" i="3"/>
  <c r="D235" i="3"/>
  <c r="F251" i="3"/>
  <c r="D252" i="3"/>
  <c r="F248" i="33"/>
  <c r="F249" i="33"/>
  <c r="G253" i="32"/>
  <c r="D241" i="32"/>
  <c r="E237" i="3"/>
  <c r="F236" i="3"/>
  <c r="F243" i="3"/>
  <c r="G232" i="33"/>
  <c r="G248" i="33"/>
  <c r="G241" i="33"/>
  <c r="F254" i="33"/>
  <c r="F239" i="33"/>
  <c r="G241" i="30"/>
  <c r="F254" i="30"/>
  <c r="D250" i="30"/>
  <c r="G236" i="33"/>
  <c r="G252" i="33"/>
  <c r="G245" i="33"/>
  <c r="F251" i="33"/>
  <c r="E242" i="30"/>
  <c r="G240" i="30"/>
  <c r="E249" i="30"/>
  <c r="F250" i="30"/>
  <c r="C240" i="30"/>
  <c r="F251" i="30"/>
  <c r="C241" i="30"/>
  <c r="C243" i="31"/>
  <c r="C242" i="31"/>
  <c r="G235" i="32"/>
  <c r="E244" i="32"/>
  <c r="G238" i="32"/>
  <c r="C248" i="32"/>
  <c r="E235" i="32"/>
  <c r="F240" i="32"/>
  <c r="F249" i="32"/>
  <c r="D236" i="32"/>
  <c r="E248" i="3"/>
  <c r="G246" i="3"/>
  <c r="D249" i="3"/>
  <c r="F238" i="3"/>
  <c r="G240" i="3"/>
  <c r="D242" i="3"/>
  <c r="C243" i="3"/>
  <c r="E241" i="33"/>
  <c r="E234" i="33"/>
  <c r="E250" i="33"/>
  <c r="F240" i="33"/>
  <c r="F241" i="33"/>
  <c r="G249" i="30"/>
  <c r="C254" i="30"/>
  <c r="F232" i="30"/>
  <c r="F233" i="30"/>
  <c r="E248" i="32"/>
  <c r="E247" i="32"/>
  <c r="D233" i="32"/>
  <c r="E236" i="3"/>
  <c r="G242" i="3"/>
  <c r="G252" i="3"/>
  <c r="F249" i="3"/>
  <c r="G232" i="30"/>
  <c r="C244" i="30"/>
  <c r="F247" i="30"/>
  <c r="C239" i="31"/>
  <c r="E237" i="33"/>
  <c r="E253" i="33"/>
  <c r="E246" i="33"/>
  <c r="C250" i="33"/>
  <c r="D239" i="33"/>
  <c r="C251" i="33"/>
  <c r="D240" i="33"/>
  <c r="G243" i="30"/>
  <c r="G244" i="30"/>
  <c r="E253" i="30"/>
  <c r="C250" i="30"/>
  <c r="D239" i="30"/>
  <c r="C251" i="30"/>
  <c r="D240" i="30"/>
  <c r="G248" i="31"/>
  <c r="F247" i="31"/>
  <c r="C237" i="31"/>
  <c r="D249" i="31"/>
  <c r="G247" i="32"/>
  <c r="G242" i="32"/>
  <c r="D247" i="32"/>
  <c r="F251" i="32"/>
  <c r="D237" i="32"/>
  <c r="F243" i="32"/>
  <c r="C233" i="32"/>
  <c r="E238" i="3"/>
  <c r="E245" i="3"/>
  <c r="F248" i="3"/>
  <c r="C238" i="3"/>
  <c r="E239" i="3"/>
  <c r="F235" i="3"/>
  <c r="D236" i="3"/>
  <c r="F232" i="33"/>
  <c r="G239" i="30"/>
  <c r="E232" i="30"/>
  <c r="C246" i="30"/>
  <c r="C247" i="30"/>
  <c r="G243" i="31"/>
  <c r="G252" i="31"/>
  <c r="F250" i="31"/>
  <c r="E232" i="32"/>
  <c r="D251" i="32"/>
  <c r="C249" i="32"/>
  <c r="D242" i="32"/>
  <c r="G251" i="3"/>
  <c r="C242" i="3"/>
  <c r="D254" i="3"/>
  <c r="F233" i="3"/>
  <c r="E243" i="33"/>
  <c r="E236" i="33"/>
  <c r="E252" i="33"/>
  <c r="F246" i="33"/>
  <c r="D233" i="33"/>
  <c r="D242" i="33"/>
  <c r="E246" i="30"/>
  <c r="E241" i="30"/>
  <c r="D233" i="30"/>
  <c r="E240" i="31"/>
  <c r="G246" i="31"/>
  <c r="F241" i="31"/>
  <c r="F240" i="31"/>
  <c r="D232" i="33"/>
  <c r="C232" i="31"/>
  <c r="C232" i="3"/>
  <c r="E247" i="33"/>
  <c r="E240" i="33"/>
  <c r="D253" i="33"/>
  <c r="F242" i="33"/>
  <c r="D254" i="33"/>
  <c r="F243" i="33"/>
  <c r="C233" i="33"/>
  <c r="E251" i="30"/>
  <c r="G254" i="30"/>
  <c r="D253" i="30"/>
  <c r="F242" i="30"/>
  <c r="D254" i="30"/>
  <c r="F243" i="30"/>
  <c r="C233" i="30"/>
  <c r="E244" i="31"/>
  <c r="E237" i="31"/>
  <c r="E253" i="31"/>
  <c r="F245" i="31"/>
  <c r="C235" i="31"/>
  <c r="F244" i="31"/>
  <c r="C234" i="31"/>
  <c r="G233" i="32"/>
  <c r="E249" i="32"/>
  <c r="F250" i="32"/>
  <c r="G240" i="32"/>
  <c r="D243" i="32"/>
  <c r="F232" i="32"/>
  <c r="C239" i="32"/>
  <c r="G237" i="3"/>
  <c r="G247" i="3"/>
  <c r="C252" i="3"/>
  <c r="D241" i="3"/>
  <c r="E251" i="3"/>
  <c r="F247" i="3"/>
  <c r="D248" i="3"/>
  <c r="G238" i="33"/>
  <c r="G254" i="33"/>
  <c r="G247" i="33"/>
  <c r="C246" i="33"/>
  <c r="E250" i="30"/>
  <c r="G250" i="30"/>
  <c r="C238" i="30"/>
  <c r="C239" i="30"/>
  <c r="G251" i="31"/>
  <c r="C249" i="31"/>
  <c r="C233" i="31"/>
  <c r="G237" i="32"/>
  <c r="F248" i="32"/>
  <c r="F238" i="32"/>
  <c r="D234" i="32"/>
  <c r="E253" i="3"/>
  <c r="D239" i="3"/>
  <c r="D238" i="3"/>
  <c r="E243" i="30"/>
  <c r="F246" i="30"/>
  <c r="C253" i="30"/>
  <c r="E233" i="31"/>
  <c r="D244" i="31"/>
  <c r="G243" i="32"/>
  <c r="D232" i="3"/>
  <c r="F254" i="32"/>
  <c r="G248" i="32"/>
  <c r="C245" i="32"/>
  <c r="D240" i="32"/>
  <c r="G245" i="3"/>
  <c r="G254" i="3"/>
  <c r="D253" i="3"/>
  <c r="F242" i="3"/>
  <c r="G248" i="3"/>
  <c r="AH58" i="17"/>
  <c r="AG58" i="17"/>
  <c r="AF58" i="17"/>
  <c r="AD58" i="17"/>
  <c r="AC58" i="17"/>
  <c r="AB58" i="17"/>
  <c r="Z58" i="17"/>
  <c r="Y58" i="17"/>
  <c r="X58" i="17"/>
  <c r="AH57" i="17"/>
  <c r="AG57" i="17"/>
  <c r="AF57" i="17"/>
  <c r="AD57" i="17"/>
  <c r="AC57" i="17"/>
  <c r="AB57" i="17"/>
  <c r="Z57" i="17"/>
  <c r="Y57" i="17"/>
  <c r="X57" i="17"/>
  <c r="AH56" i="17"/>
  <c r="AG56" i="17"/>
  <c r="AF56" i="17"/>
  <c r="AD56" i="17"/>
  <c r="AC56" i="17"/>
  <c r="AB56" i="17"/>
  <c r="Z56" i="17"/>
  <c r="Y56" i="17"/>
  <c r="X56" i="17"/>
  <c r="AH55" i="17"/>
  <c r="AG55" i="17"/>
  <c r="AF55" i="17"/>
  <c r="AD55" i="17"/>
  <c r="AC55" i="17"/>
  <c r="AB55" i="17"/>
  <c r="Z55" i="17"/>
  <c r="Y55" i="17"/>
  <c r="X55" i="17"/>
  <c r="AH54" i="17"/>
  <c r="AG54" i="17"/>
  <c r="AF54" i="17"/>
  <c r="AD54" i="17"/>
  <c r="AC54" i="17"/>
  <c r="AB54" i="17"/>
  <c r="Z54" i="17"/>
  <c r="Y54" i="17"/>
  <c r="X54" i="17"/>
  <c r="AH53" i="17"/>
  <c r="AG53" i="17"/>
  <c r="AF53" i="17"/>
  <c r="AD53" i="17"/>
  <c r="AC53" i="17"/>
  <c r="AB53" i="17"/>
  <c r="Z53" i="17"/>
  <c r="Y53" i="17"/>
  <c r="X53" i="17"/>
  <c r="AH52" i="17"/>
  <c r="AG52" i="17"/>
  <c r="AF52" i="17"/>
  <c r="AD52" i="17"/>
  <c r="AC52" i="17"/>
  <c r="AB52" i="17"/>
  <c r="Z52" i="17"/>
  <c r="Y52" i="17"/>
  <c r="X52" i="17"/>
  <c r="AH51" i="17"/>
  <c r="AG51" i="17"/>
  <c r="AF51" i="17"/>
  <c r="AD51" i="17"/>
  <c r="AC51" i="17"/>
  <c r="AB51" i="17"/>
  <c r="Z51" i="17"/>
  <c r="Y51" i="17"/>
  <c r="X51" i="17"/>
  <c r="AH50" i="17"/>
  <c r="AG50" i="17"/>
  <c r="AF50" i="17"/>
  <c r="AD50" i="17"/>
  <c r="AC50" i="17"/>
  <c r="AB50" i="17"/>
  <c r="Z50" i="17"/>
  <c r="Y50" i="17"/>
  <c r="X50" i="17"/>
  <c r="AH44" i="17"/>
  <c r="AG44" i="17"/>
  <c r="AD44" i="17"/>
  <c r="AC44" i="17"/>
  <c r="Z44" i="17"/>
  <c r="Y44" i="17"/>
  <c r="AH43" i="17"/>
  <c r="AG43" i="17"/>
  <c r="AF43" i="17"/>
  <c r="AD43" i="17"/>
  <c r="AC43" i="17"/>
  <c r="AB43" i="17"/>
  <c r="Z43" i="17"/>
  <c r="Y43" i="17"/>
  <c r="X43" i="17"/>
  <c r="AH42" i="17"/>
  <c r="AG42" i="17"/>
  <c r="AF42" i="17"/>
  <c r="AD42" i="17"/>
  <c r="AC42" i="17"/>
  <c r="AB42" i="17"/>
  <c r="Z42" i="17"/>
  <c r="Y42" i="17"/>
  <c r="X42" i="17"/>
  <c r="AH41" i="17"/>
  <c r="AG41" i="17"/>
  <c r="AF41" i="17"/>
  <c r="AD41" i="17"/>
  <c r="AC41" i="17"/>
  <c r="AB41" i="17"/>
  <c r="Z41" i="17"/>
  <c r="Y41" i="17"/>
  <c r="X41" i="17"/>
  <c r="AH40" i="17"/>
  <c r="AG40" i="17"/>
  <c r="AF40" i="17"/>
  <c r="AD40" i="17"/>
  <c r="AC40" i="17"/>
  <c r="AB40" i="17"/>
  <c r="Z40" i="17"/>
  <c r="Y40" i="17"/>
  <c r="X40" i="17"/>
  <c r="AH39" i="17"/>
  <c r="AG39" i="17"/>
  <c r="AF39" i="17"/>
  <c r="AD39" i="17"/>
  <c r="AC39" i="17"/>
  <c r="AB39" i="17"/>
  <c r="Z39" i="17"/>
  <c r="Y39" i="17"/>
  <c r="X39" i="17"/>
  <c r="AH38" i="17"/>
  <c r="AG38" i="17"/>
  <c r="AF38" i="17"/>
  <c r="AD38" i="17"/>
  <c r="AC38" i="17"/>
  <c r="AB38" i="17"/>
  <c r="Z38" i="17"/>
  <c r="Y38" i="17"/>
  <c r="X38" i="17"/>
  <c r="AH37" i="17"/>
  <c r="AG37" i="17"/>
  <c r="AF37" i="17"/>
  <c r="AD37" i="17"/>
  <c r="AC37" i="17"/>
  <c r="AB37" i="17"/>
  <c r="Z37" i="17"/>
  <c r="Y37" i="17"/>
  <c r="X37" i="17"/>
  <c r="AH36" i="17"/>
  <c r="AG36" i="17"/>
  <c r="AF36" i="17"/>
  <c r="AD36" i="17"/>
  <c r="AC36" i="17"/>
  <c r="AB36" i="17"/>
  <c r="Z36" i="17"/>
  <c r="Y36" i="17"/>
  <c r="X36" i="17"/>
  <c r="AH35" i="17"/>
  <c r="AG35" i="17"/>
  <c r="AF35" i="17"/>
  <c r="AD35" i="17"/>
  <c r="AC35" i="17"/>
  <c r="AB35" i="17"/>
  <c r="Z35" i="17"/>
  <c r="Y35" i="17"/>
  <c r="X35" i="17"/>
  <c r="AH34" i="17"/>
  <c r="AG34" i="17"/>
  <c r="AF34" i="17"/>
  <c r="AD34" i="17"/>
  <c r="AC34" i="17"/>
  <c r="AB34" i="17"/>
  <c r="Z34" i="17"/>
  <c r="Y34" i="17"/>
  <c r="X34" i="17"/>
  <c r="AH32" i="17"/>
  <c r="AG32" i="17"/>
  <c r="AF32" i="17"/>
  <c r="AD32" i="17"/>
  <c r="AC32" i="17"/>
  <c r="AB32" i="17"/>
  <c r="Z32" i="17"/>
  <c r="Y32" i="17"/>
  <c r="X32" i="17"/>
  <c r="AH31" i="17"/>
  <c r="AG31" i="17"/>
  <c r="AF31" i="17"/>
  <c r="AD31" i="17"/>
  <c r="AC31" i="17"/>
  <c r="AB31" i="17"/>
  <c r="Z31" i="17"/>
  <c r="Y31" i="17"/>
  <c r="X31" i="17"/>
  <c r="AH30" i="17"/>
  <c r="AG30" i="17"/>
  <c r="AF30" i="17"/>
  <c r="AD30" i="17"/>
  <c r="AC30" i="17"/>
  <c r="AB30" i="17"/>
  <c r="Z30" i="17"/>
  <c r="Y30" i="17"/>
  <c r="X30" i="17"/>
  <c r="AH29" i="17"/>
  <c r="AG29" i="17"/>
  <c r="AF29" i="17"/>
  <c r="AD29" i="17"/>
  <c r="AC29" i="17"/>
  <c r="AB29" i="17"/>
  <c r="Z29" i="17"/>
  <c r="Y29" i="17"/>
  <c r="X29" i="17"/>
  <c r="AH28" i="17"/>
  <c r="AG28" i="17"/>
  <c r="AF28" i="17"/>
  <c r="AD28" i="17"/>
  <c r="AC28" i="17"/>
  <c r="AB28" i="17"/>
  <c r="Z28" i="17"/>
  <c r="Y28" i="17"/>
  <c r="X28" i="17"/>
  <c r="AH27" i="17"/>
  <c r="AG27" i="17"/>
  <c r="AF27" i="17"/>
  <c r="AD27" i="17"/>
  <c r="AC27" i="17"/>
  <c r="AB27" i="17"/>
  <c r="Z27" i="17"/>
  <c r="Y27" i="17"/>
  <c r="X27" i="17"/>
  <c r="AH26" i="17"/>
  <c r="AG26" i="17"/>
  <c r="AF26" i="17"/>
  <c r="AD26" i="17"/>
  <c r="AC26" i="17"/>
  <c r="AB26" i="17"/>
  <c r="Z26" i="17"/>
  <c r="Y26" i="17"/>
  <c r="X26" i="17"/>
  <c r="AH25" i="17"/>
  <c r="AG25" i="17"/>
  <c r="AF25" i="17"/>
  <c r="AD25" i="17"/>
  <c r="AC25" i="17"/>
  <c r="AB25" i="17"/>
  <c r="Z25" i="17"/>
  <c r="Y25" i="17"/>
  <c r="X25" i="17"/>
  <c r="AG63" i="10"/>
  <c r="AF63" i="10"/>
  <c r="AC63" i="10"/>
  <c r="AB63" i="10"/>
  <c r="Y63" i="10"/>
  <c r="X63" i="10"/>
  <c r="AG62" i="10"/>
  <c r="AF62" i="10"/>
  <c r="AC62" i="10"/>
  <c r="AB62" i="10"/>
  <c r="Y62" i="10"/>
  <c r="X62" i="10"/>
  <c r="AG61" i="10"/>
  <c r="AF61" i="10"/>
  <c r="AC61" i="10"/>
  <c r="AB61" i="10"/>
  <c r="Y61" i="10"/>
  <c r="X61" i="10"/>
  <c r="AG60" i="10"/>
  <c r="AF60" i="10"/>
  <c r="AC60" i="10"/>
  <c r="AB60" i="10"/>
  <c r="Y60" i="10"/>
  <c r="X60" i="10"/>
  <c r="AG59" i="10"/>
  <c r="AF59" i="10"/>
  <c r="AC59" i="10"/>
  <c r="AB59" i="10"/>
  <c r="Y59" i="10"/>
  <c r="X59" i="10"/>
  <c r="AG58" i="10"/>
  <c r="AF58" i="10"/>
  <c r="AC58" i="10"/>
  <c r="AB58" i="10"/>
  <c r="Y58" i="10"/>
  <c r="X58" i="10"/>
  <c r="AG57" i="10"/>
  <c r="AF57" i="10"/>
  <c r="AC57" i="10"/>
  <c r="AB57" i="10"/>
  <c r="Y57" i="10"/>
  <c r="X57" i="10"/>
  <c r="AG56" i="10"/>
  <c r="AF56" i="10"/>
  <c r="AC56" i="10"/>
  <c r="AB56" i="10"/>
  <c r="Y56" i="10"/>
  <c r="X56" i="10"/>
  <c r="AG55" i="10"/>
  <c r="AC39" i="26" s="1"/>
  <c r="AF55" i="10"/>
  <c r="AB39" i="26" s="1"/>
  <c r="AC55" i="10"/>
  <c r="Y39" i="26" s="1"/>
  <c r="AB55" i="10"/>
  <c r="X39" i="26" s="1"/>
  <c r="Y55" i="10"/>
  <c r="U39" i="26" s="1"/>
  <c r="X55" i="10"/>
  <c r="T39" i="26" s="1"/>
  <c r="AG54" i="10"/>
  <c r="AF54" i="10"/>
  <c r="AC54" i="10"/>
  <c r="AB54" i="10"/>
  <c r="Y54" i="10"/>
  <c r="X54" i="10"/>
  <c r="AG53" i="10"/>
  <c r="AF53" i="10"/>
  <c r="AC53" i="10"/>
  <c r="AB53" i="10"/>
  <c r="Y53" i="10"/>
  <c r="X53" i="10"/>
  <c r="AG52" i="10"/>
  <c r="AF52" i="10"/>
  <c r="AC52" i="10"/>
  <c r="AB52" i="10"/>
  <c r="Y52" i="10"/>
  <c r="X52" i="10"/>
  <c r="AG51" i="10"/>
  <c r="AF51" i="10"/>
  <c r="AC51" i="10"/>
  <c r="AB51" i="10"/>
  <c r="Y51" i="10"/>
  <c r="X51" i="10"/>
  <c r="N51" i="10"/>
  <c r="M51" i="10"/>
  <c r="AG50" i="10"/>
  <c r="AF50" i="10"/>
  <c r="AC50" i="10"/>
  <c r="AB50" i="10"/>
  <c r="Y50" i="10"/>
  <c r="X50" i="10"/>
  <c r="AG49" i="10"/>
  <c r="AF49" i="10"/>
  <c r="AC49" i="10"/>
  <c r="AB49" i="10"/>
  <c r="Y49" i="10"/>
  <c r="X49" i="10"/>
  <c r="AG48" i="10"/>
  <c r="AF48" i="10"/>
  <c r="AC48" i="10"/>
  <c r="AB48" i="10"/>
  <c r="Y48" i="10"/>
  <c r="X48" i="10"/>
  <c r="AG47" i="10"/>
  <c r="AF47" i="10"/>
  <c r="AC47" i="10"/>
  <c r="AB47" i="10"/>
  <c r="Y47" i="10"/>
  <c r="X47" i="10"/>
  <c r="AG46" i="10"/>
  <c r="AC27" i="26" s="1"/>
  <c r="AF46" i="10"/>
  <c r="AB27" i="26" s="1"/>
  <c r="AC46" i="10"/>
  <c r="Y27" i="26" s="1"/>
  <c r="AB46" i="10"/>
  <c r="X27" i="26" s="1"/>
  <c r="Y46" i="10"/>
  <c r="X46" i="10"/>
  <c r="AG45" i="10"/>
  <c r="AC26" i="26" s="1"/>
  <c r="AF45" i="10"/>
  <c r="AB26" i="26" s="1"/>
  <c r="AC45" i="10"/>
  <c r="Y26" i="26" s="1"/>
  <c r="AB45" i="10"/>
  <c r="X26" i="26" s="1"/>
  <c r="Y45" i="10"/>
  <c r="X45" i="10"/>
  <c r="AG44" i="10"/>
  <c r="AC25" i="26" s="1"/>
  <c r="AF44" i="10"/>
  <c r="AB25" i="26" s="1"/>
  <c r="AC44" i="10"/>
  <c r="Y25" i="26" s="1"/>
  <c r="AB44" i="10"/>
  <c r="X25" i="26" s="1"/>
  <c r="Y44" i="10"/>
  <c r="U25" i="26" s="1"/>
  <c r="X44" i="10"/>
  <c r="T25" i="26" s="1"/>
  <c r="N44" i="10"/>
  <c r="M44" i="10"/>
  <c r="AG43" i="10"/>
  <c r="AC24" i="26" s="1"/>
  <c r="AF43" i="10"/>
  <c r="AB24" i="26" s="1"/>
  <c r="AC43" i="10"/>
  <c r="Y24" i="26" s="1"/>
  <c r="AB43" i="10"/>
  <c r="X24" i="26" s="1"/>
  <c r="Y43" i="10"/>
  <c r="U24" i="26" s="1"/>
  <c r="X43" i="10"/>
  <c r="T24" i="26" s="1"/>
  <c r="N43" i="10"/>
  <c r="M43" i="10"/>
  <c r="AG42" i="10"/>
  <c r="AF42" i="10"/>
  <c r="AC42" i="10"/>
  <c r="AB42" i="10"/>
  <c r="Y42" i="10"/>
  <c r="X42" i="10"/>
  <c r="AG41" i="10"/>
  <c r="AF41" i="10"/>
  <c r="AC41" i="10"/>
  <c r="AB41" i="10"/>
  <c r="Y41" i="10"/>
  <c r="X41" i="10"/>
  <c r="AG40" i="10"/>
  <c r="AF40" i="10"/>
  <c r="AC40" i="10"/>
  <c r="AB40" i="10"/>
  <c r="Y40" i="10"/>
  <c r="X40" i="10"/>
  <c r="AG39" i="10"/>
  <c r="AF39" i="10"/>
  <c r="AC39" i="10"/>
  <c r="AB39" i="10"/>
  <c r="Y39" i="10"/>
  <c r="X39" i="10"/>
  <c r="AG38" i="10"/>
  <c r="AF38" i="10"/>
  <c r="AC38" i="10"/>
  <c r="AB38" i="10"/>
  <c r="Y38" i="10"/>
  <c r="X38" i="10"/>
  <c r="AG37" i="10"/>
  <c r="AF37" i="10"/>
  <c r="AC37" i="10"/>
  <c r="AB37" i="10"/>
  <c r="Y37" i="10"/>
  <c r="X37" i="10"/>
  <c r="AG36" i="10"/>
  <c r="AF36" i="10"/>
  <c r="AC36" i="10"/>
  <c r="AB36" i="10"/>
  <c r="Y36" i="10"/>
  <c r="X36" i="10"/>
  <c r="H129" i="30"/>
  <c r="H130" i="30"/>
  <c r="H131" i="30"/>
  <c r="H132" i="30"/>
  <c r="H129" i="31"/>
  <c r="H130" i="31"/>
  <c r="H131" i="31"/>
  <c r="H132" i="31"/>
  <c r="H129" i="32"/>
  <c r="H130" i="32"/>
  <c r="H131" i="32"/>
  <c r="H132" i="32"/>
  <c r="H129" i="33"/>
  <c r="H130" i="33"/>
  <c r="H131" i="33"/>
  <c r="H132" i="33"/>
  <c r="H129" i="3"/>
  <c r="H130" i="3"/>
  <c r="H131" i="3"/>
  <c r="H132" i="3"/>
  <c r="G132" i="30"/>
  <c r="G132" i="31"/>
  <c r="G132" i="32"/>
  <c r="G132" i="33"/>
  <c r="G132" i="3"/>
  <c r="G131" i="30"/>
  <c r="G131" i="31"/>
  <c r="G131" i="32"/>
  <c r="G131" i="33"/>
  <c r="G131" i="3"/>
  <c r="G130" i="30"/>
  <c r="G130" i="31"/>
  <c r="G130" i="32"/>
  <c r="G130" i="33"/>
  <c r="G130" i="3"/>
  <c r="G129" i="30"/>
  <c r="G129" i="31"/>
  <c r="G129" i="32"/>
  <c r="G129" i="33"/>
  <c r="G129" i="3"/>
  <c r="O43" i="10" l="1"/>
  <c r="Z45" i="10"/>
  <c r="AH45" i="10"/>
  <c r="AD26" i="26" s="1"/>
  <c r="Z51" i="10"/>
  <c r="Z63" i="10"/>
  <c r="AD52" i="10"/>
  <c r="AD60" i="10"/>
  <c r="AD63" i="10"/>
  <c r="Z49" i="10"/>
  <c r="AH58" i="10"/>
  <c r="AH61" i="10"/>
  <c r="AH62" i="10"/>
  <c r="AD55" i="10"/>
  <c r="Z39" i="26" s="1"/>
  <c r="O51" i="10"/>
  <c r="Z38" i="10"/>
  <c r="AD40" i="10"/>
  <c r="AH57" i="10"/>
  <c r="AH40" i="10"/>
  <c r="AD39" i="10"/>
  <c r="Z41" i="10"/>
  <c r="Z46" i="10"/>
  <c r="AH46" i="10"/>
  <c r="AD27" i="26" s="1"/>
  <c r="Z56" i="10"/>
  <c r="AD36" i="10"/>
  <c r="Z37" i="10"/>
  <c r="AH37" i="10"/>
  <c r="AH39" i="10"/>
  <c r="AH47" i="10"/>
  <c r="Z42" i="10"/>
  <c r="AH42" i="10"/>
  <c r="AH50" i="10"/>
  <c r="AH54" i="10"/>
  <c r="AD56" i="10"/>
  <c r="AD59" i="10"/>
  <c r="Z60" i="10"/>
  <c r="AD48" i="10"/>
  <c r="Z59" i="10"/>
  <c r="AH41" i="10"/>
  <c r="AD43" i="10"/>
  <c r="Z24" i="26" s="1"/>
  <c r="O44" i="10"/>
  <c r="AD44" i="10"/>
  <c r="Z25" i="26" s="1"/>
  <c r="AD47" i="10"/>
  <c r="AH49" i="10"/>
  <c r="AD51" i="10"/>
  <c r="Z52" i="10"/>
  <c r="AH53" i="10"/>
  <c r="Z55" i="10"/>
  <c r="V39" i="26" s="1"/>
  <c r="Z36" i="10"/>
  <c r="AH36" i="10"/>
  <c r="AD38" i="10"/>
  <c r="Z15" i="26" s="1"/>
  <c r="Z40" i="10"/>
  <c r="AD42" i="10"/>
  <c r="Z44" i="10"/>
  <c r="V25" i="26" s="1"/>
  <c r="AH44" i="10"/>
  <c r="AD25" i="26" s="1"/>
  <c r="AD46" i="10"/>
  <c r="Z27" i="26" s="1"/>
  <c r="Z48" i="10"/>
  <c r="AH48" i="10"/>
  <c r="AD50" i="10"/>
  <c r="AH52" i="10"/>
  <c r="AD54" i="10"/>
  <c r="AH56" i="10"/>
  <c r="AD58" i="10"/>
  <c r="AH60" i="10"/>
  <c r="AD62" i="10"/>
  <c r="AD37" i="10"/>
  <c r="AH38" i="10"/>
  <c r="Z39" i="10"/>
  <c r="AD41" i="10"/>
  <c r="Z43" i="10"/>
  <c r="V24" i="26" s="1"/>
  <c r="AH43" i="10"/>
  <c r="AD24" i="26" s="1"/>
  <c r="AD45" i="10"/>
  <c r="Z26" i="26" s="1"/>
  <c r="Z47" i="10"/>
  <c r="AD49" i="10"/>
  <c r="Z50" i="10"/>
  <c r="AH51" i="10"/>
  <c r="AD53" i="10"/>
  <c r="Z54" i="10"/>
  <c r="AH55" i="10"/>
  <c r="AD39" i="26" s="1"/>
  <c r="AD57" i="10"/>
  <c r="Z58" i="10"/>
  <c r="AH59" i="10"/>
  <c r="AD61" i="10"/>
  <c r="Z62" i="10"/>
  <c r="AH63" i="10"/>
  <c r="Z53" i="10"/>
  <c r="Z57" i="10"/>
  <c r="Z61" i="10"/>
  <c r="H74" i="10"/>
  <c r="B40" i="54"/>
  <c r="AF71" i="26" s="1"/>
  <c r="B39" i="54"/>
  <c r="AE67" i="26" s="1"/>
  <c r="B122" i="13"/>
  <c r="B64" i="41"/>
  <c r="B69" i="41"/>
  <c r="B68" i="41"/>
  <c r="B29" i="42"/>
  <c r="G72" i="37" s="1"/>
  <c r="B39" i="42"/>
  <c r="B51" i="40"/>
  <c r="C55" i="38" s="1"/>
  <c r="G45" i="38"/>
  <c r="I14" i="55" s="1"/>
  <c r="G46" i="38"/>
  <c r="I15" i="55" s="1"/>
  <c r="B38" i="54"/>
  <c r="AF62" i="26" s="1"/>
  <c r="B37" i="54"/>
  <c r="AD62" i="26" s="1"/>
  <c r="B36" i="54"/>
  <c r="AD61" i="26" s="1"/>
  <c r="B21" i="54"/>
  <c r="AG50" i="26" s="1"/>
  <c r="B2" i="54"/>
  <c r="B2" i="26" s="1"/>
  <c r="B3" i="54"/>
  <c r="B4" i="26" s="1"/>
  <c r="B9" i="54"/>
  <c r="D50" i="26" s="1"/>
  <c r="B13" i="53"/>
  <c r="T33" i="17" s="1"/>
  <c r="B14" i="53"/>
  <c r="B28" i="47"/>
  <c r="D62" i="29" s="1"/>
  <c r="B58" i="26" s="1"/>
  <c r="B27" i="47"/>
  <c r="D60" i="29" s="1"/>
  <c r="B56" i="26" s="1"/>
  <c r="B26" i="47"/>
  <c r="D55" i="29" s="1"/>
  <c r="B51" i="26" s="1"/>
  <c r="B30" i="47"/>
  <c r="D53" i="29" s="1"/>
  <c r="B29" i="47"/>
  <c r="D52" i="29" s="1"/>
  <c r="D31" i="26"/>
  <c r="B31" i="47"/>
  <c r="F34" i="29" s="1"/>
  <c r="F31" i="26"/>
  <c r="C31" i="26"/>
  <c r="D35" i="29"/>
  <c r="B32" i="26" s="1"/>
  <c r="D30" i="29"/>
  <c r="B28" i="26" s="1"/>
  <c r="B25" i="47"/>
  <c r="D13" i="29" s="1"/>
  <c r="B11" i="26" s="1"/>
  <c r="B16" i="47"/>
  <c r="C55" i="29" s="1"/>
  <c r="B49" i="26" s="1"/>
  <c r="B17" i="47"/>
  <c r="C13" i="29" s="1"/>
  <c r="B10" i="26" s="1"/>
  <c r="B24" i="47"/>
  <c r="D67" i="29" s="1"/>
  <c r="B36" i="47"/>
  <c r="F62" i="29" s="1"/>
  <c r="B35" i="47"/>
  <c r="F61" i="29" s="1"/>
  <c r="B37" i="47"/>
  <c r="F59" i="29" s="1"/>
  <c r="F58" i="26"/>
  <c r="F57" i="26"/>
  <c r="F56" i="26"/>
  <c r="F55" i="26"/>
  <c r="F54" i="26"/>
  <c r="F53" i="26"/>
  <c r="F52" i="26"/>
  <c r="F51" i="26"/>
  <c r="D58" i="26"/>
  <c r="D57" i="26"/>
  <c r="D56" i="26"/>
  <c r="D55" i="26"/>
  <c r="D54" i="26"/>
  <c r="D53" i="26"/>
  <c r="D52" i="26"/>
  <c r="D51" i="26"/>
  <c r="B11" i="54"/>
  <c r="F50" i="26" s="1"/>
  <c r="B10" i="54"/>
  <c r="C52" i="26"/>
  <c r="C53" i="26"/>
  <c r="C54" i="26"/>
  <c r="C55" i="26"/>
  <c r="C56" i="26"/>
  <c r="C57" i="26"/>
  <c r="C58" i="26"/>
  <c r="C51" i="26"/>
  <c r="C48" i="26"/>
  <c r="F48" i="26"/>
  <c r="B8" i="54"/>
  <c r="C9" i="26" s="1"/>
  <c r="C47" i="26"/>
  <c r="C46" i="26"/>
  <c r="C45" i="26"/>
  <c r="C44" i="26"/>
  <c r="C43" i="26"/>
  <c r="C42" i="26"/>
  <c r="C41" i="26"/>
  <c r="C40" i="26"/>
  <c r="C39" i="26"/>
  <c r="C38" i="26"/>
  <c r="C37" i="26"/>
  <c r="C36" i="26"/>
  <c r="C35" i="26"/>
  <c r="C34" i="26"/>
  <c r="C33" i="26"/>
  <c r="C32" i="26"/>
  <c r="C30" i="26"/>
  <c r="C29" i="26"/>
  <c r="C28" i="26"/>
  <c r="C27" i="26"/>
  <c r="C26" i="26"/>
  <c r="C25" i="26"/>
  <c r="C24" i="26"/>
  <c r="C23" i="26"/>
  <c r="C22" i="26"/>
  <c r="C21" i="26"/>
  <c r="C20" i="26"/>
  <c r="C19" i="26"/>
  <c r="C18" i="26"/>
  <c r="C17" i="26"/>
  <c r="C16" i="26"/>
  <c r="C15" i="26"/>
  <c r="C14" i="26"/>
  <c r="C13" i="26"/>
  <c r="C12" i="26"/>
  <c r="C11" i="26"/>
  <c r="F11" i="26"/>
  <c r="F12" i="26"/>
  <c r="F13" i="26"/>
  <c r="F14" i="26"/>
  <c r="F15" i="26"/>
  <c r="F16" i="26"/>
  <c r="F17" i="26"/>
  <c r="F18" i="26"/>
  <c r="F19" i="26"/>
  <c r="F20" i="26"/>
  <c r="F21" i="26"/>
  <c r="F22" i="26"/>
  <c r="F23" i="26"/>
  <c r="F24" i="26"/>
  <c r="F25" i="26"/>
  <c r="F26" i="26"/>
  <c r="F27" i="26"/>
  <c r="F28" i="26"/>
  <c r="F29" i="26"/>
  <c r="F30" i="26"/>
  <c r="F32" i="26"/>
  <c r="F33" i="26"/>
  <c r="F34" i="26"/>
  <c r="F35" i="26"/>
  <c r="F36" i="26"/>
  <c r="F37" i="26"/>
  <c r="F38" i="26"/>
  <c r="F39" i="26"/>
  <c r="F40" i="26"/>
  <c r="F41" i="26"/>
  <c r="F42" i="26"/>
  <c r="F43" i="26"/>
  <c r="F44" i="26"/>
  <c r="F45" i="26"/>
  <c r="F46" i="26"/>
  <c r="F47" i="26"/>
  <c r="F51" i="29"/>
  <c r="E46" i="26" s="1"/>
  <c r="B34" i="47"/>
  <c r="F48" i="29" s="1"/>
  <c r="B33" i="47"/>
  <c r="F47" i="29" s="1"/>
  <c r="F46" i="29"/>
  <c r="E41" i="26" s="1"/>
  <c r="F41" i="29"/>
  <c r="E34" i="26" s="1"/>
  <c r="F37" i="29"/>
  <c r="E32" i="26" s="1"/>
  <c r="F29" i="29"/>
  <c r="F26" i="29"/>
  <c r="F20" i="29"/>
  <c r="E22" i="26" s="1"/>
  <c r="F23" i="29"/>
  <c r="E19" i="26" s="1"/>
  <c r="F18" i="29"/>
  <c r="E16" i="26" s="1"/>
  <c r="B32" i="47"/>
  <c r="F17" i="29" s="1"/>
  <c r="F16" i="29"/>
  <c r="E14" i="26" s="1"/>
  <c r="D25" i="17"/>
  <c r="S25" i="17" s="1"/>
  <c r="D26" i="17"/>
  <c r="S26" i="17" s="1"/>
  <c r="D27" i="17"/>
  <c r="S27" i="17" s="1"/>
  <c r="D28" i="17"/>
  <c r="S28" i="17" s="1"/>
  <c r="D29" i="17"/>
  <c r="S29" i="17" s="1"/>
  <c r="D30" i="17"/>
  <c r="S30" i="17" s="1"/>
  <c r="D31" i="17"/>
  <c r="S31" i="17" s="1"/>
  <c r="D32" i="17"/>
  <c r="S32" i="17" s="1"/>
  <c r="D34" i="17"/>
  <c r="S34" i="17" s="1"/>
  <c r="D35" i="17"/>
  <c r="S35" i="17" s="1"/>
  <c r="D36" i="17"/>
  <c r="S36" i="17" s="1"/>
  <c r="D37" i="17"/>
  <c r="D38" i="17"/>
  <c r="S38" i="17" s="1"/>
  <c r="D39" i="17"/>
  <c r="S39" i="17" s="1"/>
  <c r="D40" i="17"/>
  <c r="S40" i="17" s="1"/>
  <c r="D41" i="17"/>
  <c r="S41" i="17" s="1"/>
  <c r="D42" i="17"/>
  <c r="S42" i="17" s="1"/>
  <c r="D43" i="17"/>
  <c r="S43" i="17" s="1"/>
  <c r="D44" i="17"/>
  <c r="S44" i="17" s="1"/>
  <c r="D50" i="17"/>
  <c r="D51" i="17"/>
  <c r="S51" i="17" s="1"/>
  <c r="D52" i="17"/>
  <c r="S52" i="17" s="1"/>
  <c r="D53" i="17"/>
  <c r="S53" i="17" s="1"/>
  <c r="D54" i="17"/>
  <c r="S54" i="17" s="1"/>
  <c r="D55" i="17"/>
  <c r="S55" i="17" s="1"/>
  <c r="D56" i="17"/>
  <c r="S56" i="17" s="1"/>
  <c r="D57" i="17"/>
  <c r="S57" i="17" s="1"/>
  <c r="D58" i="17"/>
  <c r="B2" i="53"/>
  <c r="B2" i="17" s="1"/>
  <c r="F36" i="10"/>
  <c r="U36" i="10" s="1"/>
  <c r="F37" i="10"/>
  <c r="U37" i="10" s="1"/>
  <c r="F38" i="10"/>
  <c r="U38" i="10" s="1"/>
  <c r="F39" i="10"/>
  <c r="U39" i="10" s="1"/>
  <c r="F40" i="10"/>
  <c r="F41" i="10"/>
  <c r="U41" i="10" s="1"/>
  <c r="F42" i="10"/>
  <c r="U42" i="10" s="1"/>
  <c r="F43" i="10"/>
  <c r="U43" i="10" s="1"/>
  <c r="F44" i="10"/>
  <c r="U44" i="10" s="1"/>
  <c r="F45" i="10"/>
  <c r="U45" i="10" s="1"/>
  <c r="F46" i="10"/>
  <c r="U46" i="10" s="1"/>
  <c r="F47" i="10"/>
  <c r="U47" i="10" s="1"/>
  <c r="F48" i="10"/>
  <c r="U48" i="10" s="1"/>
  <c r="F49" i="10"/>
  <c r="U49" i="10" s="1"/>
  <c r="F50" i="10"/>
  <c r="U50" i="10" s="1"/>
  <c r="F51" i="10"/>
  <c r="U51" i="10" s="1"/>
  <c r="F52" i="10"/>
  <c r="F53" i="10"/>
  <c r="U53" i="10" s="1"/>
  <c r="F54" i="10"/>
  <c r="U54" i="10" s="1"/>
  <c r="F55" i="10"/>
  <c r="U55" i="10" s="1"/>
  <c r="F56" i="10"/>
  <c r="U56" i="10" s="1"/>
  <c r="F57" i="10"/>
  <c r="F58" i="10"/>
  <c r="U58" i="10" s="1"/>
  <c r="F59" i="10"/>
  <c r="U59" i="10" s="1"/>
  <c r="F60" i="10"/>
  <c r="U60" i="10" s="1"/>
  <c r="F61" i="10"/>
  <c r="U61" i="10" s="1"/>
  <c r="F62" i="10"/>
  <c r="U62" i="10" s="1"/>
  <c r="F63" i="10"/>
  <c r="U63" i="10" s="1"/>
  <c r="B27" i="39"/>
  <c r="D35" i="12" s="1"/>
  <c r="B28" i="39"/>
  <c r="B29" i="39"/>
  <c r="D36" i="12" s="1"/>
  <c r="B24" i="40"/>
  <c r="F23" i="38" s="1"/>
  <c r="B25" i="40"/>
  <c r="B26" i="40"/>
  <c r="B31" i="41"/>
  <c r="B32" i="41"/>
  <c r="B33" i="41"/>
  <c r="B26" i="42"/>
  <c r="E52" i="2" s="1"/>
  <c r="B27" i="42"/>
  <c r="B28" i="42"/>
  <c r="B26" i="49"/>
  <c r="B27" i="49"/>
  <c r="B28" i="49"/>
  <c r="B26" i="52"/>
  <c r="B44" i="16" s="1"/>
  <c r="B27" i="52"/>
  <c r="B28" i="52"/>
  <c r="C48" i="16" s="1"/>
  <c r="B26" i="50"/>
  <c r="B46" i="33" s="1"/>
  <c r="B27" i="50"/>
  <c r="B28" i="50"/>
  <c r="B48" i="33" s="1"/>
  <c r="B26" i="51"/>
  <c r="B393" i="33" s="1"/>
  <c r="B27" i="51"/>
  <c r="B28" i="51"/>
  <c r="B432" i="3" s="1"/>
  <c r="B27" i="53"/>
  <c r="B28" i="53"/>
  <c r="B29" i="53"/>
  <c r="B27" i="54"/>
  <c r="B60" i="26" s="1"/>
  <c r="B28" i="54"/>
  <c r="B29" i="54"/>
  <c r="C63" i="26" s="1"/>
  <c r="B26" i="48"/>
  <c r="O90" i="5" s="1"/>
  <c r="B27" i="48"/>
  <c r="B28" i="48"/>
  <c r="A99" i="5" s="1"/>
  <c r="F39" i="29"/>
  <c r="B97" i="52"/>
  <c r="E235" i="16" s="1"/>
  <c r="B96" i="52"/>
  <c r="D236" i="16" s="1"/>
  <c r="B95" i="52"/>
  <c r="B170" i="16" s="1"/>
  <c r="B51" i="52"/>
  <c r="D106" i="16" s="1"/>
  <c r="B52" i="52"/>
  <c r="D107" i="16" s="1"/>
  <c r="B53" i="52"/>
  <c r="D108" i="16" s="1"/>
  <c r="B54" i="52"/>
  <c r="D109" i="16" s="1"/>
  <c r="B55" i="52"/>
  <c r="D110" i="16" s="1"/>
  <c r="B56" i="52"/>
  <c r="D111" i="16" s="1"/>
  <c r="B57" i="52"/>
  <c r="B114" i="16" s="1"/>
  <c r="B58" i="52"/>
  <c r="B132" i="16" s="1"/>
  <c r="B59" i="52"/>
  <c r="B150" i="16" s="1"/>
  <c r="B60" i="52"/>
  <c r="B168" i="16" s="1"/>
  <c r="B61" i="52"/>
  <c r="B186" i="16" s="1"/>
  <c r="B62" i="52"/>
  <c r="B188" i="16" s="1"/>
  <c r="B63" i="52"/>
  <c r="B190" i="16" s="1"/>
  <c r="B64" i="52"/>
  <c r="C192" i="16" s="1"/>
  <c r="B65" i="52"/>
  <c r="D209" i="16" s="1"/>
  <c r="B66" i="52"/>
  <c r="E222" i="16" s="1"/>
  <c r="B67" i="52"/>
  <c r="F209" i="16" s="1"/>
  <c r="B68" i="52"/>
  <c r="G222" i="16" s="1"/>
  <c r="B69" i="52"/>
  <c r="H209" i="16" s="1"/>
  <c r="B70" i="52"/>
  <c r="B71" i="52"/>
  <c r="D205" i="16" s="1"/>
  <c r="B72" i="52"/>
  <c r="C207" i="16" s="1"/>
  <c r="B73" i="52"/>
  <c r="C220" i="16" s="1"/>
  <c r="B74" i="52"/>
  <c r="B233" i="16" s="1"/>
  <c r="B75" i="52"/>
  <c r="C236" i="16" s="1"/>
  <c r="B76" i="52"/>
  <c r="C237" i="16" s="1"/>
  <c r="B77" i="52"/>
  <c r="B78" i="52"/>
  <c r="B79" i="52"/>
  <c r="B80" i="52"/>
  <c r="B81" i="52"/>
  <c r="B82" i="52"/>
  <c r="B83" i="52"/>
  <c r="B84" i="52"/>
  <c r="B85" i="52"/>
  <c r="B86" i="52"/>
  <c r="B87" i="52"/>
  <c r="B88" i="52"/>
  <c r="B89" i="52"/>
  <c r="B90" i="52"/>
  <c r="B91" i="52"/>
  <c r="B92" i="52"/>
  <c r="B93" i="52"/>
  <c r="B94" i="52"/>
  <c r="B34" i="54"/>
  <c r="B66" i="26" s="1"/>
  <c r="B35" i="54"/>
  <c r="C67" i="26" s="1"/>
  <c r="B33" i="54"/>
  <c r="C64" i="26" s="1"/>
  <c r="B32" i="54"/>
  <c r="C62" i="26" s="1"/>
  <c r="B20" i="54"/>
  <c r="B14" i="54"/>
  <c r="M9" i="26" s="1"/>
  <c r="B4" i="54"/>
  <c r="B5" i="26" s="1"/>
  <c r="B5" i="54"/>
  <c r="B6" i="26" s="1"/>
  <c r="B6" i="54"/>
  <c r="B7" i="54"/>
  <c r="R9" i="26" s="1"/>
  <c r="B12" i="54"/>
  <c r="G9" i="26" s="1"/>
  <c r="B13" i="54"/>
  <c r="I9" i="26" s="1"/>
  <c r="B15" i="54"/>
  <c r="H9" i="26" s="1"/>
  <c r="B16" i="54"/>
  <c r="J9" i="26" s="1"/>
  <c r="B17" i="54"/>
  <c r="B18" i="54"/>
  <c r="Q9" i="26" s="1"/>
  <c r="B19" i="54"/>
  <c r="AE9" i="26" s="1"/>
  <c r="B22" i="54"/>
  <c r="P50" i="26" s="1"/>
  <c r="B23" i="54"/>
  <c r="B24" i="54"/>
  <c r="B25" i="54"/>
  <c r="B26" i="54"/>
  <c r="B30" i="54"/>
  <c r="C61" i="26" s="1"/>
  <c r="B31" i="54"/>
  <c r="B31" i="53"/>
  <c r="AJ33" i="17" s="1"/>
  <c r="B3" i="53"/>
  <c r="D4" i="17" s="1"/>
  <c r="B4" i="53"/>
  <c r="F4" i="17" s="1"/>
  <c r="B5" i="53"/>
  <c r="H4" i="17" s="1"/>
  <c r="B6" i="53"/>
  <c r="J4" i="17" s="1"/>
  <c r="B7" i="53"/>
  <c r="L4" i="17" s="1"/>
  <c r="B8" i="53"/>
  <c r="N4" i="17" s="1"/>
  <c r="B9" i="53"/>
  <c r="H6" i="17" s="1"/>
  <c r="B10" i="53"/>
  <c r="B20" i="17" s="1"/>
  <c r="B11" i="53"/>
  <c r="Q33" i="17" s="1"/>
  <c r="B12" i="53"/>
  <c r="R24" i="17" s="1"/>
  <c r="B15" i="53"/>
  <c r="B16" i="53"/>
  <c r="G33" i="17" s="1"/>
  <c r="B17" i="53"/>
  <c r="W33" i="17" s="1"/>
  <c r="B18" i="53"/>
  <c r="M33" i="17" s="1"/>
  <c r="B19" i="53"/>
  <c r="J24" i="17" s="1"/>
  <c r="B20" i="53"/>
  <c r="O33" i="17" s="1"/>
  <c r="B21" i="53"/>
  <c r="AI33" i="17" s="1"/>
  <c r="B22" i="53"/>
  <c r="AG33" i="17" s="1"/>
  <c r="B23" i="53"/>
  <c r="B24" i="53"/>
  <c r="B25" i="53"/>
  <c r="B26" i="53"/>
  <c r="B30" i="53"/>
  <c r="B2" i="49"/>
  <c r="B2" i="10" s="1"/>
  <c r="B48" i="52"/>
  <c r="D104" i="16" s="1"/>
  <c r="B32" i="52"/>
  <c r="C98" i="16" s="1"/>
  <c r="B33" i="52"/>
  <c r="D98" i="16" s="1"/>
  <c r="B34" i="52"/>
  <c r="D99" i="16" s="1"/>
  <c r="B31" i="52"/>
  <c r="D96" i="16" s="1"/>
  <c r="B30" i="52"/>
  <c r="D95" i="16" s="1"/>
  <c r="B40" i="52"/>
  <c r="B93" i="16" s="1"/>
  <c r="B39" i="52"/>
  <c r="B78" i="16" s="1"/>
  <c r="B25" i="52"/>
  <c r="B43" i="16" s="1"/>
  <c r="B24" i="52"/>
  <c r="B41" i="16" s="1"/>
  <c r="B23" i="52"/>
  <c r="B39" i="16" s="1"/>
  <c r="B3" i="52"/>
  <c r="B4" i="16" s="1"/>
  <c r="B4" i="52"/>
  <c r="C7" i="16" s="1"/>
  <c r="B5" i="52"/>
  <c r="D7" i="16" s="1"/>
  <c r="B6" i="52"/>
  <c r="D8" i="16" s="1"/>
  <c r="B7" i="52"/>
  <c r="E8" i="16" s="1"/>
  <c r="B8" i="52"/>
  <c r="F8" i="16" s="1"/>
  <c r="B9" i="52"/>
  <c r="G8" i="16" s="1"/>
  <c r="B10" i="52"/>
  <c r="I8" i="16" s="1"/>
  <c r="B11" i="52"/>
  <c r="F14" i="16" s="1"/>
  <c r="B12" i="52"/>
  <c r="B16" i="16" s="1"/>
  <c r="B13" i="52"/>
  <c r="D17" i="16" s="1"/>
  <c r="B14" i="52"/>
  <c r="D18" i="16" s="1"/>
  <c r="B15" i="52"/>
  <c r="B21" i="16" s="1"/>
  <c r="B16" i="52"/>
  <c r="B23" i="16" s="1"/>
  <c r="B17" i="52"/>
  <c r="C25" i="16" s="1"/>
  <c r="B18" i="52"/>
  <c r="D25" i="16" s="1"/>
  <c r="B19" i="52"/>
  <c r="E25" i="16" s="1"/>
  <c r="B20" i="52"/>
  <c r="B26" i="16" s="1"/>
  <c r="B21" i="52"/>
  <c r="B32" i="16" s="1"/>
  <c r="B22" i="52"/>
  <c r="B29" i="52"/>
  <c r="B35" i="52"/>
  <c r="B50" i="16" s="1"/>
  <c r="B36" i="52"/>
  <c r="D52" i="16" s="1"/>
  <c r="B37" i="52"/>
  <c r="B38" i="52"/>
  <c r="B64" i="16" s="1"/>
  <c r="B41" i="52"/>
  <c r="D66" i="16" s="1"/>
  <c r="B42" i="52"/>
  <c r="B74" i="16" s="1"/>
  <c r="B43" i="52"/>
  <c r="B44" i="52"/>
  <c r="B45" i="52"/>
  <c r="B46" i="52"/>
  <c r="B47" i="52"/>
  <c r="D103" i="16" s="1"/>
  <c r="B49" i="52"/>
  <c r="B50" i="52"/>
  <c r="B2" i="52"/>
  <c r="A2" i="16" s="1"/>
  <c r="B2" i="41"/>
  <c r="A2" i="13" s="1"/>
  <c r="B16" i="43"/>
  <c r="A167" i="37" s="1"/>
  <c r="B15" i="43"/>
  <c r="A167" i="36" s="1"/>
  <c r="B133" i="42"/>
  <c r="AC173" i="36" s="1"/>
  <c r="B134" i="42"/>
  <c r="AE173" i="2" s="1"/>
  <c r="B135" i="42"/>
  <c r="B136" i="42"/>
  <c r="C198" i="36" s="1"/>
  <c r="B132" i="42"/>
  <c r="AB172" i="2" s="1"/>
  <c r="B14" i="43"/>
  <c r="A167" i="35" s="1"/>
  <c r="B9" i="43"/>
  <c r="A34" i="35" s="1"/>
  <c r="B10" i="43"/>
  <c r="A34" i="36" s="1"/>
  <c r="B11" i="43"/>
  <c r="A34" i="37" s="1"/>
  <c r="B4" i="43"/>
  <c r="A2" i="35" s="1"/>
  <c r="B5" i="43"/>
  <c r="A2" i="36" s="1"/>
  <c r="B6" i="43"/>
  <c r="A2" i="37" s="1"/>
  <c r="B131" i="42"/>
  <c r="W225" i="37" s="1"/>
  <c r="B12" i="43"/>
  <c r="A167" i="2" s="1"/>
  <c r="B7" i="43"/>
  <c r="A34" i="2" s="1"/>
  <c r="B2" i="43"/>
  <c r="A2" i="2" s="1"/>
  <c r="B47" i="50"/>
  <c r="B149" i="50"/>
  <c r="L434" i="33" s="1"/>
  <c r="B147" i="50"/>
  <c r="B148" i="50"/>
  <c r="K443" i="33" s="1"/>
  <c r="B8" i="50"/>
  <c r="B39" i="51"/>
  <c r="C9" i="3" s="1"/>
  <c r="B40" i="51"/>
  <c r="C9" i="30" s="1"/>
  <c r="B41" i="51"/>
  <c r="C9" i="31" s="1"/>
  <c r="B42" i="51"/>
  <c r="C9" i="32" s="1"/>
  <c r="B43" i="51"/>
  <c r="C9" i="33" s="1"/>
  <c r="B3" i="50"/>
  <c r="B24" i="50"/>
  <c r="A60" i="3" s="1"/>
  <c r="B23" i="50"/>
  <c r="K52" i="32" s="1"/>
  <c r="B3" i="51"/>
  <c r="A2" i="30" s="1"/>
  <c r="B4" i="51"/>
  <c r="A2" i="31" s="1"/>
  <c r="B5" i="51"/>
  <c r="A2" i="32" s="1"/>
  <c r="B6" i="51"/>
  <c r="A2" i="33" s="1"/>
  <c r="B7" i="51"/>
  <c r="A22" i="3" s="1"/>
  <c r="B8" i="51"/>
  <c r="A22" i="30" s="1"/>
  <c r="B9" i="51"/>
  <c r="A22" i="31" s="1"/>
  <c r="B10" i="51"/>
  <c r="A22" i="32" s="1"/>
  <c r="B11" i="51"/>
  <c r="A22" i="33" s="1"/>
  <c r="B12" i="51"/>
  <c r="A355" i="3" s="1"/>
  <c r="B13" i="51"/>
  <c r="A355" i="30" s="1"/>
  <c r="B14" i="51"/>
  <c r="A355" i="31" s="1"/>
  <c r="B15" i="51"/>
  <c r="A355" i="32" s="1"/>
  <c r="B16" i="51"/>
  <c r="A355" i="33" s="1"/>
  <c r="B17" i="51"/>
  <c r="B357" i="3" s="1"/>
  <c r="B18" i="51"/>
  <c r="B393" i="3" s="1"/>
  <c r="B19" i="51"/>
  <c r="B357" i="30" s="1"/>
  <c r="B20" i="51"/>
  <c r="B393" i="30" s="1"/>
  <c r="B21" i="51"/>
  <c r="B357" i="31" s="1"/>
  <c r="B22" i="51"/>
  <c r="B393" i="31" s="1"/>
  <c r="B23" i="51"/>
  <c r="B357" i="32" s="1"/>
  <c r="B24" i="51"/>
  <c r="B393" i="32" s="1"/>
  <c r="B25" i="51"/>
  <c r="B357" i="33" s="1"/>
  <c r="B29" i="51"/>
  <c r="B30" i="51"/>
  <c r="B31" i="51"/>
  <c r="B432" i="31" s="1"/>
  <c r="B32" i="51"/>
  <c r="B432" i="32" s="1"/>
  <c r="B33" i="51"/>
  <c r="B432" i="33" s="1"/>
  <c r="B34" i="51"/>
  <c r="B469" i="3" s="1"/>
  <c r="B35" i="51"/>
  <c r="B469" i="30" s="1"/>
  <c r="B36" i="51"/>
  <c r="B469" i="31" s="1"/>
  <c r="B37" i="51"/>
  <c r="B469" i="32" s="1"/>
  <c r="B38" i="51"/>
  <c r="B469" i="33" s="1"/>
  <c r="B2" i="51"/>
  <c r="A2" i="3" s="1"/>
  <c r="B145" i="50"/>
  <c r="J443" i="3" s="1"/>
  <c r="B146" i="50"/>
  <c r="K443" i="3" s="1"/>
  <c r="B88" i="50"/>
  <c r="L434" i="3" s="1"/>
  <c r="B73" i="50"/>
  <c r="B130" i="50"/>
  <c r="K396" i="3" s="1"/>
  <c r="B110" i="50"/>
  <c r="B219" i="3" s="1"/>
  <c r="B106" i="50"/>
  <c r="B74" i="50"/>
  <c r="D148" i="3" s="1"/>
  <c r="B65" i="50"/>
  <c r="F136" i="31" s="1"/>
  <c r="B64" i="50"/>
  <c r="F132" i="3" s="1"/>
  <c r="B52" i="50"/>
  <c r="F102" i="3" s="1"/>
  <c r="B53" i="50"/>
  <c r="G102" i="3" s="1"/>
  <c r="B51" i="50"/>
  <c r="B144" i="50"/>
  <c r="C487" i="33" s="1"/>
  <c r="B143" i="50"/>
  <c r="C486" i="31" s="1"/>
  <c r="B142" i="50"/>
  <c r="B485" i="33" s="1"/>
  <c r="B141" i="50"/>
  <c r="D472" i="33" s="1"/>
  <c r="B140" i="50"/>
  <c r="H471" i="3" s="1"/>
  <c r="B139" i="50"/>
  <c r="F471" i="32" s="1"/>
  <c r="B138" i="50"/>
  <c r="B137" i="50"/>
  <c r="B136" i="50"/>
  <c r="H443" i="3" s="1"/>
  <c r="B135" i="50"/>
  <c r="G443" i="33" s="1"/>
  <c r="B134" i="50"/>
  <c r="B133" i="50"/>
  <c r="B132" i="50"/>
  <c r="A430" i="33" s="1"/>
  <c r="B131" i="50"/>
  <c r="B129" i="50"/>
  <c r="B128" i="50"/>
  <c r="B127" i="50"/>
  <c r="B331" i="3" s="1"/>
  <c r="B126" i="50"/>
  <c r="AI311" i="32" s="1"/>
  <c r="B125" i="50"/>
  <c r="B307" i="32" s="1"/>
  <c r="B124" i="50"/>
  <c r="B283" i="31" s="1"/>
  <c r="B123" i="50"/>
  <c r="AJ337" i="3" s="1"/>
  <c r="B122" i="50"/>
  <c r="AI337" i="32" s="1"/>
  <c r="B121" i="50"/>
  <c r="B120" i="50"/>
  <c r="C327" i="32" s="1"/>
  <c r="B119" i="50"/>
  <c r="C350" i="33" s="1"/>
  <c r="B118" i="50"/>
  <c r="C349" i="3" s="1"/>
  <c r="B117" i="50"/>
  <c r="B116" i="50"/>
  <c r="B115" i="50"/>
  <c r="C288" i="3" s="1"/>
  <c r="B114" i="50"/>
  <c r="D396" i="33" s="1"/>
  <c r="B113" i="50"/>
  <c r="B112" i="50"/>
  <c r="B259" i="3" s="1"/>
  <c r="B111" i="50"/>
  <c r="A257" i="3" s="1"/>
  <c r="B109" i="50"/>
  <c r="C466" i="30" s="1"/>
  <c r="B108" i="50"/>
  <c r="B107" i="50"/>
  <c r="B105" i="50"/>
  <c r="C460" i="30" s="1"/>
  <c r="B104" i="50"/>
  <c r="B103" i="50"/>
  <c r="B102" i="50"/>
  <c r="B101" i="50"/>
  <c r="B100" i="50"/>
  <c r="B99" i="50"/>
  <c r="B98" i="50"/>
  <c r="B97" i="50"/>
  <c r="B96" i="50"/>
  <c r="B95" i="50"/>
  <c r="B94" i="50"/>
  <c r="B93" i="50"/>
  <c r="B92" i="50"/>
  <c r="B91" i="50"/>
  <c r="D460" i="32" s="1"/>
  <c r="B90" i="50"/>
  <c r="D333" i="33" s="1"/>
  <c r="B89" i="50"/>
  <c r="B87" i="50"/>
  <c r="C193" i="3" s="1"/>
  <c r="B86" i="50"/>
  <c r="B85" i="50"/>
  <c r="C192" i="33" s="1"/>
  <c r="B84" i="50"/>
  <c r="B189" i="3" s="1"/>
  <c r="B83" i="50"/>
  <c r="B176" i="3" s="1"/>
  <c r="B82" i="50"/>
  <c r="B163" i="33" s="1"/>
  <c r="B81" i="50"/>
  <c r="I178" i="3" s="1"/>
  <c r="B80" i="50"/>
  <c r="H178" i="3" s="1"/>
  <c r="B79" i="50"/>
  <c r="G165" i="32" s="1"/>
  <c r="B78" i="50"/>
  <c r="B77" i="50"/>
  <c r="E178" i="32" s="1"/>
  <c r="B76" i="50"/>
  <c r="D178" i="3" s="1"/>
  <c r="B75" i="50"/>
  <c r="B150" i="3" s="1"/>
  <c r="B72" i="50"/>
  <c r="I140" i="3" s="1"/>
  <c r="B71" i="50"/>
  <c r="H140" i="33" s="1"/>
  <c r="B70" i="50"/>
  <c r="H434" i="33" s="1"/>
  <c r="B69" i="50"/>
  <c r="F443" i="32" s="1"/>
  <c r="B68" i="50"/>
  <c r="B67" i="50"/>
  <c r="C140" i="33" s="1"/>
  <c r="B66" i="50"/>
  <c r="B138" i="33" s="1"/>
  <c r="B63" i="50"/>
  <c r="C129" i="32" s="1"/>
  <c r="B62" i="50"/>
  <c r="H128" i="33" s="1"/>
  <c r="B61" i="50"/>
  <c r="B60" i="50"/>
  <c r="F128" i="3" s="1"/>
  <c r="B59" i="50"/>
  <c r="B126" i="32" s="1"/>
  <c r="B58" i="50"/>
  <c r="B57" i="50"/>
  <c r="G102" i="31" s="1"/>
  <c r="B56" i="50"/>
  <c r="E106" i="3" s="1"/>
  <c r="B55" i="50"/>
  <c r="D106" i="3" s="1"/>
  <c r="B54" i="50"/>
  <c r="D443" i="33" s="1"/>
  <c r="B50" i="50"/>
  <c r="D102" i="32" s="1"/>
  <c r="B49" i="50"/>
  <c r="C102" i="33" s="1"/>
  <c r="B48" i="50"/>
  <c r="F101" i="3" s="1"/>
  <c r="B46" i="50"/>
  <c r="B99" i="3" s="1"/>
  <c r="B45" i="50"/>
  <c r="B44" i="50"/>
  <c r="B81" i="33" s="1"/>
  <c r="B43" i="50"/>
  <c r="E84" i="3" s="1"/>
  <c r="B42" i="50"/>
  <c r="D68" i="3" s="1"/>
  <c r="B41" i="50"/>
  <c r="C68" i="33" s="1"/>
  <c r="B40" i="50"/>
  <c r="F83" i="33" s="1"/>
  <c r="B39" i="50"/>
  <c r="C83" i="3" s="1"/>
  <c r="B38" i="50"/>
  <c r="B37" i="50"/>
  <c r="B36" i="50"/>
  <c r="C106" i="33" s="1"/>
  <c r="B35" i="50"/>
  <c r="E52" i="3" s="1"/>
  <c r="B34" i="50"/>
  <c r="B52" i="33" s="1"/>
  <c r="B33" i="50"/>
  <c r="J50" i="30" s="1"/>
  <c r="B32" i="50"/>
  <c r="I48" i="3" s="1"/>
  <c r="B31" i="50"/>
  <c r="G50" i="32" s="1"/>
  <c r="B30" i="50"/>
  <c r="B29" i="50"/>
  <c r="B25" i="50"/>
  <c r="B22" i="50"/>
  <c r="I35" i="3" s="1"/>
  <c r="B21" i="50"/>
  <c r="H35" i="30" s="1"/>
  <c r="B20" i="50"/>
  <c r="F52" i="32" s="1"/>
  <c r="B19" i="50"/>
  <c r="E35" i="33" s="1"/>
  <c r="B18" i="50"/>
  <c r="B17" i="50"/>
  <c r="F26" i="32" s="1"/>
  <c r="B16" i="50"/>
  <c r="D52" i="32" s="1"/>
  <c r="B15" i="50"/>
  <c r="C26" i="33" s="1"/>
  <c r="B14" i="50"/>
  <c r="B24" i="32" s="1"/>
  <c r="B13" i="50"/>
  <c r="B12" i="50"/>
  <c r="J396" i="33" s="1"/>
  <c r="B11" i="50"/>
  <c r="F12" i="3" s="1"/>
  <c r="B10" i="50"/>
  <c r="B9" i="50"/>
  <c r="B6" i="50"/>
  <c r="B84" i="32" s="1"/>
  <c r="B5" i="50"/>
  <c r="B7" i="33" s="1"/>
  <c r="B4" i="50"/>
  <c r="G7" i="32" s="1"/>
  <c r="B2" i="50"/>
  <c r="B6" i="32" s="1"/>
  <c r="AH123" i="50"/>
  <c r="AG123" i="50"/>
  <c r="AF123" i="50"/>
  <c r="AE123" i="50"/>
  <c r="AD123" i="50"/>
  <c r="AC123" i="50"/>
  <c r="AB123" i="50"/>
  <c r="AA123" i="50"/>
  <c r="Z123" i="50"/>
  <c r="Y123" i="50"/>
  <c r="X123" i="50"/>
  <c r="W123" i="50"/>
  <c r="V123" i="50"/>
  <c r="U123" i="50"/>
  <c r="T123" i="50"/>
  <c r="S123" i="50"/>
  <c r="R123" i="50"/>
  <c r="Q123" i="50"/>
  <c r="P123" i="50"/>
  <c r="O123" i="50"/>
  <c r="N123" i="50"/>
  <c r="M123" i="50"/>
  <c r="L123" i="50"/>
  <c r="K123" i="50"/>
  <c r="J123" i="50"/>
  <c r="I123" i="50"/>
  <c r="H123" i="50"/>
  <c r="G123" i="50"/>
  <c r="AI122" i="50"/>
  <c r="AH122" i="50"/>
  <c r="AG122" i="50"/>
  <c r="AF122" i="50"/>
  <c r="AE122" i="50"/>
  <c r="AD122" i="50"/>
  <c r="AC122" i="50"/>
  <c r="AB122" i="50"/>
  <c r="AA122" i="50"/>
  <c r="Z122" i="50"/>
  <c r="Y122" i="50"/>
  <c r="X122" i="50"/>
  <c r="W122" i="50"/>
  <c r="V122" i="50"/>
  <c r="U122" i="50"/>
  <c r="T122" i="50"/>
  <c r="S122" i="50"/>
  <c r="R122" i="50"/>
  <c r="Q122" i="50"/>
  <c r="P122" i="50"/>
  <c r="O122" i="50"/>
  <c r="N122" i="50"/>
  <c r="M122" i="50"/>
  <c r="L122" i="50"/>
  <c r="K122" i="50"/>
  <c r="J122" i="50"/>
  <c r="I122" i="50"/>
  <c r="H122" i="50"/>
  <c r="G122" i="50"/>
  <c r="B10" i="49"/>
  <c r="C5" i="10" s="1"/>
  <c r="B3" i="49"/>
  <c r="D4" i="10" s="1"/>
  <c r="B4" i="49"/>
  <c r="F4" i="10" s="1"/>
  <c r="B5" i="49"/>
  <c r="H4" i="10" s="1"/>
  <c r="B6" i="49"/>
  <c r="J4" i="10" s="1"/>
  <c r="B7" i="49"/>
  <c r="L4" i="10" s="1"/>
  <c r="B8" i="49"/>
  <c r="N4" i="10" s="1"/>
  <c r="B9" i="49"/>
  <c r="N5" i="10" s="1"/>
  <c r="B11" i="49"/>
  <c r="O5" i="10" s="1"/>
  <c r="B12" i="49"/>
  <c r="B27" i="10" s="1"/>
  <c r="B13" i="49"/>
  <c r="C28" i="10" s="1"/>
  <c r="B14" i="49"/>
  <c r="B31" i="10" s="1"/>
  <c r="B15" i="49"/>
  <c r="R35" i="10" s="1"/>
  <c r="B16" i="49"/>
  <c r="S35" i="10" s="1"/>
  <c r="B17" i="49"/>
  <c r="B18" i="49"/>
  <c r="U35" i="10" s="1"/>
  <c r="B19" i="49"/>
  <c r="V35" i="10" s="1"/>
  <c r="B20" i="49"/>
  <c r="B21" i="49"/>
  <c r="B22" i="49"/>
  <c r="J35" i="10" s="1"/>
  <c r="B23" i="49"/>
  <c r="AH35" i="10" s="1"/>
  <c r="B24" i="49"/>
  <c r="AI35" i="10" s="1"/>
  <c r="B25" i="49"/>
  <c r="N35" i="10" s="1"/>
  <c r="AJ35" i="10"/>
  <c r="B29" i="49"/>
  <c r="B30" i="49"/>
  <c r="C66" i="10" s="1"/>
  <c r="B31" i="49"/>
  <c r="C67" i="10" s="1"/>
  <c r="B32" i="49"/>
  <c r="C70" i="10" s="1"/>
  <c r="B33" i="49"/>
  <c r="AG66" i="10" s="1"/>
  <c r="B34" i="49"/>
  <c r="AG67" i="10" s="1"/>
  <c r="B35" i="49"/>
  <c r="B36" i="49"/>
  <c r="AI76" i="10" s="1"/>
  <c r="B37" i="49"/>
  <c r="AH72" i="10" s="1"/>
  <c r="B14" i="48"/>
  <c r="B21" i="5" s="1"/>
  <c r="B3" i="48"/>
  <c r="A5" i="5" s="1"/>
  <c r="B4" i="48"/>
  <c r="B7" i="5" s="1"/>
  <c r="B5" i="48"/>
  <c r="B8" i="5" s="1"/>
  <c r="B6" i="48"/>
  <c r="B9" i="5" s="1"/>
  <c r="B7" i="48"/>
  <c r="B10" i="5" s="1"/>
  <c r="B8" i="48"/>
  <c r="B11" i="5" s="1"/>
  <c r="B9" i="48"/>
  <c r="B12" i="5" s="1"/>
  <c r="B10" i="48"/>
  <c r="B14" i="5" s="1"/>
  <c r="B11" i="48"/>
  <c r="B16" i="5" s="1"/>
  <c r="B12" i="48"/>
  <c r="B18" i="5" s="1"/>
  <c r="B13" i="48"/>
  <c r="B20" i="5" s="1"/>
  <c r="B15" i="48"/>
  <c r="A23" i="5" s="1"/>
  <c r="B16" i="48"/>
  <c r="H25" i="5" s="1"/>
  <c r="B17" i="48"/>
  <c r="C90" i="5" s="1"/>
  <c r="B18" i="48"/>
  <c r="D90" i="5" s="1"/>
  <c r="B19" i="48"/>
  <c r="A107" i="5" s="1"/>
  <c r="B20" i="48"/>
  <c r="B21" i="48"/>
  <c r="F67" i="5" s="1"/>
  <c r="B22" i="48"/>
  <c r="G90" i="5" s="1"/>
  <c r="B23" i="48"/>
  <c r="I89" i="5" s="1"/>
  <c r="B24" i="48"/>
  <c r="B25" i="48"/>
  <c r="O67" i="5" s="1"/>
  <c r="B29" i="48"/>
  <c r="B30" i="48"/>
  <c r="F69" i="5" s="1"/>
  <c r="B31" i="48"/>
  <c r="S67" i="5" s="1"/>
  <c r="B32" i="48"/>
  <c r="T67" i="5" s="1"/>
  <c r="B33" i="48"/>
  <c r="H67" i="5" s="1"/>
  <c r="B34" i="48"/>
  <c r="I67" i="5" s="1"/>
  <c r="B35" i="48"/>
  <c r="R67" i="5" s="1"/>
  <c r="B36" i="48"/>
  <c r="B37" i="48"/>
  <c r="B77" i="5" s="1"/>
  <c r="B38" i="48"/>
  <c r="C78" i="5" s="1"/>
  <c r="B39" i="48"/>
  <c r="C79" i="5" s="1"/>
  <c r="B40" i="48"/>
  <c r="C80" i="5" s="1"/>
  <c r="B41" i="48"/>
  <c r="C81" i="5" s="1"/>
  <c r="B42" i="48"/>
  <c r="C82" i="5" s="1"/>
  <c r="B43" i="48"/>
  <c r="C83" i="5" s="1"/>
  <c r="B44" i="48"/>
  <c r="A87" i="5" s="1"/>
  <c r="B45" i="48"/>
  <c r="B46" i="48"/>
  <c r="B47" i="48"/>
  <c r="O89" i="5" s="1"/>
  <c r="B2" i="48"/>
  <c r="A2" i="5" s="1"/>
  <c r="B18" i="47"/>
  <c r="L54" i="29" s="1"/>
  <c r="B3" i="47"/>
  <c r="B4" i="29" s="1"/>
  <c r="B4" i="47"/>
  <c r="C6" i="29" s="1"/>
  <c r="B5" i="47"/>
  <c r="B6" i="47"/>
  <c r="D7" i="29" s="1"/>
  <c r="B7" i="47"/>
  <c r="D10" i="29" s="1"/>
  <c r="B8" i="47"/>
  <c r="E54" i="29" s="1"/>
  <c r="B9" i="47"/>
  <c r="F12" i="29" s="1"/>
  <c r="B10" i="47"/>
  <c r="B11" i="47"/>
  <c r="H12" i="29" s="1"/>
  <c r="B12" i="47"/>
  <c r="I54" i="29" s="1"/>
  <c r="B13" i="47"/>
  <c r="J54" i="29" s="1"/>
  <c r="B14" i="47"/>
  <c r="K12" i="29" s="1"/>
  <c r="B15" i="47"/>
  <c r="M12" i="29" s="1"/>
  <c r="B19" i="47"/>
  <c r="K54" i="29" s="1"/>
  <c r="B20" i="47"/>
  <c r="M54" i="29" s="1"/>
  <c r="B21" i="47"/>
  <c r="C64" i="29" s="1"/>
  <c r="B22" i="47"/>
  <c r="D65" i="29" s="1"/>
  <c r="B23" i="47"/>
  <c r="D66" i="29" s="1"/>
  <c r="B2" i="47"/>
  <c r="A2" i="29" s="1"/>
  <c r="C198" i="35"/>
  <c r="B8" i="43"/>
  <c r="A34" i="34" s="1"/>
  <c r="B13" i="43"/>
  <c r="A167" i="34" s="1"/>
  <c r="B3" i="43"/>
  <c r="A2" i="34" s="1"/>
  <c r="B130" i="42"/>
  <c r="B199" i="2" s="1"/>
  <c r="B59" i="42"/>
  <c r="C133" i="2" s="1"/>
  <c r="B3" i="42"/>
  <c r="B4" i="42"/>
  <c r="B7" i="2" s="1"/>
  <c r="B5" i="42"/>
  <c r="E7" i="2" s="1"/>
  <c r="B6" i="42"/>
  <c r="G6" i="2" s="1"/>
  <c r="B7" i="42"/>
  <c r="C109" i="2" s="1"/>
  <c r="B8" i="42"/>
  <c r="D9" i="2" s="1"/>
  <c r="B9" i="42"/>
  <c r="E9" i="2" s="1"/>
  <c r="B10" i="42"/>
  <c r="B10" i="2" s="1"/>
  <c r="B11" i="42"/>
  <c r="B191" i="37" s="1"/>
  <c r="B12" i="42"/>
  <c r="B27" i="2" s="1"/>
  <c r="B13" i="42"/>
  <c r="B14" i="42"/>
  <c r="B15" i="42"/>
  <c r="G12" i="2" s="1"/>
  <c r="B16" i="42"/>
  <c r="C157" i="35" s="1"/>
  <c r="B17" i="42"/>
  <c r="B31" i="2" s="1"/>
  <c r="B18" i="42"/>
  <c r="C32" i="2" s="1"/>
  <c r="B19" i="42"/>
  <c r="B20" i="42"/>
  <c r="B38" i="2" s="1"/>
  <c r="B21" i="42"/>
  <c r="C52" i="2" s="1"/>
  <c r="B22" i="42"/>
  <c r="B23" i="42"/>
  <c r="B24" i="42"/>
  <c r="F38" i="2" s="1"/>
  <c r="B25" i="42"/>
  <c r="H52" i="2"/>
  <c r="B30" i="42"/>
  <c r="H72" i="35" s="1"/>
  <c r="B31" i="42"/>
  <c r="B66" i="2" s="1"/>
  <c r="B32" i="42"/>
  <c r="B68" i="2" s="1"/>
  <c r="B33" i="42"/>
  <c r="E68" i="2" s="1"/>
  <c r="B34" i="42"/>
  <c r="G69" i="2" s="1"/>
  <c r="B35" i="42"/>
  <c r="G70" i="34" s="1"/>
  <c r="B36" i="42"/>
  <c r="J70" i="34" s="1"/>
  <c r="B37" i="42"/>
  <c r="B72" i="2" s="1"/>
  <c r="B38" i="42"/>
  <c r="C72" i="2" s="1"/>
  <c r="B40" i="42"/>
  <c r="I52" i="2" s="1"/>
  <c r="B41" i="42"/>
  <c r="B83" i="2" s="1"/>
  <c r="B42" i="42"/>
  <c r="B85" i="2" s="1"/>
  <c r="B43" i="42"/>
  <c r="E85" i="2" s="1"/>
  <c r="B44" i="42"/>
  <c r="G86" i="2" s="1"/>
  <c r="B45" i="42"/>
  <c r="G70" i="2" s="1"/>
  <c r="B46" i="42"/>
  <c r="C90" i="2" s="1"/>
  <c r="B47" i="42"/>
  <c r="B92" i="2" s="1"/>
  <c r="B48" i="42"/>
  <c r="C92" i="2" s="1"/>
  <c r="B49" i="42"/>
  <c r="B51" i="42"/>
  <c r="F92" i="2" s="1"/>
  <c r="B52" i="42"/>
  <c r="A106" i="2" s="1"/>
  <c r="B53" i="42"/>
  <c r="D109" i="2" s="1"/>
  <c r="B54" i="42"/>
  <c r="E109" i="2" s="1"/>
  <c r="B55" i="42"/>
  <c r="F109" i="2" s="1"/>
  <c r="B56" i="42"/>
  <c r="G109" i="2" s="1"/>
  <c r="B57" i="42"/>
  <c r="C127" i="2" s="1"/>
  <c r="B58" i="42"/>
  <c r="B60" i="42"/>
  <c r="B135" i="34" s="1"/>
  <c r="B61" i="42"/>
  <c r="D138" i="2" s="1"/>
  <c r="B62" i="42"/>
  <c r="F138" i="2" s="1"/>
  <c r="B63" i="42"/>
  <c r="B64" i="42"/>
  <c r="C139" i="34" s="1"/>
  <c r="B65" i="42"/>
  <c r="D139" i="36" s="1"/>
  <c r="B66" i="42"/>
  <c r="B67" i="42"/>
  <c r="B68" i="42"/>
  <c r="B69" i="42"/>
  <c r="C160" i="2" s="1"/>
  <c r="B70" i="42"/>
  <c r="C164" i="35" s="1"/>
  <c r="B71" i="42"/>
  <c r="C165" i="34" s="1"/>
  <c r="B72" i="42"/>
  <c r="B169" i="2" s="1"/>
  <c r="B73" i="42"/>
  <c r="C173" i="2" s="1"/>
  <c r="B74" i="42"/>
  <c r="C174" i="34" s="1"/>
  <c r="B75" i="42"/>
  <c r="B76" i="42"/>
  <c r="C176" i="2" s="1"/>
  <c r="B77" i="42"/>
  <c r="C177" i="2" s="1"/>
  <c r="B78" i="42"/>
  <c r="C178" i="36" s="1"/>
  <c r="B79" i="42"/>
  <c r="C179" i="2" s="1"/>
  <c r="B80" i="42"/>
  <c r="C180" i="35" s="1"/>
  <c r="B81" i="42"/>
  <c r="C199" i="2" s="1"/>
  <c r="B82" i="42"/>
  <c r="C200" i="2" s="1"/>
  <c r="B83" i="42"/>
  <c r="B84" i="42"/>
  <c r="C202" i="2" s="1"/>
  <c r="B85" i="42"/>
  <c r="C203" i="2" s="1"/>
  <c r="B86" i="42"/>
  <c r="C209" i="36" s="1"/>
  <c r="B87" i="42"/>
  <c r="B88" i="42"/>
  <c r="C206" i="36" s="1"/>
  <c r="B89" i="42"/>
  <c r="C207" i="2" s="1"/>
  <c r="B90" i="42"/>
  <c r="B203" i="2" s="1"/>
  <c r="B91" i="42"/>
  <c r="B92" i="42"/>
  <c r="B93" i="42"/>
  <c r="B208" i="37" s="1"/>
  <c r="B94" i="42"/>
  <c r="B95" i="42"/>
  <c r="B96" i="42"/>
  <c r="B213" i="2" s="1"/>
  <c r="B97" i="42"/>
  <c r="B215" i="2" s="1"/>
  <c r="B98" i="42"/>
  <c r="C213" i="2" s="1"/>
  <c r="B99" i="42"/>
  <c r="B100" i="42"/>
  <c r="C215" i="2" s="1"/>
  <c r="B101" i="42"/>
  <c r="C216" i="2" s="1"/>
  <c r="B102" i="42"/>
  <c r="C217" i="35" s="1"/>
  <c r="B103" i="42"/>
  <c r="B104" i="42"/>
  <c r="C219" i="37" s="1"/>
  <c r="B105" i="42"/>
  <c r="B222" i="2" s="1"/>
  <c r="B106" i="42"/>
  <c r="C225" i="36" s="1"/>
  <c r="B107" i="42"/>
  <c r="B108" i="42"/>
  <c r="E225" i="2" s="1"/>
  <c r="B109" i="42"/>
  <c r="F225" i="2" s="1"/>
  <c r="B110" i="42"/>
  <c r="G225" i="2" s="1"/>
  <c r="B111" i="42"/>
  <c r="B112" i="42"/>
  <c r="I225" i="35" s="1"/>
  <c r="B113" i="42"/>
  <c r="J224" i="2" s="1"/>
  <c r="B114" i="42"/>
  <c r="P225" i="37" s="1"/>
  <c r="B115" i="42"/>
  <c r="B116" i="42"/>
  <c r="L225" i="36" s="1"/>
  <c r="B117" i="42"/>
  <c r="M225" i="2" s="1"/>
  <c r="B118" i="42"/>
  <c r="N225" i="35" s="1"/>
  <c r="B119" i="42"/>
  <c r="B120" i="42"/>
  <c r="P225" i="2" s="1"/>
  <c r="B121" i="42"/>
  <c r="P224" i="2" s="1"/>
  <c r="B122" i="42"/>
  <c r="U225" i="36" s="1"/>
  <c r="B123" i="42"/>
  <c r="B124" i="42"/>
  <c r="V224" i="2" s="1"/>
  <c r="B125" i="42"/>
  <c r="C254" i="2" s="1"/>
  <c r="B126" i="42"/>
  <c r="C255" i="2" s="1"/>
  <c r="B127" i="42"/>
  <c r="C256" i="2" s="1"/>
  <c r="B128" i="42"/>
  <c r="C257" i="2" s="1"/>
  <c r="B129" i="42"/>
  <c r="C258" i="2" s="1"/>
  <c r="AG9" i="26"/>
  <c r="L50" i="26"/>
  <c r="I33" i="17"/>
  <c r="AA50" i="26"/>
  <c r="C50" i="26"/>
  <c r="L9" i="26"/>
  <c r="G72" i="36"/>
  <c r="AB172" i="36"/>
  <c r="C72" i="37"/>
  <c r="C200" i="36"/>
  <c r="H52" i="37"/>
  <c r="H72" i="37"/>
  <c r="C213" i="37"/>
  <c r="B20" i="36"/>
  <c r="E52" i="36"/>
  <c r="AB172" i="34"/>
  <c r="F138" i="35"/>
  <c r="C203" i="35"/>
  <c r="E52" i="35"/>
  <c r="H52" i="35"/>
  <c r="G72" i="35"/>
  <c r="C216" i="34"/>
  <c r="H52" i="34"/>
  <c r="C72" i="34"/>
  <c r="G72" i="34"/>
  <c r="B89" i="34"/>
  <c r="D109" i="34"/>
  <c r="J87" i="34"/>
  <c r="B52" i="30"/>
  <c r="C106" i="3"/>
  <c r="B81" i="3"/>
  <c r="C103" i="3"/>
  <c r="D434" i="33"/>
  <c r="F128" i="33"/>
  <c r="G140" i="3"/>
  <c r="G140" i="33"/>
  <c r="D178" i="32"/>
  <c r="H165" i="33"/>
  <c r="B189" i="33"/>
  <c r="D465" i="32"/>
  <c r="D445" i="32"/>
  <c r="D466" i="32"/>
  <c r="D450" i="33"/>
  <c r="L261" i="33"/>
  <c r="C336" i="33"/>
  <c r="C336" i="32"/>
  <c r="C302" i="3"/>
  <c r="C278" i="32"/>
  <c r="AJ313" i="32"/>
  <c r="AJ313" i="33"/>
  <c r="B307" i="33"/>
  <c r="A430" i="3"/>
  <c r="H471" i="33"/>
  <c r="D442" i="32"/>
  <c r="D440" i="33"/>
  <c r="B397" i="33"/>
  <c r="D437" i="32"/>
  <c r="D435" i="33"/>
  <c r="B219" i="33"/>
  <c r="C26" i="32"/>
  <c r="B35" i="32"/>
  <c r="C67" i="32"/>
  <c r="D142" i="32"/>
  <c r="D148" i="32"/>
  <c r="B68" i="3"/>
  <c r="B265" i="32"/>
  <c r="B313" i="32"/>
  <c r="B24" i="33"/>
  <c r="D35" i="33"/>
  <c r="F101" i="33"/>
  <c r="B126" i="33"/>
  <c r="C129" i="33"/>
  <c r="F443" i="33"/>
  <c r="F434" i="33"/>
  <c r="B150" i="33"/>
  <c r="G152" i="33"/>
  <c r="B176" i="33"/>
  <c r="C223" i="33"/>
  <c r="C466" i="33"/>
  <c r="D396" i="32"/>
  <c r="C335" i="32"/>
  <c r="C287" i="33"/>
  <c r="C311" i="32"/>
  <c r="C349" i="32"/>
  <c r="C349" i="33"/>
  <c r="C301" i="33"/>
  <c r="C325" i="32"/>
  <c r="AI313" i="33"/>
  <c r="AI289" i="32"/>
  <c r="AI313" i="32"/>
  <c r="AI335" i="33"/>
  <c r="AI311" i="33"/>
  <c r="G443" i="3"/>
  <c r="G443" i="32"/>
  <c r="F471" i="33"/>
  <c r="C486" i="3"/>
  <c r="C486" i="32"/>
  <c r="F102" i="33"/>
  <c r="L434" i="32"/>
  <c r="L443" i="32"/>
  <c r="B485" i="31"/>
  <c r="C487" i="31"/>
  <c r="B9" i="32"/>
  <c r="D35" i="32"/>
  <c r="B48" i="32"/>
  <c r="G49" i="32"/>
  <c r="E52" i="32"/>
  <c r="F83" i="32"/>
  <c r="E84" i="32"/>
  <c r="D106" i="32"/>
  <c r="B123" i="32"/>
  <c r="F128" i="32"/>
  <c r="H128" i="32"/>
  <c r="D141" i="32"/>
  <c r="D143" i="32"/>
  <c r="D147" i="32"/>
  <c r="B150" i="32"/>
  <c r="C129" i="31"/>
  <c r="E140" i="31"/>
  <c r="G140" i="31"/>
  <c r="I140" i="31"/>
  <c r="D152" i="31"/>
  <c r="D141" i="31"/>
  <c r="D145" i="31"/>
  <c r="D147" i="31"/>
  <c r="H178" i="31"/>
  <c r="L261" i="31"/>
  <c r="C263" i="31"/>
  <c r="B289" i="31"/>
  <c r="C287" i="31"/>
  <c r="B307" i="31"/>
  <c r="C326" i="31"/>
  <c r="AJ337" i="31"/>
  <c r="B369" i="31"/>
  <c r="B397" i="31"/>
  <c r="A430" i="31"/>
  <c r="H434" i="31"/>
  <c r="D435" i="31"/>
  <c r="D437" i="31"/>
  <c r="D441" i="31"/>
  <c r="D446" i="31"/>
  <c r="D448" i="31"/>
  <c r="D452" i="31"/>
  <c r="D454" i="31"/>
  <c r="D461" i="31"/>
  <c r="D466" i="31"/>
  <c r="F101" i="31"/>
  <c r="F102" i="31"/>
  <c r="F128" i="31"/>
  <c r="H128" i="31"/>
  <c r="B150" i="31"/>
  <c r="D142" i="31"/>
  <c r="D146" i="31"/>
  <c r="D148" i="31"/>
  <c r="H165" i="31"/>
  <c r="B176" i="31"/>
  <c r="C193" i="31"/>
  <c r="D221" i="31"/>
  <c r="C264" i="31"/>
  <c r="C302" i="31"/>
  <c r="AJ289" i="31"/>
  <c r="C312" i="31"/>
  <c r="B313" i="31"/>
  <c r="C325" i="31"/>
  <c r="AJ313" i="31"/>
  <c r="C336" i="31"/>
  <c r="B361" i="31"/>
  <c r="J396" i="31"/>
  <c r="B405" i="31"/>
  <c r="F434" i="31"/>
  <c r="D443" i="31"/>
  <c r="H443" i="31"/>
  <c r="B444" i="31"/>
  <c r="D438" i="31"/>
  <c r="D442" i="31"/>
  <c r="D445" i="31"/>
  <c r="D449" i="31"/>
  <c r="D451" i="31"/>
  <c r="D458" i="31"/>
  <c r="D462" i="31"/>
  <c r="D465" i="31"/>
  <c r="B7" i="31"/>
  <c r="G7" i="31"/>
  <c r="B24" i="31"/>
  <c r="C26" i="31"/>
  <c r="I35" i="31"/>
  <c r="B46" i="31"/>
  <c r="B52" i="31"/>
  <c r="I52" i="31"/>
  <c r="F67" i="31"/>
  <c r="H471" i="30"/>
  <c r="G6" i="31"/>
  <c r="B9" i="31"/>
  <c r="E26" i="31"/>
  <c r="B48" i="31"/>
  <c r="I48" i="31"/>
  <c r="F52" i="31"/>
  <c r="C67" i="31"/>
  <c r="F83" i="31"/>
  <c r="E84" i="31"/>
  <c r="D447" i="30"/>
  <c r="D449" i="30"/>
  <c r="D453" i="30"/>
  <c r="D458" i="30"/>
  <c r="D462" i="30"/>
  <c r="D466" i="30"/>
  <c r="D444" i="30"/>
  <c r="D448" i="30"/>
  <c r="D450" i="30"/>
  <c r="D454" i="30"/>
  <c r="D461" i="30"/>
  <c r="D463" i="30"/>
  <c r="D436" i="30"/>
  <c r="D438" i="30"/>
  <c r="D442" i="30"/>
  <c r="D437" i="30"/>
  <c r="D439" i="30"/>
  <c r="F434" i="30"/>
  <c r="D434" i="30"/>
  <c r="G443" i="30"/>
  <c r="B444" i="30"/>
  <c r="H434" i="30"/>
  <c r="D443" i="30"/>
  <c r="F443" i="30"/>
  <c r="J396" i="30"/>
  <c r="B405" i="30"/>
  <c r="D445" i="3"/>
  <c r="D447" i="3"/>
  <c r="D451" i="3"/>
  <c r="D458" i="3"/>
  <c r="D460" i="3"/>
  <c r="D464" i="3"/>
  <c r="D466" i="3"/>
  <c r="D446" i="3"/>
  <c r="D450" i="3"/>
  <c r="D452" i="3"/>
  <c r="D459" i="3"/>
  <c r="D461" i="3"/>
  <c r="D465" i="3"/>
  <c r="C460" i="3"/>
  <c r="C223" i="30"/>
  <c r="C262" i="30"/>
  <c r="B337" i="30"/>
  <c r="L309" i="30"/>
  <c r="AI335" i="30"/>
  <c r="AJ337" i="30"/>
  <c r="B369" i="30"/>
  <c r="B219" i="30"/>
  <c r="C277" i="30"/>
  <c r="C288" i="30"/>
  <c r="B307" i="30"/>
  <c r="C325" i="30"/>
  <c r="B331" i="30"/>
  <c r="C335" i="30"/>
  <c r="C350" i="30"/>
  <c r="AJ289" i="30"/>
  <c r="AI311" i="30"/>
  <c r="C360" i="30"/>
  <c r="B361" i="30"/>
  <c r="C26" i="30"/>
  <c r="E35" i="30"/>
  <c r="D52" i="30"/>
  <c r="D68" i="30"/>
  <c r="E84" i="30"/>
  <c r="C102" i="30"/>
  <c r="C129" i="30"/>
  <c r="G140" i="30"/>
  <c r="I140" i="30"/>
  <c r="H152" i="30"/>
  <c r="D178" i="30"/>
  <c r="B26" i="30"/>
  <c r="E26" i="30"/>
  <c r="F35" i="30"/>
  <c r="G50" i="30"/>
  <c r="F52" i="30"/>
  <c r="F67" i="30"/>
  <c r="B84" i="30"/>
  <c r="C103" i="30"/>
  <c r="D106" i="30"/>
  <c r="H128" i="30"/>
  <c r="F129" i="30"/>
  <c r="B150" i="30"/>
  <c r="B176" i="30"/>
  <c r="F10" i="30"/>
  <c r="G6" i="30"/>
  <c r="E6" i="3"/>
  <c r="F52" i="3"/>
  <c r="B52" i="3"/>
  <c r="B444" i="3"/>
  <c r="F443" i="3"/>
  <c r="C472" i="3"/>
  <c r="D434" i="3"/>
  <c r="F434" i="3"/>
  <c r="C264" i="3"/>
  <c r="C280" i="3"/>
  <c r="C301" i="3"/>
  <c r="B289" i="3"/>
  <c r="AJ289" i="3"/>
  <c r="C326" i="3"/>
  <c r="AI313" i="3"/>
  <c r="C336" i="3"/>
  <c r="C352" i="3"/>
  <c r="B361" i="3"/>
  <c r="C223" i="3"/>
  <c r="L261" i="3"/>
  <c r="C277" i="3"/>
  <c r="L309" i="3"/>
  <c r="B313" i="3"/>
  <c r="AJ313" i="3"/>
  <c r="E395" i="3"/>
  <c r="D141" i="3"/>
  <c r="D145" i="3"/>
  <c r="D165" i="3"/>
  <c r="F129" i="3"/>
  <c r="D142" i="3"/>
  <c r="D146" i="3"/>
  <c r="F152" i="3"/>
  <c r="F131" i="3"/>
  <c r="G6" i="3"/>
  <c r="B9" i="3"/>
  <c r="E68" i="3"/>
  <c r="B35" i="3"/>
  <c r="AI123" i="50"/>
  <c r="AI120" i="50"/>
  <c r="AI121" i="50"/>
  <c r="G5" i="10"/>
  <c r="C35" i="10"/>
  <c r="K35" i="10"/>
  <c r="Z35" i="10"/>
  <c r="B69" i="10"/>
  <c r="H5" i="10"/>
  <c r="J5" i="10"/>
  <c r="D35" i="10"/>
  <c r="F35" i="10"/>
  <c r="P35" i="10"/>
  <c r="AA35" i="10"/>
  <c r="AI70" i="10"/>
  <c r="C26" i="5"/>
  <c r="C67" i="5"/>
  <c r="G67" i="5"/>
  <c r="I25" i="5"/>
  <c r="O25" i="5"/>
  <c r="G26" i="5"/>
  <c r="A91" i="5"/>
  <c r="F26" i="5"/>
  <c r="F90" i="5"/>
  <c r="J12" i="29"/>
  <c r="C204" i="2"/>
  <c r="C212" i="2"/>
  <c r="S225" i="2"/>
  <c r="B133" i="41"/>
  <c r="E221" i="13" s="1"/>
  <c r="B134" i="41"/>
  <c r="E222" i="13" s="1"/>
  <c r="B132" i="41"/>
  <c r="D194" i="13" s="1"/>
  <c r="B76" i="41"/>
  <c r="D141" i="13" s="1"/>
  <c r="B30" i="41"/>
  <c r="B34" i="41"/>
  <c r="B35" i="41"/>
  <c r="B84" i="41"/>
  <c r="B168" i="13" s="1"/>
  <c r="B85" i="41"/>
  <c r="B169" i="13" s="1"/>
  <c r="B102" i="41"/>
  <c r="E187" i="13" s="1"/>
  <c r="B103" i="41"/>
  <c r="B190" i="13" s="1"/>
  <c r="B104" i="41"/>
  <c r="F184" i="13" s="1"/>
  <c r="B105" i="41"/>
  <c r="F187" i="13" s="1"/>
  <c r="B106" i="41"/>
  <c r="F186" i="13" s="1"/>
  <c r="B107" i="41"/>
  <c r="F185" i="13" s="1"/>
  <c r="B4" i="41"/>
  <c r="C6" i="13" s="1"/>
  <c r="B3" i="41"/>
  <c r="B4" i="13" s="1"/>
  <c r="B5" i="41"/>
  <c r="D6" i="13" s="1"/>
  <c r="B6" i="41"/>
  <c r="B7" i="41"/>
  <c r="E7" i="13" s="1"/>
  <c r="B8" i="41"/>
  <c r="F7" i="13" s="1"/>
  <c r="B9" i="41"/>
  <c r="B10" i="41"/>
  <c r="I7" i="13" s="1"/>
  <c r="B11" i="41"/>
  <c r="F13" i="13" s="1"/>
  <c r="B12" i="41"/>
  <c r="B15" i="13" s="1"/>
  <c r="B13" i="41"/>
  <c r="D16" i="13" s="1"/>
  <c r="B14" i="41"/>
  <c r="D17" i="13" s="1"/>
  <c r="B15" i="41"/>
  <c r="B20" i="13" s="1"/>
  <c r="B17" i="41"/>
  <c r="B23" i="13" s="1"/>
  <c r="B18" i="41"/>
  <c r="J4" i="56" s="1"/>
  <c r="B19" i="41"/>
  <c r="D25" i="13" s="1"/>
  <c r="B20" i="41"/>
  <c r="E25" i="13" s="1"/>
  <c r="B21" i="41"/>
  <c r="C200" i="13" s="1"/>
  <c r="B22" i="41"/>
  <c r="C210" i="13" s="1"/>
  <c r="B23" i="41"/>
  <c r="B43" i="13" s="1"/>
  <c r="B24" i="41"/>
  <c r="C43" i="13" s="1"/>
  <c r="B25" i="41"/>
  <c r="B51" i="13" s="1"/>
  <c r="B36" i="41"/>
  <c r="B37" i="41"/>
  <c r="B38" i="41"/>
  <c r="B69" i="13" s="1"/>
  <c r="B39" i="41"/>
  <c r="B71" i="13" s="1"/>
  <c r="B40" i="41"/>
  <c r="C71" i="13" s="1"/>
  <c r="B41" i="41"/>
  <c r="D71" i="13" s="1"/>
  <c r="B42" i="41"/>
  <c r="E71" i="13" s="1"/>
  <c r="B43" i="41"/>
  <c r="F71" i="13" s="1"/>
  <c r="B44" i="41"/>
  <c r="B79" i="13" s="1"/>
  <c r="B60" i="41"/>
  <c r="B61" i="41"/>
  <c r="B62" i="41"/>
  <c r="B63" i="41"/>
  <c r="B65" i="41"/>
  <c r="B66" i="41"/>
  <c r="B67" i="41"/>
  <c r="B129" i="13" s="1"/>
  <c r="B70" i="41"/>
  <c r="B131" i="13" s="1"/>
  <c r="B71" i="41"/>
  <c r="D131" i="13" s="1"/>
  <c r="B72" i="41"/>
  <c r="E131" i="13" s="1"/>
  <c r="B73" i="41"/>
  <c r="F131" i="13" s="1"/>
  <c r="B74" i="41"/>
  <c r="G131" i="13" s="1"/>
  <c r="B75" i="41"/>
  <c r="B139" i="13" s="1"/>
  <c r="B77" i="41"/>
  <c r="C143" i="13" s="1"/>
  <c r="B78" i="41"/>
  <c r="B171" i="13" s="1"/>
  <c r="B79" i="41"/>
  <c r="C157" i="13" s="1"/>
  <c r="B80" i="41"/>
  <c r="C158" i="13" s="1"/>
  <c r="B81" i="41"/>
  <c r="B160" i="13" s="1"/>
  <c r="B82" i="41"/>
  <c r="D162" i="13" s="1"/>
  <c r="B83" i="41"/>
  <c r="B166" i="13" s="1"/>
  <c r="B86" i="41"/>
  <c r="F168" i="13" s="1"/>
  <c r="B87" i="41"/>
  <c r="B88" i="41"/>
  <c r="C172" i="13" s="1"/>
  <c r="B89" i="41"/>
  <c r="B175" i="13" s="1"/>
  <c r="B90" i="41"/>
  <c r="D177" i="13" s="1"/>
  <c r="B91" i="41"/>
  <c r="D179" i="13" s="1"/>
  <c r="B92" i="41"/>
  <c r="B181" i="13" s="1"/>
  <c r="B93" i="41"/>
  <c r="B94" i="41"/>
  <c r="D183" i="13" s="1"/>
  <c r="B95" i="41"/>
  <c r="E183" i="13" s="1"/>
  <c r="B96" i="41"/>
  <c r="F183" i="13" s="1"/>
  <c r="B97" i="41"/>
  <c r="G183" i="13" s="1"/>
  <c r="B98" i="41"/>
  <c r="C192" i="13" s="1"/>
  <c r="B99" i="41"/>
  <c r="E184" i="13" s="1"/>
  <c r="B100" i="41"/>
  <c r="E185" i="13" s="1"/>
  <c r="B101" i="41"/>
  <c r="E186" i="13" s="1"/>
  <c r="B108" i="41"/>
  <c r="H184" i="13" s="1"/>
  <c r="B109" i="41"/>
  <c r="H185" i="13" s="1"/>
  <c r="B110" i="41"/>
  <c r="H186" i="13" s="1"/>
  <c r="B111" i="41"/>
  <c r="H187" i="13" s="1"/>
  <c r="B112" i="41"/>
  <c r="D192" i="13" s="1"/>
  <c r="B113" i="41"/>
  <c r="D193" i="13" s="1"/>
  <c r="B114" i="41"/>
  <c r="B115" i="41"/>
  <c r="B116" i="41"/>
  <c r="B117" i="41"/>
  <c r="B118" i="41"/>
  <c r="AD199" i="13" s="1"/>
  <c r="B119" i="41"/>
  <c r="AC198" i="13" s="1"/>
  <c r="B120" i="41"/>
  <c r="G198" i="13" s="1"/>
  <c r="B121" i="41"/>
  <c r="B219" i="13" s="1"/>
  <c r="B122" i="41"/>
  <c r="B225" i="13" s="1"/>
  <c r="B123" i="41"/>
  <c r="D197" i="13" s="1"/>
  <c r="B124" i="41"/>
  <c r="E227" i="13" s="1"/>
  <c r="B125" i="41"/>
  <c r="F227" i="13" s="1"/>
  <c r="B126" i="41"/>
  <c r="G227" i="13" s="1"/>
  <c r="B127" i="41"/>
  <c r="H227" i="13" s="1"/>
  <c r="B128" i="41"/>
  <c r="I227" i="13" s="1"/>
  <c r="B129" i="41"/>
  <c r="J227" i="13" s="1"/>
  <c r="B130" i="41"/>
  <c r="K227" i="13" s="1"/>
  <c r="B131" i="41"/>
  <c r="M12" i="41"/>
  <c r="M11" i="41"/>
  <c r="M10" i="41"/>
  <c r="M9" i="41"/>
  <c r="M8" i="41"/>
  <c r="B50" i="40"/>
  <c r="B3" i="40"/>
  <c r="B5" i="38" s="1"/>
  <c r="B4" i="40"/>
  <c r="B7" i="38" s="1"/>
  <c r="B5" i="40"/>
  <c r="B9" i="38" s="1"/>
  <c r="B6" i="40"/>
  <c r="F11" i="38" s="1"/>
  <c r="B7" i="40"/>
  <c r="B11" i="38" s="1"/>
  <c r="B8" i="40"/>
  <c r="C13" i="38" s="1"/>
  <c r="B9" i="40"/>
  <c r="C14" i="38" s="1"/>
  <c r="B10" i="40"/>
  <c r="B11" i="40"/>
  <c r="B12" i="40"/>
  <c r="B13" i="40"/>
  <c r="B14" i="40"/>
  <c r="B15" i="40"/>
  <c r="B19" i="38" s="1"/>
  <c r="B16" i="40"/>
  <c r="G13" i="38" s="1"/>
  <c r="B2" i="42"/>
  <c r="B17" i="40"/>
  <c r="C21" i="38" s="1"/>
  <c r="B18" i="40"/>
  <c r="C23" i="38" s="1"/>
  <c r="B19" i="40"/>
  <c r="D23" i="38" s="1"/>
  <c r="B20" i="40"/>
  <c r="D24" i="38" s="1"/>
  <c r="B21" i="40"/>
  <c r="D25" i="38" s="1"/>
  <c r="B22" i="40"/>
  <c r="D26" i="38" s="1"/>
  <c r="B23" i="40"/>
  <c r="D27" i="38" s="1"/>
  <c r="F24" i="38"/>
  <c r="B27" i="40"/>
  <c r="H25" i="38" s="1"/>
  <c r="B28" i="40"/>
  <c r="F26" i="38" s="1"/>
  <c r="B29" i="40"/>
  <c r="H27" i="38" s="1"/>
  <c r="B30" i="40"/>
  <c r="B30" i="38" s="1"/>
  <c r="B31" i="40"/>
  <c r="G30" i="38" s="1"/>
  <c r="B32" i="40"/>
  <c r="B32" i="38" s="1"/>
  <c r="B33" i="40"/>
  <c r="B35" i="38" s="1"/>
  <c r="B34" i="40"/>
  <c r="B38" i="38" s="1"/>
  <c r="B35" i="40"/>
  <c r="B41" i="38" s="1"/>
  <c r="B9" i="55" s="1"/>
  <c r="B38" i="40"/>
  <c r="C39" i="38" s="1"/>
  <c r="B2" i="40"/>
  <c r="A2" i="38" s="1"/>
  <c r="B3" i="39"/>
  <c r="B6" i="12" s="1"/>
  <c r="B4" i="39"/>
  <c r="B7" i="12" s="1"/>
  <c r="B5" i="39"/>
  <c r="A10" i="12" s="1"/>
  <c r="B6" i="39"/>
  <c r="B12" i="12" s="1"/>
  <c r="B7" i="39"/>
  <c r="C14" i="12" s="1"/>
  <c r="B8" i="39"/>
  <c r="C16" i="12" s="1"/>
  <c r="B9" i="39"/>
  <c r="D17" i="12" s="1"/>
  <c r="B10" i="39"/>
  <c r="D18" i="12" s="1"/>
  <c r="B11" i="39"/>
  <c r="B21" i="12" s="1"/>
  <c r="B12" i="39"/>
  <c r="C25" i="12" s="1"/>
  <c r="B13" i="39"/>
  <c r="C26" i="12" s="1"/>
  <c r="B14" i="39"/>
  <c r="D26" i="12" s="1"/>
  <c r="B15" i="39"/>
  <c r="D27" i="12" s="1"/>
  <c r="B16" i="39"/>
  <c r="E27" i="12" s="1"/>
  <c r="B17" i="39"/>
  <c r="E28" i="12" s="1"/>
  <c r="B18" i="39"/>
  <c r="D29" i="12" s="1"/>
  <c r="B19" i="39"/>
  <c r="E29" i="12" s="1"/>
  <c r="B20" i="39"/>
  <c r="E30" i="12" s="1"/>
  <c r="B21" i="39"/>
  <c r="D31" i="12" s="1"/>
  <c r="B23" i="39"/>
  <c r="C33" i="12" s="1"/>
  <c r="B24" i="39"/>
  <c r="E33" i="12" s="1"/>
  <c r="B25" i="39"/>
  <c r="D33" i="12" s="1"/>
  <c r="B26" i="39"/>
  <c r="D34" i="12" s="1"/>
  <c r="B30" i="39"/>
  <c r="D37" i="12" s="1"/>
  <c r="B31" i="39"/>
  <c r="D38" i="12" s="1"/>
  <c r="B32" i="39"/>
  <c r="D39" i="12" s="1"/>
  <c r="B33" i="39"/>
  <c r="D40" i="12" s="1"/>
  <c r="B34" i="39"/>
  <c r="D41" i="12" s="1"/>
  <c r="B35" i="39"/>
  <c r="D42" i="12" s="1"/>
  <c r="B36" i="39"/>
  <c r="C38" i="12" s="1"/>
  <c r="B37" i="39"/>
  <c r="E38" i="12" s="1"/>
  <c r="B38" i="39"/>
  <c r="C43" i="12" s="1"/>
  <c r="B39" i="39"/>
  <c r="D43" i="12" s="1"/>
  <c r="B40" i="39"/>
  <c r="C44" i="12" s="1"/>
  <c r="B41" i="39"/>
  <c r="D44" i="12" s="1"/>
  <c r="B42" i="39"/>
  <c r="C45" i="12" s="1"/>
  <c r="B43" i="39"/>
  <c r="D45" i="12" s="1"/>
  <c r="B44" i="39"/>
  <c r="C46" i="12" s="1"/>
  <c r="B45" i="39"/>
  <c r="D46" i="12" s="1"/>
  <c r="B46" i="39"/>
  <c r="B49" i="12" s="1"/>
  <c r="B47" i="39"/>
  <c r="B51" i="12" s="1"/>
  <c r="B48" i="39"/>
  <c r="B53" i="12" s="1"/>
  <c r="B49" i="39"/>
  <c r="C54" i="12" s="1"/>
  <c r="B50" i="39"/>
  <c r="C55" i="12" s="1"/>
  <c r="B51" i="39"/>
  <c r="C56" i="12" s="1"/>
  <c r="B52" i="39"/>
  <c r="C58" i="12" s="1"/>
  <c r="B53" i="39"/>
  <c r="B60" i="12" s="1"/>
  <c r="B54" i="39"/>
  <c r="C61" i="12" s="1"/>
  <c r="B55" i="39"/>
  <c r="C62" i="12" s="1"/>
  <c r="B56" i="39"/>
  <c r="B65" i="12" s="1"/>
  <c r="B57" i="39"/>
  <c r="C66" i="12" s="1"/>
  <c r="B58" i="39"/>
  <c r="C67" i="12" s="1"/>
  <c r="B59" i="39"/>
  <c r="C68" i="12" s="1"/>
  <c r="B60" i="39"/>
  <c r="C71" i="12" s="1"/>
  <c r="B61" i="39"/>
  <c r="C74" i="12" s="1"/>
  <c r="B62" i="39"/>
  <c r="D76" i="12" s="1"/>
  <c r="B63" i="39"/>
  <c r="D77" i="12" s="1"/>
  <c r="B64" i="39"/>
  <c r="D78" i="12" s="1"/>
  <c r="B65" i="39"/>
  <c r="D79" i="12" s="1"/>
  <c r="B66" i="39"/>
  <c r="D80" i="12" s="1"/>
  <c r="B67" i="39"/>
  <c r="D83" i="12" s="1"/>
  <c r="H24" i="38"/>
  <c r="B2" i="39"/>
  <c r="A4" i="12" s="1"/>
  <c r="E49" i="2"/>
  <c r="D181" i="35"/>
  <c r="E181" i="34"/>
  <c r="F181" i="34"/>
  <c r="G181" i="34"/>
  <c r="H181" i="34"/>
  <c r="I181" i="34"/>
  <c r="J181" i="34"/>
  <c r="K181" i="34"/>
  <c r="L181" i="34"/>
  <c r="M181" i="34"/>
  <c r="N181" i="34"/>
  <c r="O181" i="34"/>
  <c r="P181" i="34"/>
  <c r="Q181" i="34"/>
  <c r="R181" i="34"/>
  <c r="S181" i="34"/>
  <c r="T181" i="34"/>
  <c r="U181" i="34"/>
  <c r="V181" i="34"/>
  <c r="W181" i="34"/>
  <c r="X181" i="34"/>
  <c r="Y181" i="34"/>
  <c r="Z181" i="34"/>
  <c r="AA181" i="34"/>
  <c r="AB181" i="34"/>
  <c r="E182" i="34"/>
  <c r="F182" i="34"/>
  <c r="G182" i="34"/>
  <c r="H182" i="34"/>
  <c r="I182" i="34"/>
  <c r="J182" i="34"/>
  <c r="K182" i="34"/>
  <c r="L182" i="34"/>
  <c r="M182" i="34"/>
  <c r="N182" i="34"/>
  <c r="O182" i="34"/>
  <c r="P182" i="34"/>
  <c r="Q182" i="34"/>
  <c r="R182" i="34"/>
  <c r="S182" i="34"/>
  <c r="T182" i="34"/>
  <c r="U182" i="34"/>
  <c r="V182" i="34"/>
  <c r="W182" i="34"/>
  <c r="X182" i="34"/>
  <c r="Y182" i="34"/>
  <c r="Z182" i="34"/>
  <c r="AA182" i="34"/>
  <c r="AB182" i="34"/>
  <c r="E183" i="34"/>
  <c r="F183" i="34"/>
  <c r="G183" i="34"/>
  <c r="H183" i="34"/>
  <c r="I183" i="34"/>
  <c r="J183" i="34"/>
  <c r="K183" i="34"/>
  <c r="L183" i="34"/>
  <c r="M183" i="34"/>
  <c r="N183" i="34"/>
  <c r="O183" i="34"/>
  <c r="P183" i="34"/>
  <c r="Q183" i="34"/>
  <c r="R183" i="34"/>
  <c r="S183" i="34"/>
  <c r="T183" i="34"/>
  <c r="U183" i="34"/>
  <c r="V183" i="34"/>
  <c r="W183" i="34"/>
  <c r="X183" i="34"/>
  <c r="Y183" i="34"/>
  <c r="Z183" i="34"/>
  <c r="AA183" i="34"/>
  <c r="AB183" i="34"/>
  <c r="E184" i="34"/>
  <c r="F184" i="34"/>
  <c r="G184" i="34"/>
  <c r="H184" i="34"/>
  <c r="I184" i="34"/>
  <c r="J184" i="34"/>
  <c r="K184" i="34"/>
  <c r="L184" i="34"/>
  <c r="M184" i="34"/>
  <c r="N184" i="34"/>
  <c r="O184" i="34"/>
  <c r="P184" i="34"/>
  <c r="Q184" i="34"/>
  <c r="R184" i="34"/>
  <c r="S184" i="34"/>
  <c r="T184" i="34"/>
  <c r="U184" i="34"/>
  <c r="V184" i="34"/>
  <c r="W184" i="34"/>
  <c r="X184" i="34"/>
  <c r="Y184" i="34"/>
  <c r="Z184" i="34"/>
  <c r="AA184" i="34"/>
  <c r="AB184" i="34"/>
  <c r="E185" i="34"/>
  <c r="F185" i="34"/>
  <c r="G185" i="34"/>
  <c r="H185" i="34"/>
  <c r="I185" i="34"/>
  <c r="J185" i="34"/>
  <c r="K185" i="34"/>
  <c r="L185" i="34"/>
  <c r="M185" i="34"/>
  <c r="N185" i="34"/>
  <c r="O185" i="34"/>
  <c r="P185" i="34"/>
  <c r="Q185" i="34"/>
  <c r="R185" i="34"/>
  <c r="S185" i="34"/>
  <c r="T185" i="34"/>
  <c r="U185" i="34"/>
  <c r="V185" i="34"/>
  <c r="W185" i="34"/>
  <c r="X185" i="34"/>
  <c r="Y185" i="34"/>
  <c r="Z185" i="34"/>
  <c r="AA185" i="34"/>
  <c r="AB185" i="34"/>
  <c r="E186" i="34"/>
  <c r="F186" i="34"/>
  <c r="G186" i="34"/>
  <c r="H186" i="34"/>
  <c r="I186" i="34"/>
  <c r="J186" i="34"/>
  <c r="K186" i="34"/>
  <c r="L186" i="34"/>
  <c r="M186" i="34"/>
  <c r="N186" i="34"/>
  <c r="O186" i="34"/>
  <c r="P186" i="34"/>
  <c r="Q186" i="34"/>
  <c r="R186" i="34"/>
  <c r="S186" i="34"/>
  <c r="T186" i="34"/>
  <c r="U186" i="34"/>
  <c r="V186" i="34"/>
  <c r="W186" i="34"/>
  <c r="X186" i="34"/>
  <c r="Y186" i="34"/>
  <c r="Z186" i="34"/>
  <c r="AA186" i="34"/>
  <c r="AB186" i="34"/>
  <c r="E187" i="34"/>
  <c r="F187" i="34"/>
  <c r="G187" i="34"/>
  <c r="H187" i="34"/>
  <c r="I187" i="34"/>
  <c r="J187" i="34"/>
  <c r="K187" i="34"/>
  <c r="L187" i="34"/>
  <c r="M187" i="34"/>
  <c r="N187" i="34"/>
  <c r="O187" i="34"/>
  <c r="P187" i="34"/>
  <c r="Q187" i="34"/>
  <c r="R187" i="34"/>
  <c r="S187" i="34"/>
  <c r="T187" i="34"/>
  <c r="U187" i="34"/>
  <c r="V187" i="34"/>
  <c r="W187" i="34"/>
  <c r="X187" i="34"/>
  <c r="Y187" i="34"/>
  <c r="Z187" i="34"/>
  <c r="AA187" i="34"/>
  <c r="AB187" i="34"/>
  <c r="E188" i="34"/>
  <c r="F188" i="34"/>
  <c r="G188" i="34"/>
  <c r="H188" i="34"/>
  <c r="I188" i="34"/>
  <c r="J188" i="34"/>
  <c r="K188" i="34"/>
  <c r="L188" i="34"/>
  <c r="M188" i="34"/>
  <c r="N188" i="34"/>
  <c r="O188" i="34"/>
  <c r="P188" i="34"/>
  <c r="Q188" i="34"/>
  <c r="R188" i="34"/>
  <c r="S188" i="34"/>
  <c r="T188" i="34"/>
  <c r="U188" i="34"/>
  <c r="V188" i="34"/>
  <c r="W188" i="34"/>
  <c r="X188" i="34"/>
  <c r="Y188" i="34"/>
  <c r="Z188" i="34"/>
  <c r="AA188" i="34"/>
  <c r="AB188" i="34"/>
  <c r="E189" i="34"/>
  <c r="F189" i="34"/>
  <c r="G189" i="34"/>
  <c r="H189" i="34"/>
  <c r="I189" i="34"/>
  <c r="J189" i="34"/>
  <c r="K189" i="34"/>
  <c r="L189" i="34"/>
  <c r="M189" i="34"/>
  <c r="N189" i="34"/>
  <c r="O189" i="34"/>
  <c r="P189" i="34"/>
  <c r="Q189" i="34"/>
  <c r="R189" i="34"/>
  <c r="S189" i="34"/>
  <c r="T189" i="34"/>
  <c r="U189" i="34"/>
  <c r="V189" i="34"/>
  <c r="W189" i="34"/>
  <c r="X189" i="34"/>
  <c r="Y189" i="34"/>
  <c r="Z189" i="34"/>
  <c r="AA189" i="34"/>
  <c r="AB189" i="34"/>
  <c r="E190" i="34"/>
  <c r="F190" i="34"/>
  <c r="G190" i="34"/>
  <c r="H190" i="34"/>
  <c r="I190" i="34"/>
  <c r="J190" i="34"/>
  <c r="K190" i="34"/>
  <c r="L190" i="34"/>
  <c r="M190" i="34"/>
  <c r="N190" i="34"/>
  <c r="O190" i="34"/>
  <c r="P190" i="34"/>
  <c r="Q190" i="34"/>
  <c r="R190" i="34"/>
  <c r="S190" i="34"/>
  <c r="T190" i="34"/>
  <c r="U190" i="34"/>
  <c r="V190" i="34"/>
  <c r="W190" i="34"/>
  <c r="X190" i="34"/>
  <c r="Y190" i="34"/>
  <c r="Z190" i="34"/>
  <c r="AA190" i="34"/>
  <c r="AB190" i="34"/>
  <c r="E191" i="34"/>
  <c r="F191" i="34"/>
  <c r="G191" i="34"/>
  <c r="H191" i="34"/>
  <c r="I191" i="34"/>
  <c r="J191" i="34"/>
  <c r="K191" i="34"/>
  <c r="L191" i="34"/>
  <c r="M191" i="34"/>
  <c r="N191" i="34"/>
  <c r="O191" i="34"/>
  <c r="P191" i="34"/>
  <c r="Q191" i="34"/>
  <c r="R191" i="34"/>
  <c r="S191" i="34"/>
  <c r="T191" i="34"/>
  <c r="U191" i="34"/>
  <c r="V191" i="34"/>
  <c r="W191" i="34"/>
  <c r="X191" i="34"/>
  <c r="Y191" i="34"/>
  <c r="Z191" i="34"/>
  <c r="AA191" i="34"/>
  <c r="AB191" i="34"/>
  <c r="E192" i="34"/>
  <c r="F192" i="34"/>
  <c r="G192" i="34"/>
  <c r="H192" i="34"/>
  <c r="I192" i="34"/>
  <c r="J192" i="34"/>
  <c r="K192" i="34"/>
  <c r="L192" i="34"/>
  <c r="M192" i="34"/>
  <c r="N192" i="34"/>
  <c r="O192" i="34"/>
  <c r="P192" i="34"/>
  <c r="Q192" i="34"/>
  <c r="R192" i="34"/>
  <c r="S192" i="34"/>
  <c r="T192" i="34"/>
  <c r="U192" i="34"/>
  <c r="V192" i="34"/>
  <c r="W192" i="34"/>
  <c r="X192" i="34"/>
  <c r="Y192" i="34"/>
  <c r="Z192" i="34"/>
  <c r="AA192" i="34"/>
  <c r="AB192" i="34"/>
  <c r="E193" i="34"/>
  <c r="F193" i="34"/>
  <c r="G193" i="34"/>
  <c r="H193" i="34"/>
  <c r="I193" i="34"/>
  <c r="J193" i="34"/>
  <c r="K193" i="34"/>
  <c r="L193" i="34"/>
  <c r="M193" i="34"/>
  <c r="N193" i="34"/>
  <c r="O193" i="34"/>
  <c r="P193" i="34"/>
  <c r="Q193" i="34"/>
  <c r="R193" i="34"/>
  <c r="S193" i="34"/>
  <c r="T193" i="34"/>
  <c r="U193" i="34"/>
  <c r="V193" i="34"/>
  <c r="W193" i="34"/>
  <c r="X193" i="34"/>
  <c r="Y193" i="34"/>
  <c r="Z193" i="34"/>
  <c r="AA193" i="34"/>
  <c r="AB193" i="34"/>
  <c r="E194" i="34"/>
  <c r="F194" i="34"/>
  <c r="G194" i="34"/>
  <c r="H194" i="34"/>
  <c r="I194" i="34"/>
  <c r="J194" i="34"/>
  <c r="K194" i="34"/>
  <c r="L194" i="34"/>
  <c r="M194" i="34"/>
  <c r="N194" i="34"/>
  <c r="O194" i="34"/>
  <c r="P194" i="34"/>
  <c r="Q194" i="34"/>
  <c r="R194" i="34"/>
  <c r="S194" i="34"/>
  <c r="T194" i="34"/>
  <c r="U194" i="34"/>
  <c r="V194" i="34"/>
  <c r="W194" i="34"/>
  <c r="X194" i="34"/>
  <c r="Y194" i="34"/>
  <c r="Z194" i="34"/>
  <c r="AA194" i="34"/>
  <c r="AB194" i="34"/>
  <c r="E181" i="35"/>
  <c r="F181" i="35"/>
  <c r="G181" i="35"/>
  <c r="H181" i="35"/>
  <c r="I181" i="35"/>
  <c r="J181" i="35"/>
  <c r="K181" i="35"/>
  <c r="L181" i="35"/>
  <c r="M181" i="35"/>
  <c r="N181" i="35"/>
  <c r="O181" i="35"/>
  <c r="P181" i="35"/>
  <c r="Q181" i="35"/>
  <c r="R181" i="35"/>
  <c r="S181" i="35"/>
  <c r="T181" i="35"/>
  <c r="U181" i="35"/>
  <c r="V181" i="35"/>
  <c r="W181" i="35"/>
  <c r="X181" i="35"/>
  <c r="Y181" i="35"/>
  <c r="Z181" i="35"/>
  <c r="AA181" i="35"/>
  <c r="AB181" i="35"/>
  <c r="E182" i="35"/>
  <c r="F182" i="35"/>
  <c r="G182" i="35"/>
  <c r="H182" i="35"/>
  <c r="I182" i="35"/>
  <c r="J182" i="35"/>
  <c r="K182" i="35"/>
  <c r="L182" i="35"/>
  <c r="M182" i="35"/>
  <c r="N182" i="35"/>
  <c r="O182" i="35"/>
  <c r="P182" i="35"/>
  <c r="Q182" i="35"/>
  <c r="R182" i="35"/>
  <c r="S182" i="35"/>
  <c r="T182" i="35"/>
  <c r="U182" i="35"/>
  <c r="V182" i="35"/>
  <c r="W182" i="35"/>
  <c r="X182" i="35"/>
  <c r="Y182" i="35"/>
  <c r="Z182" i="35"/>
  <c r="AA182" i="35"/>
  <c r="AB182" i="35"/>
  <c r="E183" i="35"/>
  <c r="F183" i="35"/>
  <c r="G183" i="35"/>
  <c r="H183" i="35"/>
  <c r="I183" i="35"/>
  <c r="J183" i="35"/>
  <c r="K183" i="35"/>
  <c r="L183" i="35"/>
  <c r="M183" i="35"/>
  <c r="N183" i="35"/>
  <c r="O183" i="35"/>
  <c r="P183" i="35"/>
  <c r="Q183" i="35"/>
  <c r="R183" i="35"/>
  <c r="S183" i="35"/>
  <c r="T183" i="35"/>
  <c r="U183" i="35"/>
  <c r="V183" i="35"/>
  <c r="W183" i="35"/>
  <c r="X183" i="35"/>
  <c r="Y183" i="35"/>
  <c r="Z183" i="35"/>
  <c r="AA183" i="35"/>
  <c r="AB183" i="35"/>
  <c r="E184" i="35"/>
  <c r="F184" i="35"/>
  <c r="G184" i="35"/>
  <c r="H184" i="35"/>
  <c r="I184" i="35"/>
  <c r="J184" i="35"/>
  <c r="K184" i="35"/>
  <c r="L184" i="35"/>
  <c r="M184" i="35"/>
  <c r="N184" i="35"/>
  <c r="O184" i="35"/>
  <c r="P184" i="35"/>
  <c r="Q184" i="35"/>
  <c r="R184" i="35"/>
  <c r="S184" i="35"/>
  <c r="T184" i="35"/>
  <c r="U184" i="35"/>
  <c r="V184" i="35"/>
  <c r="W184" i="35"/>
  <c r="X184" i="35"/>
  <c r="Y184" i="35"/>
  <c r="Z184" i="35"/>
  <c r="AA184" i="35"/>
  <c r="AB184" i="35"/>
  <c r="E185" i="35"/>
  <c r="F185" i="35"/>
  <c r="G185" i="35"/>
  <c r="H185" i="35"/>
  <c r="I185" i="35"/>
  <c r="J185" i="35"/>
  <c r="K185" i="35"/>
  <c r="L185" i="35"/>
  <c r="M185" i="35"/>
  <c r="N185" i="35"/>
  <c r="O185" i="35"/>
  <c r="P185" i="35"/>
  <c r="Q185" i="35"/>
  <c r="R185" i="35"/>
  <c r="S185" i="35"/>
  <c r="T185" i="35"/>
  <c r="U185" i="35"/>
  <c r="V185" i="35"/>
  <c r="W185" i="35"/>
  <c r="X185" i="35"/>
  <c r="Y185" i="35"/>
  <c r="Z185" i="35"/>
  <c r="AA185" i="35"/>
  <c r="AB185" i="35"/>
  <c r="E186" i="35"/>
  <c r="F186" i="35"/>
  <c r="G186" i="35"/>
  <c r="H186" i="35"/>
  <c r="I186" i="35"/>
  <c r="J186" i="35"/>
  <c r="K186" i="35"/>
  <c r="L186" i="35"/>
  <c r="M186" i="35"/>
  <c r="N186" i="35"/>
  <c r="O186" i="35"/>
  <c r="P186" i="35"/>
  <c r="Q186" i="35"/>
  <c r="R186" i="35"/>
  <c r="S186" i="35"/>
  <c r="T186" i="35"/>
  <c r="U186" i="35"/>
  <c r="V186" i="35"/>
  <c r="W186" i="35"/>
  <c r="X186" i="35"/>
  <c r="Y186" i="35"/>
  <c r="Z186" i="35"/>
  <c r="AA186" i="35"/>
  <c r="AB186" i="35"/>
  <c r="E187" i="35"/>
  <c r="F187" i="35"/>
  <c r="G187" i="35"/>
  <c r="H187" i="35"/>
  <c r="I187" i="35"/>
  <c r="J187" i="35"/>
  <c r="K187" i="35"/>
  <c r="L187" i="35"/>
  <c r="M187" i="35"/>
  <c r="N187" i="35"/>
  <c r="O187" i="35"/>
  <c r="P187" i="35"/>
  <c r="Q187" i="35"/>
  <c r="R187" i="35"/>
  <c r="S187" i="35"/>
  <c r="T187" i="35"/>
  <c r="U187" i="35"/>
  <c r="V187" i="35"/>
  <c r="W187" i="35"/>
  <c r="X187" i="35"/>
  <c r="Y187" i="35"/>
  <c r="Z187" i="35"/>
  <c r="AA187" i="35"/>
  <c r="AB187" i="35"/>
  <c r="E188" i="35"/>
  <c r="F188" i="35"/>
  <c r="G188" i="35"/>
  <c r="H188" i="35"/>
  <c r="I188" i="35"/>
  <c r="J188" i="35"/>
  <c r="K188" i="35"/>
  <c r="L188" i="35"/>
  <c r="M188" i="35"/>
  <c r="N188" i="35"/>
  <c r="O188" i="35"/>
  <c r="P188" i="35"/>
  <c r="Q188" i="35"/>
  <c r="R188" i="35"/>
  <c r="S188" i="35"/>
  <c r="T188" i="35"/>
  <c r="U188" i="35"/>
  <c r="V188" i="35"/>
  <c r="W188" i="35"/>
  <c r="X188" i="35"/>
  <c r="Y188" i="35"/>
  <c r="Z188" i="35"/>
  <c r="AA188" i="35"/>
  <c r="AB188" i="35"/>
  <c r="E189" i="35"/>
  <c r="F189" i="35"/>
  <c r="G189" i="35"/>
  <c r="H189" i="35"/>
  <c r="I189" i="35"/>
  <c r="J189" i="35"/>
  <c r="K189" i="35"/>
  <c r="L189" i="35"/>
  <c r="M189" i="35"/>
  <c r="N189" i="35"/>
  <c r="O189" i="35"/>
  <c r="P189" i="35"/>
  <c r="Q189" i="35"/>
  <c r="R189" i="35"/>
  <c r="S189" i="35"/>
  <c r="T189" i="35"/>
  <c r="U189" i="35"/>
  <c r="V189" i="35"/>
  <c r="W189" i="35"/>
  <c r="X189" i="35"/>
  <c r="Y189" i="35"/>
  <c r="Z189" i="35"/>
  <c r="AA189" i="35"/>
  <c r="AB189" i="35"/>
  <c r="E190" i="35"/>
  <c r="F190" i="35"/>
  <c r="G190" i="35"/>
  <c r="H190" i="35"/>
  <c r="I190" i="35"/>
  <c r="J190" i="35"/>
  <c r="K190" i="35"/>
  <c r="L190" i="35"/>
  <c r="M190" i="35"/>
  <c r="N190" i="35"/>
  <c r="O190" i="35"/>
  <c r="P190" i="35"/>
  <c r="Q190" i="35"/>
  <c r="R190" i="35"/>
  <c r="S190" i="35"/>
  <c r="T190" i="35"/>
  <c r="U190" i="35"/>
  <c r="V190" i="35"/>
  <c r="W190" i="35"/>
  <c r="X190" i="35"/>
  <c r="Y190" i="35"/>
  <c r="Z190" i="35"/>
  <c r="AA190" i="35"/>
  <c r="AB190" i="35"/>
  <c r="E191" i="35"/>
  <c r="F191" i="35"/>
  <c r="G191" i="35"/>
  <c r="H191" i="35"/>
  <c r="I191" i="35"/>
  <c r="J191" i="35"/>
  <c r="K191" i="35"/>
  <c r="L191" i="35"/>
  <c r="M191" i="35"/>
  <c r="N191" i="35"/>
  <c r="O191" i="35"/>
  <c r="P191" i="35"/>
  <c r="Q191" i="35"/>
  <c r="R191" i="35"/>
  <c r="S191" i="35"/>
  <c r="T191" i="35"/>
  <c r="U191" i="35"/>
  <c r="V191" i="35"/>
  <c r="W191" i="35"/>
  <c r="X191" i="35"/>
  <c r="Y191" i="35"/>
  <c r="Z191" i="35"/>
  <c r="AA191" i="35"/>
  <c r="AB191" i="35"/>
  <c r="E192" i="35"/>
  <c r="F192" i="35"/>
  <c r="G192" i="35"/>
  <c r="H192" i="35"/>
  <c r="I192" i="35"/>
  <c r="J192" i="35"/>
  <c r="K192" i="35"/>
  <c r="L192" i="35"/>
  <c r="M192" i="35"/>
  <c r="N192" i="35"/>
  <c r="O192" i="35"/>
  <c r="P192" i="35"/>
  <c r="Q192" i="35"/>
  <c r="R192" i="35"/>
  <c r="S192" i="35"/>
  <c r="T192" i="35"/>
  <c r="U192" i="35"/>
  <c r="V192" i="35"/>
  <c r="W192" i="35"/>
  <c r="X192" i="35"/>
  <c r="Y192" i="35"/>
  <c r="Z192" i="35"/>
  <c r="AA192" i="35"/>
  <c r="AB192" i="35"/>
  <c r="E193" i="35"/>
  <c r="F193" i="35"/>
  <c r="G193" i="35"/>
  <c r="H193" i="35"/>
  <c r="I193" i="35"/>
  <c r="J193" i="35"/>
  <c r="K193" i="35"/>
  <c r="L193" i="35"/>
  <c r="M193" i="35"/>
  <c r="N193" i="35"/>
  <c r="O193" i="35"/>
  <c r="P193" i="35"/>
  <c r="Q193" i="35"/>
  <c r="R193" i="35"/>
  <c r="S193" i="35"/>
  <c r="T193" i="35"/>
  <c r="U193" i="35"/>
  <c r="V193" i="35"/>
  <c r="W193" i="35"/>
  <c r="X193" i="35"/>
  <c r="Y193" i="35"/>
  <c r="Z193" i="35"/>
  <c r="AA193" i="35"/>
  <c r="AB193" i="35"/>
  <c r="E194" i="35"/>
  <c r="F194" i="35"/>
  <c r="G194" i="35"/>
  <c r="H194" i="35"/>
  <c r="I194" i="35"/>
  <c r="J194" i="35"/>
  <c r="K194" i="35"/>
  <c r="L194" i="35"/>
  <c r="M194" i="35"/>
  <c r="N194" i="35"/>
  <c r="O194" i="35"/>
  <c r="P194" i="35"/>
  <c r="Q194" i="35"/>
  <c r="R194" i="35"/>
  <c r="S194" i="35"/>
  <c r="T194" i="35"/>
  <c r="U194" i="35"/>
  <c r="V194" i="35"/>
  <c r="W194" i="35"/>
  <c r="X194" i="35"/>
  <c r="Y194" i="35"/>
  <c r="Z194" i="35"/>
  <c r="AA194" i="35"/>
  <c r="AB194" i="35"/>
  <c r="E181" i="36"/>
  <c r="F181" i="36"/>
  <c r="G181" i="36"/>
  <c r="H181" i="36"/>
  <c r="I181" i="36"/>
  <c r="J181" i="36"/>
  <c r="K181" i="36"/>
  <c r="L181" i="36"/>
  <c r="M181" i="36"/>
  <c r="N181" i="36"/>
  <c r="O181" i="36"/>
  <c r="P181" i="36"/>
  <c r="Q181" i="36"/>
  <c r="R181" i="36"/>
  <c r="S181" i="36"/>
  <c r="T181" i="36"/>
  <c r="U181" i="36"/>
  <c r="V181" i="36"/>
  <c r="W181" i="36"/>
  <c r="X181" i="36"/>
  <c r="Y181" i="36"/>
  <c r="Z181" i="36"/>
  <c r="AA181" i="36"/>
  <c r="AB181" i="36"/>
  <c r="E182" i="36"/>
  <c r="F182" i="36"/>
  <c r="G182" i="36"/>
  <c r="H182" i="36"/>
  <c r="I182" i="36"/>
  <c r="J182" i="36"/>
  <c r="K182" i="36"/>
  <c r="L182" i="36"/>
  <c r="M182" i="36"/>
  <c r="N182" i="36"/>
  <c r="O182" i="36"/>
  <c r="P182" i="36"/>
  <c r="Q182" i="36"/>
  <c r="R182" i="36"/>
  <c r="S182" i="36"/>
  <c r="T182" i="36"/>
  <c r="U182" i="36"/>
  <c r="V182" i="36"/>
  <c r="W182" i="36"/>
  <c r="X182" i="36"/>
  <c r="Y182" i="36"/>
  <c r="Z182" i="36"/>
  <c r="AA182" i="36"/>
  <c r="AB182" i="36"/>
  <c r="E183" i="36"/>
  <c r="F183" i="36"/>
  <c r="G183" i="36"/>
  <c r="H183" i="36"/>
  <c r="I183" i="36"/>
  <c r="J183" i="36"/>
  <c r="K183" i="36"/>
  <c r="L183" i="36"/>
  <c r="M183" i="36"/>
  <c r="N183" i="36"/>
  <c r="O183" i="36"/>
  <c r="P183" i="36"/>
  <c r="Q183" i="36"/>
  <c r="R183" i="36"/>
  <c r="S183" i="36"/>
  <c r="T183" i="36"/>
  <c r="U183" i="36"/>
  <c r="V183" i="36"/>
  <c r="W183" i="36"/>
  <c r="X183" i="36"/>
  <c r="Y183" i="36"/>
  <c r="Z183" i="36"/>
  <c r="AA183" i="36"/>
  <c r="AB183" i="36"/>
  <c r="E184" i="36"/>
  <c r="F184" i="36"/>
  <c r="G184" i="36"/>
  <c r="H184" i="36"/>
  <c r="I184" i="36"/>
  <c r="J184" i="36"/>
  <c r="K184" i="36"/>
  <c r="L184" i="36"/>
  <c r="M184" i="36"/>
  <c r="N184" i="36"/>
  <c r="O184" i="36"/>
  <c r="P184" i="36"/>
  <c r="Q184" i="36"/>
  <c r="R184" i="36"/>
  <c r="S184" i="36"/>
  <c r="T184" i="36"/>
  <c r="U184" i="36"/>
  <c r="V184" i="36"/>
  <c r="W184" i="36"/>
  <c r="X184" i="36"/>
  <c r="Y184" i="36"/>
  <c r="Z184" i="36"/>
  <c r="AA184" i="36"/>
  <c r="AB184" i="36"/>
  <c r="E185" i="36"/>
  <c r="F185" i="36"/>
  <c r="G185" i="36"/>
  <c r="H185" i="36"/>
  <c r="I185" i="36"/>
  <c r="J185" i="36"/>
  <c r="K185" i="36"/>
  <c r="L185" i="36"/>
  <c r="M185" i="36"/>
  <c r="N185" i="36"/>
  <c r="O185" i="36"/>
  <c r="P185" i="36"/>
  <c r="Q185" i="36"/>
  <c r="R185" i="36"/>
  <c r="S185" i="36"/>
  <c r="T185" i="36"/>
  <c r="U185" i="36"/>
  <c r="V185" i="36"/>
  <c r="W185" i="36"/>
  <c r="X185" i="36"/>
  <c r="Y185" i="36"/>
  <c r="Z185" i="36"/>
  <c r="AA185" i="36"/>
  <c r="AB185" i="36"/>
  <c r="E186" i="36"/>
  <c r="F186" i="36"/>
  <c r="G186" i="36"/>
  <c r="H186" i="36"/>
  <c r="I186" i="36"/>
  <c r="J186" i="36"/>
  <c r="K186" i="36"/>
  <c r="L186" i="36"/>
  <c r="M186" i="36"/>
  <c r="N186" i="36"/>
  <c r="O186" i="36"/>
  <c r="P186" i="36"/>
  <c r="Q186" i="36"/>
  <c r="R186" i="36"/>
  <c r="S186" i="36"/>
  <c r="T186" i="36"/>
  <c r="U186" i="36"/>
  <c r="V186" i="36"/>
  <c r="W186" i="36"/>
  <c r="X186" i="36"/>
  <c r="Y186" i="36"/>
  <c r="Z186" i="36"/>
  <c r="AA186" i="36"/>
  <c r="AB186" i="36"/>
  <c r="E187" i="36"/>
  <c r="F187" i="36"/>
  <c r="G187" i="36"/>
  <c r="H187" i="36"/>
  <c r="I187" i="36"/>
  <c r="J187" i="36"/>
  <c r="K187" i="36"/>
  <c r="L187" i="36"/>
  <c r="M187" i="36"/>
  <c r="N187" i="36"/>
  <c r="O187" i="36"/>
  <c r="P187" i="36"/>
  <c r="Q187" i="36"/>
  <c r="R187" i="36"/>
  <c r="S187" i="36"/>
  <c r="T187" i="36"/>
  <c r="U187" i="36"/>
  <c r="V187" i="36"/>
  <c r="W187" i="36"/>
  <c r="X187" i="36"/>
  <c r="Y187" i="36"/>
  <c r="Z187" i="36"/>
  <c r="AA187" i="36"/>
  <c r="AB187" i="36"/>
  <c r="E188" i="36"/>
  <c r="F188" i="36"/>
  <c r="G188" i="36"/>
  <c r="H188" i="36"/>
  <c r="I188" i="36"/>
  <c r="J188" i="36"/>
  <c r="K188" i="36"/>
  <c r="L188" i="36"/>
  <c r="M188" i="36"/>
  <c r="N188" i="36"/>
  <c r="O188" i="36"/>
  <c r="P188" i="36"/>
  <c r="Q188" i="36"/>
  <c r="R188" i="36"/>
  <c r="S188" i="36"/>
  <c r="T188" i="36"/>
  <c r="U188" i="36"/>
  <c r="V188" i="36"/>
  <c r="W188" i="36"/>
  <c r="X188" i="36"/>
  <c r="Y188" i="36"/>
  <c r="Z188" i="36"/>
  <c r="AA188" i="36"/>
  <c r="AB188" i="36"/>
  <c r="E189" i="36"/>
  <c r="F189" i="36"/>
  <c r="G189" i="36"/>
  <c r="H189" i="36"/>
  <c r="I189" i="36"/>
  <c r="J189" i="36"/>
  <c r="K189" i="36"/>
  <c r="L189" i="36"/>
  <c r="M189" i="36"/>
  <c r="N189" i="36"/>
  <c r="O189" i="36"/>
  <c r="P189" i="36"/>
  <c r="Q189" i="36"/>
  <c r="R189" i="36"/>
  <c r="S189" i="36"/>
  <c r="T189" i="36"/>
  <c r="U189" i="36"/>
  <c r="V189" i="36"/>
  <c r="W189" i="36"/>
  <c r="X189" i="36"/>
  <c r="Y189" i="36"/>
  <c r="Z189" i="36"/>
  <c r="AA189" i="36"/>
  <c r="AB189" i="36"/>
  <c r="E190" i="36"/>
  <c r="F190" i="36"/>
  <c r="G190" i="36"/>
  <c r="H190" i="36"/>
  <c r="I190" i="36"/>
  <c r="J190" i="36"/>
  <c r="K190" i="36"/>
  <c r="L190" i="36"/>
  <c r="M190" i="36"/>
  <c r="N190" i="36"/>
  <c r="O190" i="36"/>
  <c r="P190" i="36"/>
  <c r="Q190" i="36"/>
  <c r="R190" i="36"/>
  <c r="S190" i="36"/>
  <c r="T190" i="36"/>
  <c r="U190" i="36"/>
  <c r="V190" i="36"/>
  <c r="W190" i="36"/>
  <c r="X190" i="36"/>
  <c r="Y190" i="36"/>
  <c r="Z190" i="36"/>
  <c r="AA190" i="36"/>
  <c r="AB190" i="36"/>
  <c r="E191" i="36"/>
  <c r="F191" i="36"/>
  <c r="G191" i="36"/>
  <c r="H191" i="36"/>
  <c r="I191" i="36"/>
  <c r="J191" i="36"/>
  <c r="K191" i="36"/>
  <c r="L191" i="36"/>
  <c r="M191" i="36"/>
  <c r="N191" i="36"/>
  <c r="O191" i="36"/>
  <c r="P191" i="36"/>
  <c r="Q191" i="36"/>
  <c r="R191" i="36"/>
  <c r="S191" i="36"/>
  <c r="T191" i="36"/>
  <c r="U191" i="36"/>
  <c r="V191" i="36"/>
  <c r="W191" i="36"/>
  <c r="X191" i="36"/>
  <c r="Y191" i="36"/>
  <c r="Z191" i="36"/>
  <c r="AA191" i="36"/>
  <c r="AB191" i="36"/>
  <c r="E192" i="36"/>
  <c r="F192" i="36"/>
  <c r="G192" i="36"/>
  <c r="H192" i="36"/>
  <c r="I192" i="36"/>
  <c r="J192" i="36"/>
  <c r="K192" i="36"/>
  <c r="L192" i="36"/>
  <c r="M192" i="36"/>
  <c r="N192" i="36"/>
  <c r="O192" i="36"/>
  <c r="P192" i="36"/>
  <c r="Q192" i="36"/>
  <c r="R192" i="36"/>
  <c r="S192" i="36"/>
  <c r="T192" i="36"/>
  <c r="U192" i="36"/>
  <c r="V192" i="36"/>
  <c r="W192" i="36"/>
  <c r="X192" i="36"/>
  <c r="Y192" i="36"/>
  <c r="Z192" i="36"/>
  <c r="AA192" i="36"/>
  <c r="AB192" i="36"/>
  <c r="E193" i="36"/>
  <c r="F193" i="36"/>
  <c r="G193" i="36"/>
  <c r="H193" i="36"/>
  <c r="I193" i="36"/>
  <c r="J193" i="36"/>
  <c r="K193" i="36"/>
  <c r="L193" i="36"/>
  <c r="M193" i="36"/>
  <c r="N193" i="36"/>
  <c r="O193" i="36"/>
  <c r="P193" i="36"/>
  <c r="Q193" i="36"/>
  <c r="R193" i="36"/>
  <c r="S193" i="36"/>
  <c r="T193" i="36"/>
  <c r="U193" i="36"/>
  <c r="V193" i="36"/>
  <c r="W193" i="36"/>
  <c r="X193" i="36"/>
  <c r="Y193" i="36"/>
  <c r="Z193" i="36"/>
  <c r="AA193" i="36"/>
  <c r="AB193" i="36"/>
  <c r="E194" i="36"/>
  <c r="F194" i="36"/>
  <c r="G194" i="36"/>
  <c r="H194" i="36"/>
  <c r="I194" i="36"/>
  <c r="J194" i="36"/>
  <c r="K194" i="36"/>
  <c r="L194" i="36"/>
  <c r="M194" i="36"/>
  <c r="N194" i="36"/>
  <c r="O194" i="36"/>
  <c r="P194" i="36"/>
  <c r="Q194" i="36"/>
  <c r="R194" i="36"/>
  <c r="S194" i="36"/>
  <c r="T194" i="36"/>
  <c r="U194" i="36"/>
  <c r="V194" i="36"/>
  <c r="W194" i="36"/>
  <c r="X194" i="36"/>
  <c r="Y194" i="36"/>
  <c r="Z194" i="36"/>
  <c r="AA194" i="36"/>
  <c r="AB194" i="36"/>
  <c r="E181" i="37"/>
  <c r="F181" i="37"/>
  <c r="G181" i="37"/>
  <c r="H181" i="37"/>
  <c r="I181" i="37"/>
  <c r="J181" i="37"/>
  <c r="K181" i="37"/>
  <c r="L181" i="37"/>
  <c r="M181" i="37"/>
  <c r="N181" i="37"/>
  <c r="O181" i="37"/>
  <c r="P181" i="37"/>
  <c r="Q181" i="37"/>
  <c r="R181" i="37"/>
  <c r="S181" i="37"/>
  <c r="T181" i="37"/>
  <c r="U181" i="37"/>
  <c r="V181" i="37"/>
  <c r="W181" i="37"/>
  <c r="X181" i="37"/>
  <c r="Y181" i="37"/>
  <c r="Z181" i="37"/>
  <c r="AA181" i="37"/>
  <c r="AB181" i="37"/>
  <c r="E182" i="37"/>
  <c r="F182" i="37"/>
  <c r="G182" i="37"/>
  <c r="H182" i="37"/>
  <c r="I182" i="37"/>
  <c r="J182" i="37"/>
  <c r="K182" i="37"/>
  <c r="L182" i="37"/>
  <c r="M182" i="37"/>
  <c r="N182" i="37"/>
  <c r="O182" i="37"/>
  <c r="P182" i="37"/>
  <c r="Q182" i="37"/>
  <c r="R182" i="37"/>
  <c r="S182" i="37"/>
  <c r="T182" i="37"/>
  <c r="U182" i="37"/>
  <c r="V182" i="37"/>
  <c r="W182" i="37"/>
  <c r="X182" i="37"/>
  <c r="Y182" i="37"/>
  <c r="Z182" i="37"/>
  <c r="AA182" i="37"/>
  <c r="AB182" i="37"/>
  <c r="E183" i="37"/>
  <c r="F183" i="37"/>
  <c r="G183" i="37"/>
  <c r="H183" i="37"/>
  <c r="I183" i="37"/>
  <c r="J183" i="37"/>
  <c r="K183" i="37"/>
  <c r="L183" i="37"/>
  <c r="M183" i="37"/>
  <c r="N183" i="37"/>
  <c r="O183" i="37"/>
  <c r="P183" i="37"/>
  <c r="Q183" i="37"/>
  <c r="R183" i="37"/>
  <c r="S183" i="37"/>
  <c r="T183" i="37"/>
  <c r="U183" i="37"/>
  <c r="V183" i="37"/>
  <c r="W183" i="37"/>
  <c r="X183" i="37"/>
  <c r="Y183" i="37"/>
  <c r="Z183" i="37"/>
  <c r="AA183" i="37"/>
  <c r="AB183" i="37"/>
  <c r="E184" i="37"/>
  <c r="F184" i="37"/>
  <c r="G184" i="37"/>
  <c r="H184" i="37"/>
  <c r="I184" i="37"/>
  <c r="J184" i="37"/>
  <c r="K184" i="37"/>
  <c r="L184" i="37"/>
  <c r="M184" i="37"/>
  <c r="N184" i="37"/>
  <c r="O184" i="37"/>
  <c r="P184" i="37"/>
  <c r="Q184" i="37"/>
  <c r="R184" i="37"/>
  <c r="S184" i="37"/>
  <c r="T184" i="37"/>
  <c r="U184" i="37"/>
  <c r="V184" i="37"/>
  <c r="W184" i="37"/>
  <c r="X184" i="37"/>
  <c r="Y184" i="37"/>
  <c r="Z184" i="37"/>
  <c r="AA184" i="37"/>
  <c r="AB184" i="37"/>
  <c r="E185" i="37"/>
  <c r="F185" i="37"/>
  <c r="G185" i="37"/>
  <c r="H185" i="37"/>
  <c r="I185" i="37"/>
  <c r="J185" i="37"/>
  <c r="K185" i="37"/>
  <c r="L185" i="37"/>
  <c r="M185" i="37"/>
  <c r="N185" i="37"/>
  <c r="O185" i="37"/>
  <c r="P185" i="37"/>
  <c r="Q185" i="37"/>
  <c r="R185" i="37"/>
  <c r="S185" i="37"/>
  <c r="T185" i="37"/>
  <c r="U185" i="37"/>
  <c r="V185" i="37"/>
  <c r="W185" i="37"/>
  <c r="X185" i="37"/>
  <c r="Y185" i="37"/>
  <c r="Z185" i="37"/>
  <c r="AA185" i="37"/>
  <c r="AB185" i="37"/>
  <c r="E186" i="37"/>
  <c r="F186" i="37"/>
  <c r="G186" i="37"/>
  <c r="H186" i="37"/>
  <c r="I186" i="37"/>
  <c r="J186" i="37"/>
  <c r="K186" i="37"/>
  <c r="L186" i="37"/>
  <c r="M186" i="37"/>
  <c r="N186" i="37"/>
  <c r="O186" i="37"/>
  <c r="P186" i="37"/>
  <c r="Q186" i="37"/>
  <c r="R186" i="37"/>
  <c r="S186" i="37"/>
  <c r="T186" i="37"/>
  <c r="U186" i="37"/>
  <c r="V186" i="37"/>
  <c r="W186" i="37"/>
  <c r="X186" i="37"/>
  <c r="Y186" i="37"/>
  <c r="Z186" i="37"/>
  <c r="AA186" i="37"/>
  <c r="AB186" i="37"/>
  <c r="E187" i="37"/>
  <c r="F187" i="37"/>
  <c r="G187" i="37"/>
  <c r="H187" i="37"/>
  <c r="I187" i="37"/>
  <c r="J187" i="37"/>
  <c r="K187" i="37"/>
  <c r="L187" i="37"/>
  <c r="M187" i="37"/>
  <c r="N187" i="37"/>
  <c r="O187" i="37"/>
  <c r="P187" i="37"/>
  <c r="Q187" i="37"/>
  <c r="R187" i="37"/>
  <c r="S187" i="37"/>
  <c r="T187" i="37"/>
  <c r="U187" i="37"/>
  <c r="V187" i="37"/>
  <c r="W187" i="37"/>
  <c r="X187" i="37"/>
  <c r="Y187" i="37"/>
  <c r="Z187" i="37"/>
  <c r="AA187" i="37"/>
  <c r="AB187" i="37"/>
  <c r="E188" i="37"/>
  <c r="F188" i="37"/>
  <c r="G188" i="37"/>
  <c r="H188" i="37"/>
  <c r="I188" i="37"/>
  <c r="J188" i="37"/>
  <c r="K188" i="37"/>
  <c r="L188" i="37"/>
  <c r="M188" i="37"/>
  <c r="N188" i="37"/>
  <c r="O188" i="37"/>
  <c r="P188" i="37"/>
  <c r="Q188" i="37"/>
  <c r="R188" i="37"/>
  <c r="S188" i="37"/>
  <c r="T188" i="37"/>
  <c r="U188" i="37"/>
  <c r="V188" i="37"/>
  <c r="W188" i="37"/>
  <c r="X188" i="37"/>
  <c r="Y188" i="37"/>
  <c r="Z188" i="37"/>
  <c r="AA188" i="37"/>
  <c r="AB188" i="37"/>
  <c r="E189" i="37"/>
  <c r="F189" i="37"/>
  <c r="G189" i="37"/>
  <c r="H189" i="37"/>
  <c r="I189" i="37"/>
  <c r="J189" i="37"/>
  <c r="K189" i="37"/>
  <c r="L189" i="37"/>
  <c r="M189" i="37"/>
  <c r="N189" i="37"/>
  <c r="O189" i="37"/>
  <c r="P189" i="37"/>
  <c r="Q189" i="37"/>
  <c r="R189" i="37"/>
  <c r="S189" i="37"/>
  <c r="T189" i="37"/>
  <c r="U189" i="37"/>
  <c r="V189" i="37"/>
  <c r="W189" i="37"/>
  <c r="X189" i="37"/>
  <c r="Y189" i="37"/>
  <c r="Z189" i="37"/>
  <c r="AA189" i="37"/>
  <c r="AB189" i="37"/>
  <c r="E190" i="37"/>
  <c r="F190" i="37"/>
  <c r="G190" i="37"/>
  <c r="H190" i="37"/>
  <c r="I190" i="37"/>
  <c r="J190" i="37"/>
  <c r="K190" i="37"/>
  <c r="L190" i="37"/>
  <c r="M190" i="37"/>
  <c r="N190" i="37"/>
  <c r="O190" i="37"/>
  <c r="P190" i="37"/>
  <c r="Q190" i="37"/>
  <c r="R190" i="37"/>
  <c r="S190" i="37"/>
  <c r="T190" i="37"/>
  <c r="U190" i="37"/>
  <c r="V190" i="37"/>
  <c r="W190" i="37"/>
  <c r="X190" i="37"/>
  <c r="Y190" i="37"/>
  <c r="Z190" i="37"/>
  <c r="AA190" i="37"/>
  <c r="AB190" i="37"/>
  <c r="E191" i="37"/>
  <c r="F191" i="37"/>
  <c r="G191" i="37"/>
  <c r="H191" i="37"/>
  <c r="I191" i="37"/>
  <c r="J191" i="37"/>
  <c r="K191" i="37"/>
  <c r="L191" i="37"/>
  <c r="M191" i="37"/>
  <c r="N191" i="37"/>
  <c r="O191" i="37"/>
  <c r="P191" i="37"/>
  <c r="Q191" i="37"/>
  <c r="R191" i="37"/>
  <c r="S191" i="37"/>
  <c r="T191" i="37"/>
  <c r="U191" i="37"/>
  <c r="V191" i="37"/>
  <c r="W191" i="37"/>
  <c r="X191" i="37"/>
  <c r="Y191" i="37"/>
  <c r="Z191" i="37"/>
  <c r="AA191" i="37"/>
  <c r="AB191" i="37"/>
  <c r="E192" i="37"/>
  <c r="F192" i="37"/>
  <c r="G192" i="37"/>
  <c r="H192" i="37"/>
  <c r="I192" i="37"/>
  <c r="J192" i="37"/>
  <c r="K192" i="37"/>
  <c r="L192" i="37"/>
  <c r="M192" i="37"/>
  <c r="N192" i="37"/>
  <c r="O192" i="37"/>
  <c r="P192" i="37"/>
  <c r="Q192" i="37"/>
  <c r="R192" i="37"/>
  <c r="S192" i="37"/>
  <c r="T192" i="37"/>
  <c r="U192" i="37"/>
  <c r="V192" i="37"/>
  <c r="W192" i="37"/>
  <c r="X192" i="37"/>
  <c r="Y192" i="37"/>
  <c r="Z192" i="37"/>
  <c r="AA192" i="37"/>
  <c r="AB192" i="37"/>
  <c r="E193" i="37"/>
  <c r="F193" i="37"/>
  <c r="G193" i="37"/>
  <c r="H193" i="37"/>
  <c r="I193" i="37"/>
  <c r="J193" i="37"/>
  <c r="K193" i="37"/>
  <c r="L193" i="37"/>
  <c r="M193" i="37"/>
  <c r="N193" i="37"/>
  <c r="O193" i="37"/>
  <c r="P193" i="37"/>
  <c r="Q193" i="37"/>
  <c r="R193" i="37"/>
  <c r="S193" i="37"/>
  <c r="T193" i="37"/>
  <c r="U193" i="37"/>
  <c r="V193" i="37"/>
  <c r="W193" i="37"/>
  <c r="X193" i="37"/>
  <c r="Y193" i="37"/>
  <c r="Z193" i="37"/>
  <c r="AA193" i="37"/>
  <c r="AB193" i="37"/>
  <c r="E194" i="37"/>
  <c r="F194" i="37"/>
  <c r="G194" i="37"/>
  <c r="H194" i="37"/>
  <c r="I194" i="37"/>
  <c r="J194" i="37"/>
  <c r="K194" i="37"/>
  <c r="L194" i="37"/>
  <c r="M194" i="37"/>
  <c r="N194" i="37"/>
  <c r="O194" i="37"/>
  <c r="P194" i="37"/>
  <c r="Q194" i="37"/>
  <c r="R194" i="37"/>
  <c r="S194" i="37"/>
  <c r="T194" i="37"/>
  <c r="U194" i="37"/>
  <c r="V194" i="37"/>
  <c r="W194" i="37"/>
  <c r="X194" i="37"/>
  <c r="Y194" i="37"/>
  <c r="Z194" i="37"/>
  <c r="AA194" i="37"/>
  <c r="AB194" i="37"/>
  <c r="E181" i="2"/>
  <c r="F181" i="2"/>
  <c r="G181" i="2"/>
  <c r="H181" i="2"/>
  <c r="I181" i="2"/>
  <c r="J181" i="2"/>
  <c r="K181" i="2"/>
  <c r="L181" i="2"/>
  <c r="M181" i="2"/>
  <c r="N181" i="2"/>
  <c r="O181" i="2"/>
  <c r="P181" i="2"/>
  <c r="Q181" i="2"/>
  <c r="R181" i="2"/>
  <c r="S181" i="2"/>
  <c r="T181" i="2"/>
  <c r="U181" i="2"/>
  <c r="V181" i="2"/>
  <c r="W181" i="2"/>
  <c r="X181" i="2"/>
  <c r="Y181" i="2"/>
  <c r="Z181" i="2"/>
  <c r="AA181" i="2"/>
  <c r="AB181" i="2"/>
  <c r="E182" i="2"/>
  <c r="F182" i="2"/>
  <c r="G182" i="2"/>
  <c r="H182" i="2"/>
  <c r="I182" i="2"/>
  <c r="J182" i="2"/>
  <c r="K182" i="2"/>
  <c r="L182" i="2"/>
  <c r="M182" i="2"/>
  <c r="N182" i="2"/>
  <c r="O182" i="2"/>
  <c r="P182" i="2"/>
  <c r="Q182" i="2"/>
  <c r="R182" i="2"/>
  <c r="S182" i="2"/>
  <c r="T182" i="2"/>
  <c r="U182" i="2"/>
  <c r="V182" i="2"/>
  <c r="W182" i="2"/>
  <c r="X182" i="2"/>
  <c r="Y182" i="2"/>
  <c r="Z182" i="2"/>
  <c r="AA182" i="2"/>
  <c r="AB182" i="2"/>
  <c r="E183" i="2"/>
  <c r="F183" i="2"/>
  <c r="G183" i="2"/>
  <c r="H183" i="2"/>
  <c r="I183" i="2"/>
  <c r="J183" i="2"/>
  <c r="K183" i="2"/>
  <c r="L183" i="2"/>
  <c r="M183" i="2"/>
  <c r="N183" i="2"/>
  <c r="O183" i="2"/>
  <c r="P183" i="2"/>
  <c r="Q183" i="2"/>
  <c r="R183" i="2"/>
  <c r="S183" i="2"/>
  <c r="T183" i="2"/>
  <c r="U183" i="2"/>
  <c r="V183" i="2"/>
  <c r="W183" i="2"/>
  <c r="X183" i="2"/>
  <c r="Y183" i="2"/>
  <c r="Z183" i="2"/>
  <c r="AA183" i="2"/>
  <c r="AB183" i="2"/>
  <c r="E184" i="2"/>
  <c r="F184" i="2"/>
  <c r="G184" i="2"/>
  <c r="H184" i="2"/>
  <c r="I184" i="2"/>
  <c r="J184" i="2"/>
  <c r="K184" i="2"/>
  <c r="L184" i="2"/>
  <c r="M184" i="2"/>
  <c r="N184" i="2"/>
  <c r="O184" i="2"/>
  <c r="P184" i="2"/>
  <c r="Q184" i="2"/>
  <c r="R184" i="2"/>
  <c r="S184" i="2"/>
  <c r="T184" i="2"/>
  <c r="U184" i="2"/>
  <c r="V184" i="2"/>
  <c r="W184" i="2"/>
  <c r="X184" i="2"/>
  <c r="Y184" i="2"/>
  <c r="Z184" i="2"/>
  <c r="AA184" i="2"/>
  <c r="AB184" i="2"/>
  <c r="E185" i="2"/>
  <c r="F185" i="2"/>
  <c r="G185" i="2"/>
  <c r="H185" i="2"/>
  <c r="I185" i="2"/>
  <c r="J185" i="2"/>
  <c r="K185" i="2"/>
  <c r="L185" i="2"/>
  <c r="M185" i="2"/>
  <c r="N185" i="2"/>
  <c r="O185" i="2"/>
  <c r="P185" i="2"/>
  <c r="Q185" i="2"/>
  <c r="R185" i="2"/>
  <c r="S185" i="2"/>
  <c r="T185" i="2"/>
  <c r="U185" i="2"/>
  <c r="V185" i="2"/>
  <c r="W185" i="2"/>
  <c r="X185" i="2"/>
  <c r="Y185" i="2"/>
  <c r="Z185" i="2"/>
  <c r="AA185" i="2"/>
  <c r="AB185" i="2"/>
  <c r="E186" i="2"/>
  <c r="F186" i="2"/>
  <c r="G186" i="2"/>
  <c r="H186" i="2"/>
  <c r="I186" i="2"/>
  <c r="J186" i="2"/>
  <c r="K186" i="2"/>
  <c r="L186" i="2"/>
  <c r="M186" i="2"/>
  <c r="N186" i="2"/>
  <c r="O186" i="2"/>
  <c r="P186" i="2"/>
  <c r="Q186" i="2"/>
  <c r="R186" i="2"/>
  <c r="S186" i="2"/>
  <c r="T186" i="2"/>
  <c r="U186" i="2"/>
  <c r="V186" i="2"/>
  <c r="W186" i="2"/>
  <c r="X186" i="2"/>
  <c r="Y186" i="2"/>
  <c r="Z186" i="2"/>
  <c r="AA186" i="2"/>
  <c r="AB186" i="2"/>
  <c r="E187" i="2"/>
  <c r="F187" i="2"/>
  <c r="G187" i="2"/>
  <c r="H187" i="2"/>
  <c r="I187" i="2"/>
  <c r="J187" i="2"/>
  <c r="K187" i="2"/>
  <c r="L187" i="2"/>
  <c r="M187" i="2"/>
  <c r="N187" i="2"/>
  <c r="O187" i="2"/>
  <c r="P187" i="2"/>
  <c r="Q187" i="2"/>
  <c r="R187" i="2"/>
  <c r="S187" i="2"/>
  <c r="T187" i="2"/>
  <c r="U187" i="2"/>
  <c r="V187" i="2"/>
  <c r="W187" i="2"/>
  <c r="X187" i="2"/>
  <c r="Y187" i="2"/>
  <c r="Z187" i="2"/>
  <c r="AA187" i="2"/>
  <c r="AB187" i="2"/>
  <c r="E188" i="2"/>
  <c r="F188" i="2"/>
  <c r="G188" i="2"/>
  <c r="H188" i="2"/>
  <c r="I188" i="2"/>
  <c r="J188" i="2"/>
  <c r="K188" i="2"/>
  <c r="L188" i="2"/>
  <c r="M188" i="2"/>
  <c r="N188" i="2"/>
  <c r="O188" i="2"/>
  <c r="P188" i="2"/>
  <c r="Q188" i="2"/>
  <c r="R188" i="2"/>
  <c r="S188" i="2"/>
  <c r="T188" i="2"/>
  <c r="U188" i="2"/>
  <c r="V188" i="2"/>
  <c r="W188" i="2"/>
  <c r="X188" i="2"/>
  <c r="Y188" i="2"/>
  <c r="Z188" i="2"/>
  <c r="AA188" i="2"/>
  <c r="AB188" i="2"/>
  <c r="E189" i="2"/>
  <c r="F189" i="2"/>
  <c r="G189" i="2"/>
  <c r="H189" i="2"/>
  <c r="I189" i="2"/>
  <c r="J189" i="2"/>
  <c r="K189" i="2"/>
  <c r="L189" i="2"/>
  <c r="M189" i="2"/>
  <c r="N189" i="2"/>
  <c r="O189" i="2"/>
  <c r="P189" i="2"/>
  <c r="Q189" i="2"/>
  <c r="R189" i="2"/>
  <c r="S189" i="2"/>
  <c r="T189" i="2"/>
  <c r="U189" i="2"/>
  <c r="V189" i="2"/>
  <c r="W189" i="2"/>
  <c r="X189" i="2"/>
  <c r="Y189" i="2"/>
  <c r="Z189" i="2"/>
  <c r="AA189" i="2"/>
  <c r="AB189" i="2"/>
  <c r="E190" i="2"/>
  <c r="F190" i="2"/>
  <c r="G190" i="2"/>
  <c r="H190" i="2"/>
  <c r="I190" i="2"/>
  <c r="J190" i="2"/>
  <c r="K190" i="2"/>
  <c r="L190" i="2"/>
  <c r="M190" i="2"/>
  <c r="N190" i="2"/>
  <c r="O190" i="2"/>
  <c r="P190" i="2"/>
  <c r="Q190" i="2"/>
  <c r="R190" i="2"/>
  <c r="S190" i="2"/>
  <c r="T190" i="2"/>
  <c r="U190" i="2"/>
  <c r="V190" i="2"/>
  <c r="W190" i="2"/>
  <c r="X190" i="2"/>
  <c r="Y190" i="2"/>
  <c r="Z190" i="2"/>
  <c r="AA190" i="2"/>
  <c r="AB190" i="2"/>
  <c r="E191" i="2"/>
  <c r="F191" i="2"/>
  <c r="G191" i="2"/>
  <c r="H191" i="2"/>
  <c r="I191" i="2"/>
  <c r="J191" i="2"/>
  <c r="K191" i="2"/>
  <c r="L191" i="2"/>
  <c r="M191" i="2"/>
  <c r="N191" i="2"/>
  <c r="O191" i="2"/>
  <c r="P191" i="2"/>
  <c r="Q191" i="2"/>
  <c r="R191" i="2"/>
  <c r="S191" i="2"/>
  <c r="T191" i="2"/>
  <c r="U191" i="2"/>
  <c r="V191" i="2"/>
  <c r="W191" i="2"/>
  <c r="X191" i="2"/>
  <c r="Y191" i="2"/>
  <c r="Z191" i="2"/>
  <c r="AA191" i="2"/>
  <c r="AB191" i="2"/>
  <c r="E192" i="2"/>
  <c r="F192" i="2"/>
  <c r="G192" i="2"/>
  <c r="H192" i="2"/>
  <c r="I192" i="2"/>
  <c r="J192" i="2"/>
  <c r="K192" i="2"/>
  <c r="L192" i="2"/>
  <c r="M192" i="2"/>
  <c r="N192" i="2"/>
  <c r="O192" i="2"/>
  <c r="P192" i="2"/>
  <c r="Q192" i="2"/>
  <c r="R192" i="2"/>
  <c r="S192" i="2"/>
  <c r="T192" i="2"/>
  <c r="U192" i="2"/>
  <c r="V192" i="2"/>
  <c r="W192" i="2"/>
  <c r="X192" i="2"/>
  <c r="Y192" i="2"/>
  <c r="Z192" i="2"/>
  <c r="AA192" i="2"/>
  <c r="AB192" i="2"/>
  <c r="E193" i="2"/>
  <c r="F193" i="2"/>
  <c r="G193" i="2"/>
  <c r="H193" i="2"/>
  <c r="I193" i="2"/>
  <c r="J193" i="2"/>
  <c r="K193" i="2"/>
  <c r="L193" i="2"/>
  <c r="M193" i="2"/>
  <c r="N193" i="2"/>
  <c r="O193" i="2"/>
  <c r="P193" i="2"/>
  <c r="Q193" i="2"/>
  <c r="R193" i="2"/>
  <c r="S193" i="2"/>
  <c r="T193" i="2"/>
  <c r="U193" i="2"/>
  <c r="V193" i="2"/>
  <c r="W193" i="2"/>
  <c r="X193" i="2"/>
  <c r="Y193" i="2"/>
  <c r="Z193" i="2"/>
  <c r="AA193" i="2"/>
  <c r="AB193" i="2"/>
  <c r="E194" i="2"/>
  <c r="F194" i="2"/>
  <c r="G194" i="2"/>
  <c r="H194" i="2"/>
  <c r="I194" i="2"/>
  <c r="J194" i="2"/>
  <c r="K194" i="2"/>
  <c r="L194" i="2"/>
  <c r="M194" i="2"/>
  <c r="N194" i="2"/>
  <c r="O194" i="2"/>
  <c r="P194" i="2"/>
  <c r="Q194" i="2"/>
  <c r="R194" i="2"/>
  <c r="S194" i="2"/>
  <c r="T194" i="2"/>
  <c r="U194" i="2"/>
  <c r="V194" i="2"/>
  <c r="W194" i="2"/>
  <c r="X194" i="2"/>
  <c r="Y194" i="2"/>
  <c r="Z194" i="2"/>
  <c r="AA194" i="2"/>
  <c r="AB194" i="2"/>
  <c r="AD31" i="26"/>
  <c r="AB31" i="26"/>
  <c r="Y31" i="26"/>
  <c r="X31" i="26"/>
  <c r="F55" i="17"/>
  <c r="U55" i="17" s="1"/>
  <c r="V55" i="17"/>
  <c r="T55" i="17"/>
  <c r="Q55" i="17"/>
  <c r="AC31" i="26"/>
  <c r="I31" i="26"/>
  <c r="G31" i="26"/>
  <c r="H31" i="26" s="1"/>
  <c r="H55" i="17" s="1"/>
  <c r="U31" i="26"/>
  <c r="AE338" i="30"/>
  <c r="AE339" i="30"/>
  <c r="AE340" i="30"/>
  <c r="AE341" i="30"/>
  <c r="AE342" i="30"/>
  <c r="AE343" i="30"/>
  <c r="AE345" i="30"/>
  <c r="AE348" i="30"/>
  <c r="AE338" i="31"/>
  <c r="AE339" i="31"/>
  <c r="AE340" i="31"/>
  <c r="AE341" i="31"/>
  <c r="AE342" i="31"/>
  <c r="AE343" i="31"/>
  <c r="AE345" i="31"/>
  <c r="AE348" i="31"/>
  <c r="AE338" i="32"/>
  <c r="AE339" i="32"/>
  <c r="AE340" i="32"/>
  <c r="AE341" i="32"/>
  <c r="AE342" i="32"/>
  <c r="AE343" i="32"/>
  <c r="AE345" i="32"/>
  <c r="AE348" i="32"/>
  <c r="AE338" i="33"/>
  <c r="AE339" i="33"/>
  <c r="AE340" i="33"/>
  <c r="AE341" i="33"/>
  <c r="AE342" i="33"/>
  <c r="AE343" i="33"/>
  <c r="AE345" i="33"/>
  <c r="AE348" i="33"/>
  <c r="AE338" i="3"/>
  <c r="AE339" i="3"/>
  <c r="AE340" i="3"/>
  <c r="AE341" i="3"/>
  <c r="AE342" i="3"/>
  <c r="AE343" i="3"/>
  <c r="AE345" i="3"/>
  <c r="AE348" i="3"/>
  <c r="AE314" i="30"/>
  <c r="AE315" i="30"/>
  <c r="AE316" i="30"/>
  <c r="AE317" i="30"/>
  <c r="AE318" i="30"/>
  <c r="AE319" i="30"/>
  <c r="AE321" i="30"/>
  <c r="AE324" i="30"/>
  <c r="E63" i="30"/>
  <c r="G24" i="38"/>
  <c r="F9" i="13" s="1"/>
  <c r="E26" i="16"/>
  <c r="C10" i="3" s="1"/>
  <c r="D27" i="3"/>
  <c r="E33" i="3"/>
  <c r="G23" i="38"/>
  <c r="C56" i="3"/>
  <c r="D48" i="3"/>
  <c r="E27" i="16"/>
  <c r="C11" i="3" s="1"/>
  <c r="E28" i="16"/>
  <c r="E29" i="16"/>
  <c r="E30" i="16"/>
  <c r="E31" i="16"/>
  <c r="E32" i="16"/>
  <c r="C16" i="3" s="1"/>
  <c r="E35" i="16"/>
  <c r="C19" i="3" s="1"/>
  <c r="D28" i="3"/>
  <c r="D29" i="3"/>
  <c r="D30" i="3"/>
  <c r="D31" i="3"/>
  <c r="D32" i="3"/>
  <c r="C53" i="3"/>
  <c r="D27" i="30"/>
  <c r="E33" i="30"/>
  <c r="D28" i="30"/>
  <c r="D29" i="30"/>
  <c r="D30" i="30"/>
  <c r="D31" i="30"/>
  <c r="D32" i="30"/>
  <c r="C53" i="30"/>
  <c r="D48" i="30"/>
  <c r="C56" i="30"/>
  <c r="AE314" i="31"/>
  <c r="AE315" i="31"/>
  <c r="AE316" i="31"/>
  <c r="AE317" i="31"/>
  <c r="AE318" i="31"/>
  <c r="AE319" i="31"/>
  <c r="AE321" i="31"/>
  <c r="AE324" i="31"/>
  <c r="E63" i="31"/>
  <c r="G25" i="38"/>
  <c r="D6" i="31" s="1"/>
  <c r="D27" i="31"/>
  <c r="E33" i="31"/>
  <c r="D28" i="31"/>
  <c r="D29" i="31"/>
  <c r="D30" i="31"/>
  <c r="D31" i="31"/>
  <c r="D32" i="31"/>
  <c r="C53" i="31"/>
  <c r="D48" i="31"/>
  <c r="C56" i="31"/>
  <c r="AE314" i="32"/>
  <c r="AE315" i="32"/>
  <c r="AE316" i="32"/>
  <c r="AE317" i="32"/>
  <c r="AE318" i="32"/>
  <c r="AE319" i="32"/>
  <c r="AE321" i="32"/>
  <c r="AE324" i="32"/>
  <c r="AE314" i="33"/>
  <c r="AE315" i="33"/>
  <c r="AE316" i="33"/>
  <c r="AE317" i="33"/>
  <c r="AE318" i="33"/>
  <c r="AE319" i="33"/>
  <c r="AE321" i="33"/>
  <c r="AE324" i="33"/>
  <c r="AE314" i="3"/>
  <c r="AE315" i="3"/>
  <c r="AE316" i="3"/>
  <c r="AE317" i="3"/>
  <c r="AE318" i="3"/>
  <c r="AE319" i="3"/>
  <c r="AE321" i="3"/>
  <c r="AE324" i="3"/>
  <c r="E63" i="3"/>
  <c r="AE290" i="30"/>
  <c r="AE291" i="30"/>
  <c r="AE292" i="30"/>
  <c r="AE293" i="30"/>
  <c r="AE294" i="30"/>
  <c r="AE295" i="30"/>
  <c r="AE297" i="30"/>
  <c r="AE300" i="30"/>
  <c r="AE290" i="31"/>
  <c r="AE291" i="31"/>
  <c r="AE292" i="31"/>
  <c r="AE293" i="31"/>
  <c r="AE294" i="31"/>
  <c r="AE295" i="31"/>
  <c r="AE297" i="31"/>
  <c r="AE300" i="31"/>
  <c r="AE290" i="32"/>
  <c r="AE291" i="32"/>
  <c r="AE292" i="32"/>
  <c r="AE293" i="32"/>
  <c r="AE294" i="32"/>
  <c r="AE295" i="32"/>
  <c r="AE297" i="32"/>
  <c r="AE300" i="32"/>
  <c r="AE290" i="33"/>
  <c r="AE291" i="33"/>
  <c r="AE292" i="33"/>
  <c r="AE293" i="33"/>
  <c r="AE294" i="33"/>
  <c r="AE295" i="33"/>
  <c r="AE297" i="33"/>
  <c r="AE300" i="33"/>
  <c r="AE290" i="3"/>
  <c r="AE291" i="3"/>
  <c r="AE292" i="3"/>
  <c r="AE293" i="3"/>
  <c r="AE294" i="3"/>
  <c r="AE295" i="3"/>
  <c r="AE297" i="3"/>
  <c r="AE300" i="3"/>
  <c r="AE266" i="30"/>
  <c r="AE267" i="30"/>
  <c r="AE268" i="30"/>
  <c r="AE269" i="30"/>
  <c r="AE270" i="30"/>
  <c r="AE271" i="30"/>
  <c r="AE273" i="30"/>
  <c r="AE276" i="30"/>
  <c r="AE266" i="31"/>
  <c r="AE267" i="31"/>
  <c r="AE268" i="31"/>
  <c r="AE269" i="31"/>
  <c r="AE270" i="31"/>
  <c r="AE271" i="31"/>
  <c r="AE273" i="31"/>
  <c r="AE276" i="31"/>
  <c r="AE266" i="32"/>
  <c r="AE267" i="32"/>
  <c r="AE268" i="32"/>
  <c r="AE269" i="32"/>
  <c r="AE270" i="32"/>
  <c r="AE271" i="32"/>
  <c r="AE273" i="32"/>
  <c r="AE276" i="32"/>
  <c r="AE266" i="33"/>
  <c r="AE267" i="33"/>
  <c r="AE268" i="33"/>
  <c r="AE269" i="33"/>
  <c r="AE270" i="33"/>
  <c r="AE271" i="33"/>
  <c r="AE273" i="33"/>
  <c r="AE276" i="33"/>
  <c r="AE266" i="3"/>
  <c r="AE267" i="3"/>
  <c r="AE268" i="3"/>
  <c r="AE269" i="3"/>
  <c r="AE270" i="3"/>
  <c r="AE271" i="3"/>
  <c r="AE273" i="3"/>
  <c r="AE276" i="3"/>
  <c r="N139" i="5"/>
  <c r="Q139" i="5" s="1"/>
  <c r="M139" i="5"/>
  <c r="P139" i="5" s="1"/>
  <c r="L139" i="5"/>
  <c r="O139" i="5" s="1"/>
  <c r="I15" i="26"/>
  <c r="I21" i="26"/>
  <c r="H458" i="30"/>
  <c r="H458" i="31"/>
  <c r="H458" i="32"/>
  <c r="H458" i="33"/>
  <c r="H458" i="3"/>
  <c r="H454" i="30"/>
  <c r="H454" i="31"/>
  <c r="H454" i="32"/>
  <c r="H454" i="33"/>
  <c r="H454" i="3"/>
  <c r="H453" i="3"/>
  <c r="H453" i="33"/>
  <c r="H453" i="32"/>
  <c r="H453" i="31"/>
  <c r="H453" i="30"/>
  <c r="H452" i="30"/>
  <c r="H452" i="31"/>
  <c r="H452" i="32"/>
  <c r="H452" i="33"/>
  <c r="H452" i="3"/>
  <c r="H451" i="30"/>
  <c r="H451" i="31"/>
  <c r="H451" i="32"/>
  <c r="H451" i="33"/>
  <c r="H451" i="3"/>
  <c r="H450" i="30"/>
  <c r="H450" i="31"/>
  <c r="H450" i="32"/>
  <c r="H450" i="33"/>
  <c r="H450" i="3"/>
  <c r="R338" i="31"/>
  <c r="R339" i="31"/>
  <c r="R340" i="31"/>
  <c r="R341" i="31"/>
  <c r="R342" i="31"/>
  <c r="R343" i="31"/>
  <c r="R345" i="31"/>
  <c r="R348" i="31"/>
  <c r="R338" i="32"/>
  <c r="R339" i="32"/>
  <c r="R340" i="32"/>
  <c r="R341" i="32"/>
  <c r="R342" i="32"/>
  <c r="R343" i="32"/>
  <c r="R345" i="32"/>
  <c r="R348" i="32"/>
  <c r="R338" i="33"/>
  <c r="R339" i="33"/>
  <c r="R340" i="33"/>
  <c r="R341" i="33"/>
  <c r="R342" i="33"/>
  <c r="R343" i="33"/>
  <c r="R345" i="33"/>
  <c r="R348" i="33"/>
  <c r="R338" i="3"/>
  <c r="R339" i="3"/>
  <c r="R340" i="3"/>
  <c r="R341" i="3"/>
  <c r="R342" i="3"/>
  <c r="R343" i="3"/>
  <c r="R345" i="3"/>
  <c r="R348" i="3"/>
  <c r="R338" i="30"/>
  <c r="R339" i="30"/>
  <c r="R340" i="30"/>
  <c r="R341" i="30"/>
  <c r="R342" i="30"/>
  <c r="R343" i="30"/>
  <c r="R345" i="30"/>
  <c r="R348" i="30"/>
  <c r="R314" i="31"/>
  <c r="R315" i="31"/>
  <c r="R316" i="31"/>
  <c r="R317" i="31"/>
  <c r="R318" i="31"/>
  <c r="R319" i="31"/>
  <c r="R321" i="31"/>
  <c r="R324" i="31"/>
  <c r="R314" i="32"/>
  <c r="R315" i="32"/>
  <c r="R316" i="32"/>
  <c r="R317" i="32"/>
  <c r="R318" i="32"/>
  <c r="R319" i="32"/>
  <c r="R321" i="32"/>
  <c r="R324" i="32"/>
  <c r="R314" i="33"/>
  <c r="R315" i="33"/>
  <c r="R316" i="33"/>
  <c r="R317" i="33"/>
  <c r="R318" i="33"/>
  <c r="R319" i="33"/>
  <c r="R321" i="33"/>
  <c r="R324" i="33"/>
  <c r="R314" i="3"/>
  <c r="R315" i="3"/>
  <c r="R316" i="3"/>
  <c r="R317" i="3"/>
  <c r="R318" i="3"/>
  <c r="R319" i="3"/>
  <c r="R321" i="3"/>
  <c r="R324" i="3"/>
  <c r="R314" i="30"/>
  <c r="R315" i="30"/>
  <c r="R316" i="30"/>
  <c r="R317" i="30"/>
  <c r="R318" i="30"/>
  <c r="R319" i="30"/>
  <c r="R321" i="30"/>
  <c r="R324" i="30"/>
  <c r="R290" i="31"/>
  <c r="R291" i="31"/>
  <c r="R292" i="31"/>
  <c r="R293" i="31"/>
  <c r="R294" i="31"/>
  <c r="R295" i="31"/>
  <c r="R297" i="31"/>
  <c r="R300" i="31"/>
  <c r="R290" i="32"/>
  <c r="R291" i="32"/>
  <c r="R292" i="32"/>
  <c r="R293" i="32"/>
  <c r="R294" i="32"/>
  <c r="R295" i="32"/>
  <c r="R297" i="32"/>
  <c r="R300" i="32"/>
  <c r="R290" i="33"/>
  <c r="R291" i="33"/>
  <c r="R292" i="33"/>
  <c r="R293" i="33"/>
  <c r="R294" i="33"/>
  <c r="R295" i="33"/>
  <c r="R297" i="33"/>
  <c r="R300" i="33"/>
  <c r="R290" i="3"/>
  <c r="R291" i="3"/>
  <c r="R292" i="3"/>
  <c r="R293" i="3"/>
  <c r="R294" i="3"/>
  <c r="R295" i="3"/>
  <c r="R297" i="3"/>
  <c r="R300" i="3"/>
  <c r="R290" i="30"/>
  <c r="R291" i="30"/>
  <c r="R292" i="30"/>
  <c r="R293" i="30"/>
  <c r="R294" i="30"/>
  <c r="R295" i="30"/>
  <c r="R297" i="30"/>
  <c r="R300" i="30"/>
  <c r="R266" i="31"/>
  <c r="R267" i="31"/>
  <c r="R268" i="31"/>
  <c r="R269" i="31"/>
  <c r="R270" i="31"/>
  <c r="R271" i="31"/>
  <c r="R273" i="31"/>
  <c r="R276" i="31"/>
  <c r="R266" i="32"/>
  <c r="R267" i="32"/>
  <c r="R268" i="32"/>
  <c r="R269" i="32"/>
  <c r="R270" i="32"/>
  <c r="R271" i="32"/>
  <c r="R273" i="32"/>
  <c r="R276" i="32"/>
  <c r="R266" i="33"/>
  <c r="R267" i="33"/>
  <c r="R268" i="33"/>
  <c r="R269" i="33"/>
  <c r="R270" i="33"/>
  <c r="R271" i="33"/>
  <c r="R273" i="33"/>
  <c r="R276" i="33"/>
  <c r="R266" i="3"/>
  <c r="R267" i="3"/>
  <c r="R268" i="3"/>
  <c r="R269" i="3"/>
  <c r="R270" i="3"/>
  <c r="R271" i="3"/>
  <c r="R273" i="3"/>
  <c r="R276" i="3"/>
  <c r="R266" i="30"/>
  <c r="R267" i="30"/>
  <c r="R268" i="30"/>
  <c r="R269" i="30"/>
  <c r="R270" i="30"/>
  <c r="R271" i="30"/>
  <c r="R273" i="30"/>
  <c r="R276" i="30"/>
  <c r="X21" i="26"/>
  <c r="Y21" i="26"/>
  <c r="Z21" i="26"/>
  <c r="AB21" i="26"/>
  <c r="AC21" i="26"/>
  <c r="AD21" i="26"/>
  <c r="V40" i="17"/>
  <c r="L8" i="17"/>
  <c r="M8" i="17"/>
  <c r="N8" i="17"/>
  <c r="O8" i="17"/>
  <c r="L9" i="17"/>
  <c r="M9" i="17"/>
  <c r="N9" i="17"/>
  <c r="O9" i="17"/>
  <c r="L10" i="17"/>
  <c r="M10" i="17"/>
  <c r="N10" i="17"/>
  <c r="O10" i="17"/>
  <c r="L11" i="17"/>
  <c r="M11" i="17"/>
  <c r="N11" i="17"/>
  <c r="O11" i="17"/>
  <c r="L12" i="17"/>
  <c r="M12" i="17"/>
  <c r="N12" i="17"/>
  <c r="O12" i="17"/>
  <c r="L13" i="17"/>
  <c r="M13" i="17"/>
  <c r="N13" i="17"/>
  <c r="O13" i="17"/>
  <c r="M7" i="17"/>
  <c r="L7" i="17"/>
  <c r="F40" i="17"/>
  <c r="E40" i="17"/>
  <c r="T40" i="17" s="1"/>
  <c r="E39" i="17"/>
  <c r="T39" i="17" s="1"/>
  <c r="Q40" i="17"/>
  <c r="G15" i="26"/>
  <c r="H15" i="26" s="1"/>
  <c r="H38" i="10" s="1"/>
  <c r="G21" i="26"/>
  <c r="H21" i="26" s="1"/>
  <c r="H40" i="17" s="1"/>
  <c r="G20" i="26"/>
  <c r="H20" i="26" s="1"/>
  <c r="H42" i="10" s="1"/>
  <c r="D21" i="26"/>
  <c r="D12" i="26"/>
  <c r="G12" i="26"/>
  <c r="H12" i="26" s="1"/>
  <c r="H35" i="17" s="1"/>
  <c r="D13" i="26"/>
  <c r="G13" i="26"/>
  <c r="H13" i="26" s="1"/>
  <c r="D14" i="26"/>
  <c r="G14" i="26"/>
  <c r="H14" i="26" s="1"/>
  <c r="H42" i="17" s="1"/>
  <c r="D15" i="26"/>
  <c r="D16" i="26"/>
  <c r="G16" i="26"/>
  <c r="H16" i="26" s="1"/>
  <c r="D17" i="26"/>
  <c r="G17" i="26"/>
  <c r="H17" i="26" s="1"/>
  <c r="H37" i="17" s="1"/>
  <c r="D18" i="26"/>
  <c r="G18" i="26"/>
  <c r="H18" i="26" s="1"/>
  <c r="D19" i="26"/>
  <c r="G19" i="26"/>
  <c r="H19" i="26" s="1"/>
  <c r="H39" i="17" s="1"/>
  <c r="D20" i="26"/>
  <c r="D22" i="26"/>
  <c r="G22" i="26"/>
  <c r="H22" i="26" s="1"/>
  <c r="D23" i="26"/>
  <c r="G23" i="26"/>
  <c r="H23" i="26" s="1"/>
  <c r="H44" i="17" s="1"/>
  <c r="D24" i="26"/>
  <c r="G24" i="26"/>
  <c r="H24" i="26" s="1"/>
  <c r="D25" i="26"/>
  <c r="G25" i="26"/>
  <c r="H25" i="26" s="1"/>
  <c r="D26" i="26"/>
  <c r="G26" i="26"/>
  <c r="H26" i="26" s="1"/>
  <c r="D27" i="26"/>
  <c r="G27" i="26"/>
  <c r="H27" i="26" s="1"/>
  <c r="D28" i="26"/>
  <c r="G28" i="26"/>
  <c r="H28" i="26" s="1"/>
  <c r="H47" i="10" s="1"/>
  <c r="D29" i="26"/>
  <c r="G29" i="26"/>
  <c r="H29" i="26" s="1"/>
  <c r="H56" i="17" s="1"/>
  <c r="D30" i="26"/>
  <c r="G30" i="26"/>
  <c r="H30" i="26" s="1"/>
  <c r="D32" i="26"/>
  <c r="G32" i="26"/>
  <c r="H32" i="26" s="1"/>
  <c r="H49" i="10" s="1"/>
  <c r="D33" i="26"/>
  <c r="G33" i="26"/>
  <c r="H33" i="26" s="1"/>
  <c r="D34" i="26"/>
  <c r="G34" i="26"/>
  <c r="H34" i="26" s="1"/>
  <c r="H51" i="10" s="1"/>
  <c r="D35" i="26"/>
  <c r="G35" i="26"/>
  <c r="H35" i="26" s="1"/>
  <c r="D36" i="26"/>
  <c r="G36" i="26"/>
  <c r="H36" i="26" s="1"/>
  <c r="H52" i="17" s="1"/>
  <c r="D37" i="26"/>
  <c r="G37" i="26"/>
  <c r="H37" i="26" s="1"/>
  <c r="D38" i="26"/>
  <c r="G38" i="26"/>
  <c r="H38" i="26" s="1"/>
  <c r="H54" i="10" s="1"/>
  <c r="D39" i="26"/>
  <c r="G39" i="26"/>
  <c r="H39" i="26" s="1"/>
  <c r="D40" i="26"/>
  <c r="G40" i="26"/>
  <c r="H40" i="26" s="1"/>
  <c r="D41" i="26"/>
  <c r="G41" i="26"/>
  <c r="H41" i="26" s="1"/>
  <c r="H58" i="17" s="1"/>
  <c r="D42" i="26"/>
  <c r="G42" i="26"/>
  <c r="H42" i="26" s="1"/>
  <c r="H57" i="10" s="1"/>
  <c r="D43" i="26"/>
  <c r="G43" i="26"/>
  <c r="H43" i="26" s="1"/>
  <c r="H58" i="10" s="1"/>
  <c r="D44" i="26"/>
  <c r="G44" i="26"/>
  <c r="H44" i="26" s="1"/>
  <c r="H59" i="10" s="1"/>
  <c r="D45" i="26"/>
  <c r="G45" i="26"/>
  <c r="H45" i="26" s="1"/>
  <c r="H60" i="10" s="1"/>
  <c r="D46" i="26"/>
  <c r="G46" i="26"/>
  <c r="H46" i="26" s="1"/>
  <c r="H61" i="10" s="1"/>
  <c r="D47" i="26"/>
  <c r="G47" i="26"/>
  <c r="H47" i="26" s="1"/>
  <c r="H62" i="10" s="1"/>
  <c r="D48" i="26"/>
  <c r="G48" i="26"/>
  <c r="H48" i="26" s="1"/>
  <c r="H63" i="10" s="1"/>
  <c r="X15" i="26"/>
  <c r="Y15" i="26"/>
  <c r="AB15" i="26"/>
  <c r="AC15" i="26"/>
  <c r="R38" i="10"/>
  <c r="V38" i="10"/>
  <c r="R39" i="10"/>
  <c r="S39" i="10"/>
  <c r="V39" i="10"/>
  <c r="R40" i="10"/>
  <c r="U40" i="10"/>
  <c r="V40" i="10"/>
  <c r="L10" i="10"/>
  <c r="M10" i="10"/>
  <c r="N10" i="10"/>
  <c r="O10" i="10"/>
  <c r="G230" i="34"/>
  <c r="F230" i="34"/>
  <c r="G230" i="35"/>
  <c r="F230" i="35"/>
  <c r="G230" i="36"/>
  <c r="F230" i="36"/>
  <c r="G230" i="37"/>
  <c r="F230" i="37"/>
  <c r="G230" i="2"/>
  <c r="F230" i="2"/>
  <c r="G228" i="34"/>
  <c r="F228" i="34"/>
  <c r="G228" i="35"/>
  <c r="F228" i="35"/>
  <c r="G228" i="36"/>
  <c r="F228" i="36"/>
  <c r="G228" i="37"/>
  <c r="F228" i="37"/>
  <c r="G228" i="2"/>
  <c r="F228" i="2"/>
  <c r="D43" i="34"/>
  <c r="D43" i="35"/>
  <c r="D43" i="36"/>
  <c r="D43" i="37"/>
  <c r="D43" i="2"/>
  <c r="E14" i="2"/>
  <c r="E10" i="10" s="1"/>
  <c r="D185" i="34"/>
  <c r="D185" i="35"/>
  <c r="D185" i="36"/>
  <c r="D185" i="37"/>
  <c r="D185" i="2"/>
  <c r="E30" i="13"/>
  <c r="D14" i="2" s="1"/>
  <c r="C11" i="10"/>
  <c r="AD201" i="13"/>
  <c r="AD202" i="13"/>
  <c r="AD203" i="13"/>
  <c r="AD204" i="13"/>
  <c r="AD205" i="13"/>
  <c r="J230" i="13"/>
  <c r="H228" i="35" s="1"/>
  <c r="J232" i="13"/>
  <c r="S36" i="10"/>
  <c r="V36" i="10"/>
  <c r="V37" i="10"/>
  <c r="S41" i="10"/>
  <c r="V41" i="10"/>
  <c r="S42" i="10"/>
  <c r="V42" i="10"/>
  <c r="V43" i="10"/>
  <c r="V44" i="10"/>
  <c r="V45" i="10"/>
  <c r="V46" i="10"/>
  <c r="V47" i="10"/>
  <c r="V48" i="10"/>
  <c r="V49" i="10"/>
  <c r="V50" i="10"/>
  <c r="V51" i="10"/>
  <c r="U52" i="10"/>
  <c r="V52" i="10"/>
  <c r="V53" i="10"/>
  <c r="V54" i="10"/>
  <c r="V55" i="10"/>
  <c r="V56" i="10"/>
  <c r="U57" i="10"/>
  <c r="V57" i="10"/>
  <c r="V58" i="10"/>
  <c r="V59" i="10"/>
  <c r="V60" i="10"/>
  <c r="V61" i="10"/>
  <c r="V62" i="10"/>
  <c r="V63" i="10"/>
  <c r="R37" i="10"/>
  <c r="R41" i="10"/>
  <c r="R42" i="10"/>
  <c r="R43" i="10"/>
  <c r="R44" i="10"/>
  <c r="R45" i="10"/>
  <c r="R46" i="10"/>
  <c r="R47" i="10"/>
  <c r="R48" i="10"/>
  <c r="R49" i="10"/>
  <c r="R50" i="10"/>
  <c r="R51" i="10"/>
  <c r="R52" i="10"/>
  <c r="R53" i="10"/>
  <c r="R54" i="10"/>
  <c r="R55" i="10"/>
  <c r="R56" i="10"/>
  <c r="R57" i="10"/>
  <c r="R58" i="10"/>
  <c r="R59" i="10"/>
  <c r="R60" i="10"/>
  <c r="R61" i="10"/>
  <c r="R62" i="10"/>
  <c r="R63" i="10"/>
  <c r="R36" i="10"/>
  <c r="AD213" i="13"/>
  <c r="AD212" i="13"/>
  <c r="AD211" i="13"/>
  <c r="AD210" i="13"/>
  <c r="AD209" i="13"/>
  <c r="AD208" i="13"/>
  <c r="AD207" i="13"/>
  <c r="AD206" i="13"/>
  <c r="AD200" i="13"/>
  <c r="E266" i="30"/>
  <c r="F266" i="30"/>
  <c r="G266" i="30"/>
  <c r="H266" i="30"/>
  <c r="I266" i="30"/>
  <c r="J266" i="30"/>
  <c r="K266" i="30"/>
  <c r="L266" i="30"/>
  <c r="M266" i="30"/>
  <c r="N266" i="30"/>
  <c r="O266" i="30"/>
  <c r="P266" i="30"/>
  <c r="Q266" i="30"/>
  <c r="S266" i="30"/>
  <c r="T266" i="30"/>
  <c r="U266" i="30"/>
  <c r="V266" i="30"/>
  <c r="Z266" i="30"/>
  <c r="AA266" i="30"/>
  <c r="AB266" i="30"/>
  <c r="AC266" i="30"/>
  <c r="AD266" i="30"/>
  <c r="AF266" i="30"/>
  <c r="AG266" i="30"/>
  <c r="AH266" i="30"/>
  <c r="E267" i="30"/>
  <c r="F267" i="30"/>
  <c r="G267" i="30"/>
  <c r="H267" i="30"/>
  <c r="I267" i="30"/>
  <c r="J267" i="30"/>
  <c r="K267" i="30"/>
  <c r="L267" i="30"/>
  <c r="M267" i="30"/>
  <c r="N267" i="30"/>
  <c r="O267" i="30"/>
  <c r="P267" i="30"/>
  <c r="Q267" i="30"/>
  <c r="S267" i="30"/>
  <c r="T267" i="30"/>
  <c r="U267" i="30"/>
  <c r="V267" i="30"/>
  <c r="Z267" i="30"/>
  <c r="AA267" i="30"/>
  <c r="AB267" i="30"/>
  <c r="AC267" i="30"/>
  <c r="AD267" i="30"/>
  <c r="AF267" i="30"/>
  <c r="AG267" i="30"/>
  <c r="AG268" i="30"/>
  <c r="AG269" i="30"/>
  <c r="AG270" i="30"/>
  <c r="AG271" i="30"/>
  <c r="AG273" i="30"/>
  <c r="AG276" i="30"/>
  <c r="C63" i="30"/>
  <c r="AJ268" i="30"/>
  <c r="AH267" i="30"/>
  <c r="E268" i="30"/>
  <c r="F268" i="30"/>
  <c r="G268" i="30"/>
  <c r="H268" i="30"/>
  <c r="I268" i="30"/>
  <c r="J268" i="30"/>
  <c r="K268" i="30"/>
  <c r="L268" i="30"/>
  <c r="M268" i="30"/>
  <c r="N268" i="30"/>
  <c r="O268" i="30"/>
  <c r="P268" i="30"/>
  <c r="Q268" i="30"/>
  <c r="S268" i="30"/>
  <c r="T268" i="30"/>
  <c r="U268" i="30"/>
  <c r="V268" i="30"/>
  <c r="Z268" i="30"/>
  <c r="AA268" i="30"/>
  <c r="AB268" i="30"/>
  <c r="AC268" i="30"/>
  <c r="AD268" i="30"/>
  <c r="AF268" i="30"/>
  <c r="AH268" i="30"/>
  <c r="E269" i="30"/>
  <c r="F269" i="30"/>
  <c r="G269" i="30"/>
  <c r="H269" i="30"/>
  <c r="I269" i="30"/>
  <c r="J269" i="30"/>
  <c r="K269" i="30"/>
  <c r="L269" i="30"/>
  <c r="M269" i="30"/>
  <c r="N269" i="30"/>
  <c r="O269" i="30"/>
  <c r="P269" i="30"/>
  <c r="Q269" i="30"/>
  <c r="S269" i="30"/>
  <c r="T269" i="30"/>
  <c r="U269" i="30"/>
  <c r="V269" i="30"/>
  <c r="Z269" i="30"/>
  <c r="AA269" i="30"/>
  <c r="AB269" i="30"/>
  <c r="AC269" i="30"/>
  <c r="AD269" i="30"/>
  <c r="AD270" i="30"/>
  <c r="AD271" i="30"/>
  <c r="AD273" i="30"/>
  <c r="AD276" i="30"/>
  <c r="AF269" i="30"/>
  <c r="AH269" i="30"/>
  <c r="E270" i="30"/>
  <c r="F270" i="30"/>
  <c r="G270" i="30"/>
  <c r="H270" i="30"/>
  <c r="I270" i="30"/>
  <c r="J270" i="30"/>
  <c r="K270" i="30"/>
  <c r="L270" i="30"/>
  <c r="M270" i="30"/>
  <c r="N270" i="30"/>
  <c r="O270" i="30"/>
  <c r="P270" i="30"/>
  <c r="Q270" i="30"/>
  <c r="S270" i="30"/>
  <c r="T270" i="30"/>
  <c r="U270" i="30"/>
  <c r="V270" i="30"/>
  <c r="Z270" i="30"/>
  <c r="AA270" i="30"/>
  <c r="AB270" i="30"/>
  <c r="AC270" i="30"/>
  <c r="AF270" i="30"/>
  <c r="AH270" i="30"/>
  <c r="E271" i="30"/>
  <c r="F271" i="30"/>
  <c r="G271" i="30"/>
  <c r="H271" i="30"/>
  <c r="I271" i="30"/>
  <c r="J271" i="30"/>
  <c r="K271" i="30"/>
  <c r="L271" i="30"/>
  <c r="M271" i="30"/>
  <c r="N271" i="30"/>
  <c r="O271" i="30"/>
  <c r="P271" i="30"/>
  <c r="Q271" i="30"/>
  <c r="S271" i="30"/>
  <c r="T271" i="30"/>
  <c r="U271" i="30"/>
  <c r="V271" i="30"/>
  <c r="Z271" i="30"/>
  <c r="AA271" i="30"/>
  <c r="AB271" i="30"/>
  <c r="AC271" i="30"/>
  <c r="AF271" i="30"/>
  <c r="AH271" i="30"/>
  <c r="E273" i="30"/>
  <c r="F273" i="30"/>
  <c r="G273" i="30"/>
  <c r="H273" i="30"/>
  <c r="I273" i="30"/>
  <c r="J273" i="30"/>
  <c r="K273" i="30"/>
  <c r="L273" i="30"/>
  <c r="M273" i="30"/>
  <c r="N273" i="30"/>
  <c r="O273" i="30"/>
  <c r="P273" i="30"/>
  <c r="Q273" i="30"/>
  <c r="S273" i="30"/>
  <c r="T273" i="30"/>
  <c r="U273" i="30"/>
  <c r="V273" i="30"/>
  <c r="Z273" i="30"/>
  <c r="AA273" i="30"/>
  <c r="AB273" i="30"/>
  <c r="AC273" i="30"/>
  <c r="AF273" i="30"/>
  <c r="AH273" i="30"/>
  <c r="E276" i="30"/>
  <c r="F276" i="30"/>
  <c r="G276" i="30"/>
  <c r="H276" i="30"/>
  <c r="I276" i="30"/>
  <c r="J276" i="30"/>
  <c r="K276" i="30"/>
  <c r="L276" i="30"/>
  <c r="M276" i="30"/>
  <c r="N276" i="30"/>
  <c r="O276" i="30"/>
  <c r="P276" i="30"/>
  <c r="Q276" i="30"/>
  <c r="S276" i="30"/>
  <c r="T276" i="30"/>
  <c r="U276" i="30"/>
  <c r="V276" i="30"/>
  <c r="Z276" i="30"/>
  <c r="AA276" i="30"/>
  <c r="AB276" i="30"/>
  <c r="AC276" i="30"/>
  <c r="AF276" i="30"/>
  <c r="AH276" i="30"/>
  <c r="E266" i="31"/>
  <c r="F266" i="31"/>
  <c r="G266" i="31"/>
  <c r="H266" i="31"/>
  <c r="I266" i="31"/>
  <c r="J266" i="31"/>
  <c r="K266" i="31"/>
  <c r="L266" i="31"/>
  <c r="M266" i="31"/>
  <c r="N266" i="31"/>
  <c r="O266" i="31"/>
  <c r="P266" i="31"/>
  <c r="Q266" i="31"/>
  <c r="S266" i="31"/>
  <c r="T266" i="31"/>
  <c r="U266" i="31"/>
  <c r="V266" i="31"/>
  <c r="Z266" i="31"/>
  <c r="AA266" i="31"/>
  <c r="AB266" i="31"/>
  <c r="AC266" i="31"/>
  <c r="AD266" i="31"/>
  <c r="AF266" i="31"/>
  <c r="AG266" i="31"/>
  <c r="AH266" i="31"/>
  <c r="E267" i="31"/>
  <c r="F267" i="31"/>
  <c r="G267" i="31"/>
  <c r="H267" i="31"/>
  <c r="I267" i="31"/>
  <c r="J267" i="31"/>
  <c r="K267" i="31"/>
  <c r="L267" i="31"/>
  <c r="M267" i="31"/>
  <c r="N267" i="31"/>
  <c r="O267" i="31"/>
  <c r="P267" i="31"/>
  <c r="Q267" i="31"/>
  <c r="S267" i="31"/>
  <c r="T267" i="31"/>
  <c r="U267" i="31"/>
  <c r="V267" i="31"/>
  <c r="Z267" i="31"/>
  <c r="AA267" i="31"/>
  <c r="AB267" i="31"/>
  <c r="AC267" i="31"/>
  <c r="AD267" i="31"/>
  <c r="AF267" i="31"/>
  <c r="AG267" i="31"/>
  <c r="AH267" i="31"/>
  <c r="E268" i="31"/>
  <c r="F268" i="31"/>
  <c r="G268" i="31"/>
  <c r="H268" i="31"/>
  <c r="I268" i="31"/>
  <c r="J268" i="31"/>
  <c r="K268" i="31"/>
  <c r="L268" i="31"/>
  <c r="M268" i="31"/>
  <c r="N268" i="31"/>
  <c r="O268" i="31"/>
  <c r="P268" i="31"/>
  <c r="Q268" i="31"/>
  <c r="S268" i="31"/>
  <c r="T268" i="31"/>
  <c r="U268" i="31"/>
  <c r="V268" i="31"/>
  <c r="Z268" i="31"/>
  <c r="AA268" i="31"/>
  <c r="AB268" i="31"/>
  <c r="AC268" i="31"/>
  <c r="AD268" i="31"/>
  <c r="AF268" i="31"/>
  <c r="AG268" i="31"/>
  <c r="AH268" i="31"/>
  <c r="E269" i="31"/>
  <c r="F269" i="31"/>
  <c r="G269" i="31"/>
  <c r="H269" i="31"/>
  <c r="I269" i="31"/>
  <c r="J269" i="31"/>
  <c r="K269" i="31"/>
  <c r="L269" i="31"/>
  <c r="M269" i="31"/>
  <c r="N269" i="31"/>
  <c r="O269" i="31"/>
  <c r="P269" i="31"/>
  <c r="Q269" i="31"/>
  <c r="S269" i="31"/>
  <c r="T269" i="31"/>
  <c r="U269" i="31"/>
  <c r="V269" i="31"/>
  <c r="Z269" i="31"/>
  <c r="AA269" i="31"/>
  <c r="AB269" i="31"/>
  <c r="AC269" i="31"/>
  <c r="AD269" i="31"/>
  <c r="AF269" i="31"/>
  <c r="AG269" i="31"/>
  <c r="AH269" i="31"/>
  <c r="E270" i="31"/>
  <c r="F270" i="31"/>
  <c r="G270" i="31"/>
  <c r="H270" i="31"/>
  <c r="I270" i="31"/>
  <c r="J270" i="31"/>
  <c r="K270" i="31"/>
  <c r="L270" i="31"/>
  <c r="M270" i="31"/>
  <c r="N270" i="31"/>
  <c r="O270" i="31"/>
  <c r="P270" i="31"/>
  <c r="Q270" i="31"/>
  <c r="S270" i="31"/>
  <c r="T270" i="31"/>
  <c r="U270" i="31"/>
  <c r="V270" i="31"/>
  <c r="Z270" i="31"/>
  <c r="AA270" i="31"/>
  <c r="AB270" i="31"/>
  <c r="AC270" i="31"/>
  <c r="AD270" i="31"/>
  <c r="AF270" i="31"/>
  <c r="AG270" i="31"/>
  <c r="AH270" i="31"/>
  <c r="E271" i="31"/>
  <c r="F271" i="31"/>
  <c r="G271" i="31"/>
  <c r="H271" i="31"/>
  <c r="I271" i="31"/>
  <c r="J271" i="31"/>
  <c r="K271" i="31"/>
  <c r="L271" i="31"/>
  <c r="M271" i="31"/>
  <c r="N271" i="31"/>
  <c r="O271" i="31"/>
  <c r="P271" i="31"/>
  <c r="Q271" i="31"/>
  <c r="S271" i="31"/>
  <c r="T271" i="31"/>
  <c r="U271" i="31"/>
  <c r="V271" i="31"/>
  <c r="Z271" i="31"/>
  <c r="AA271" i="31"/>
  <c r="AB271" i="31"/>
  <c r="AC271" i="31"/>
  <c r="AD271" i="31"/>
  <c r="AF271" i="31"/>
  <c r="AG271" i="31"/>
  <c r="AH271" i="31"/>
  <c r="E273" i="31"/>
  <c r="F273" i="31"/>
  <c r="G273" i="31"/>
  <c r="H273" i="31"/>
  <c r="I273" i="31"/>
  <c r="J273" i="31"/>
  <c r="K273" i="31"/>
  <c r="L273" i="31"/>
  <c r="M273" i="31"/>
  <c r="N273" i="31"/>
  <c r="O273" i="31"/>
  <c r="P273" i="31"/>
  <c r="Q273" i="31"/>
  <c r="S273" i="31"/>
  <c r="T273" i="31"/>
  <c r="U273" i="31"/>
  <c r="V273" i="31"/>
  <c r="Z273" i="31"/>
  <c r="AA273" i="31"/>
  <c r="AB273" i="31"/>
  <c r="AC273" i="31"/>
  <c r="AD273" i="31"/>
  <c r="AF273" i="31"/>
  <c r="AG273" i="31"/>
  <c r="AH273" i="31"/>
  <c r="E276" i="31"/>
  <c r="F276" i="31"/>
  <c r="G276" i="31"/>
  <c r="H276" i="31"/>
  <c r="I276" i="31"/>
  <c r="J276" i="31"/>
  <c r="K276" i="31"/>
  <c r="L276" i="31"/>
  <c r="M276" i="31"/>
  <c r="N276" i="31"/>
  <c r="O276" i="31"/>
  <c r="P276" i="31"/>
  <c r="Q276" i="31"/>
  <c r="S276" i="31"/>
  <c r="T276" i="31"/>
  <c r="U276" i="31"/>
  <c r="V276" i="31"/>
  <c r="Z276" i="31"/>
  <c r="AA276" i="31"/>
  <c r="AB276" i="31"/>
  <c r="AC276" i="31"/>
  <c r="AD276" i="31"/>
  <c r="AF276" i="31"/>
  <c r="AG276" i="31"/>
  <c r="AH276" i="31"/>
  <c r="E266" i="32"/>
  <c r="F266" i="32"/>
  <c r="G266" i="32"/>
  <c r="H266" i="32"/>
  <c r="I266" i="32"/>
  <c r="J266" i="32"/>
  <c r="K266" i="32"/>
  <c r="L266" i="32"/>
  <c r="M266" i="32"/>
  <c r="N266" i="32"/>
  <c r="O266" i="32"/>
  <c r="P266" i="32"/>
  <c r="Q266" i="32"/>
  <c r="S266" i="32"/>
  <c r="T266" i="32"/>
  <c r="U266" i="32"/>
  <c r="V266" i="32"/>
  <c r="Z266" i="32"/>
  <c r="AA266" i="32"/>
  <c r="AB266" i="32"/>
  <c r="AC266" i="32"/>
  <c r="AD266" i="32"/>
  <c r="AF266" i="32"/>
  <c r="AG266" i="32"/>
  <c r="AH266" i="32"/>
  <c r="E267" i="32"/>
  <c r="F267" i="32"/>
  <c r="G267" i="32"/>
  <c r="H267" i="32"/>
  <c r="I267" i="32"/>
  <c r="J267" i="32"/>
  <c r="K267" i="32"/>
  <c r="L267" i="32"/>
  <c r="M267" i="32"/>
  <c r="N267" i="32"/>
  <c r="O267" i="32"/>
  <c r="P267" i="32"/>
  <c r="Q267" i="32"/>
  <c r="S267" i="32"/>
  <c r="T267" i="32"/>
  <c r="U267" i="32"/>
  <c r="V267" i="32"/>
  <c r="Z267" i="32"/>
  <c r="AA267" i="32"/>
  <c r="AB267" i="32"/>
  <c r="AC267" i="32"/>
  <c r="AD267" i="32"/>
  <c r="AF267" i="32"/>
  <c r="AG267" i="32"/>
  <c r="AG268" i="32"/>
  <c r="AG269" i="32"/>
  <c r="AG270" i="32"/>
  <c r="AG271" i="32"/>
  <c r="AG273" i="32"/>
  <c r="AG276" i="32"/>
  <c r="C63" i="32"/>
  <c r="G26" i="38"/>
  <c r="D6" i="32" s="1"/>
  <c r="D7" i="32" s="1"/>
  <c r="D27" i="32"/>
  <c r="E33" i="32"/>
  <c r="D28" i="32"/>
  <c r="AJ268" i="32"/>
  <c r="D30" i="32"/>
  <c r="D31" i="32"/>
  <c r="D32" i="32"/>
  <c r="C53" i="32"/>
  <c r="D48" i="32"/>
  <c r="D29" i="32"/>
  <c r="E29" i="32" s="1"/>
  <c r="C56" i="32"/>
  <c r="AH267" i="32"/>
  <c r="E268" i="32"/>
  <c r="F268" i="32"/>
  <c r="G268" i="32"/>
  <c r="H268" i="32"/>
  <c r="I268" i="32"/>
  <c r="J268" i="32"/>
  <c r="K268" i="32"/>
  <c r="L268" i="32"/>
  <c r="M268" i="32"/>
  <c r="N268" i="32"/>
  <c r="O268" i="32"/>
  <c r="P268" i="32"/>
  <c r="Q268" i="32"/>
  <c r="S268" i="32"/>
  <c r="T268" i="32"/>
  <c r="U268" i="32"/>
  <c r="V268" i="32"/>
  <c r="Z268" i="32"/>
  <c r="AA268" i="32"/>
  <c r="AB268" i="32"/>
  <c r="AC268" i="32"/>
  <c r="AD268" i="32"/>
  <c r="AF268" i="32"/>
  <c r="AH268" i="32"/>
  <c r="E269" i="32"/>
  <c r="F269" i="32"/>
  <c r="G269" i="32"/>
  <c r="H269" i="32"/>
  <c r="I269" i="32"/>
  <c r="J269" i="32"/>
  <c r="K269" i="32"/>
  <c r="L269" i="32"/>
  <c r="M269" i="32"/>
  <c r="N269" i="32"/>
  <c r="O269" i="32"/>
  <c r="P269" i="32"/>
  <c r="Q269" i="32"/>
  <c r="S269" i="32"/>
  <c r="T269" i="32"/>
  <c r="U269" i="32"/>
  <c r="V269" i="32"/>
  <c r="Z269" i="32"/>
  <c r="AA269" i="32"/>
  <c r="AB269" i="32"/>
  <c r="AC269" i="32"/>
  <c r="AD269" i="32"/>
  <c r="AD270" i="32"/>
  <c r="AD271" i="32"/>
  <c r="AD273" i="32"/>
  <c r="AD276" i="32"/>
  <c r="AF269" i="32"/>
  <c r="AH269" i="32"/>
  <c r="E270" i="32"/>
  <c r="F270" i="32"/>
  <c r="G270" i="32"/>
  <c r="H270" i="32"/>
  <c r="I270" i="32"/>
  <c r="J270" i="32"/>
  <c r="K270" i="32"/>
  <c r="L270" i="32"/>
  <c r="M270" i="32"/>
  <c r="N270" i="32"/>
  <c r="O270" i="32"/>
  <c r="P270" i="32"/>
  <c r="Q270" i="32"/>
  <c r="S270" i="32"/>
  <c r="T270" i="32"/>
  <c r="U270" i="32"/>
  <c r="V270" i="32"/>
  <c r="Z270" i="32"/>
  <c r="AA270" i="32"/>
  <c r="AB270" i="32"/>
  <c r="AC270" i="32"/>
  <c r="AF270" i="32"/>
  <c r="AH270" i="32"/>
  <c r="E271" i="32"/>
  <c r="F271" i="32"/>
  <c r="G271" i="32"/>
  <c r="H271" i="32"/>
  <c r="I271" i="32"/>
  <c r="J271" i="32"/>
  <c r="K271" i="32"/>
  <c r="L271" i="32"/>
  <c r="M271" i="32"/>
  <c r="N271" i="32"/>
  <c r="O271" i="32"/>
  <c r="P271" i="32"/>
  <c r="Q271" i="32"/>
  <c r="S271" i="32"/>
  <c r="T271" i="32"/>
  <c r="U271" i="32"/>
  <c r="V271" i="32"/>
  <c r="Z271" i="32"/>
  <c r="AA271" i="32"/>
  <c r="AB271" i="32"/>
  <c r="AC271" i="32"/>
  <c r="AF271" i="32"/>
  <c r="AH271" i="32"/>
  <c r="E273" i="32"/>
  <c r="F273" i="32"/>
  <c r="G273" i="32"/>
  <c r="H273" i="32"/>
  <c r="I273" i="32"/>
  <c r="J273" i="32"/>
  <c r="K273" i="32"/>
  <c r="L273" i="32"/>
  <c r="M273" i="32"/>
  <c r="N273" i="32"/>
  <c r="O273" i="32"/>
  <c r="P273" i="32"/>
  <c r="Q273" i="32"/>
  <c r="S273" i="32"/>
  <c r="T273" i="32"/>
  <c r="U273" i="32"/>
  <c r="V273" i="32"/>
  <c r="Z273" i="32"/>
  <c r="AA273" i="32"/>
  <c r="AB273" i="32"/>
  <c r="AC273" i="32"/>
  <c r="AF273" i="32"/>
  <c r="AH273" i="32"/>
  <c r="E276" i="32"/>
  <c r="F276" i="32"/>
  <c r="G276" i="32"/>
  <c r="H276" i="32"/>
  <c r="I276" i="32"/>
  <c r="J276" i="32"/>
  <c r="K276" i="32"/>
  <c r="L276" i="32"/>
  <c r="M276" i="32"/>
  <c r="N276" i="32"/>
  <c r="O276" i="32"/>
  <c r="P276" i="32"/>
  <c r="Q276" i="32"/>
  <c r="S276" i="32"/>
  <c r="T276" i="32"/>
  <c r="U276" i="32"/>
  <c r="V276" i="32"/>
  <c r="Z276" i="32"/>
  <c r="AA276" i="32"/>
  <c r="AB276" i="32"/>
  <c r="AC276" i="32"/>
  <c r="AF276" i="32"/>
  <c r="AH276" i="32"/>
  <c r="E266" i="33"/>
  <c r="F266" i="33"/>
  <c r="G266" i="33"/>
  <c r="H266" i="33"/>
  <c r="I266" i="33"/>
  <c r="J266" i="33"/>
  <c r="K266" i="33"/>
  <c r="L266" i="33"/>
  <c r="M266" i="33"/>
  <c r="N266" i="33"/>
  <c r="O266" i="33"/>
  <c r="P266" i="33"/>
  <c r="Q266" i="33"/>
  <c r="S266" i="33"/>
  <c r="T266" i="33"/>
  <c r="U266" i="33"/>
  <c r="V266" i="33"/>
  <c r="Z266" i="33"/>
  <c r="AA266" i="33"/>
  <c r="AB266" i="33"/>
  <c r="AC266" i="33"/>
  <c r="AD266" i="33"/>
  <c r="AF266" i="33"/>
  <c r="AG266" i="33"/>
  <c r="AH266" i="33"/>
  <c r="E267" i="33"/>
  <c r="F267" i="33"/>
  <c r="G267" i="33"/>
  <c r="H267" i="33"/>
  <c r="I267" i="33"/>
  <c r="J267" i="33"/>
  <c r="K267" i="33"/>
  <c r="L267" i="33"/>
  <c r="M267" i="33"/>
  <c r="N267" i="33"/>
  <c r="O267" i="33"/>
  <c r="P267" i="33"/>
  <c r="Q267" i="33"/>
  <c r="S267" i="33"/>
  <c r="T267" i="33"/>
  <c r="U267" i="33"/>
  <c r="V267" i="33"/>
  <c r="Z267" i="33"/>
  <c r="AA267" i="33"/>
  <c r="AB267" i="33"/>
  <c r="AC267" i="33"/>
  <c r="AD267" i="33"/>
  <c r="AF267" i="33"/>
  <c r="AG267" i="33"/>
  <c r="AH267" i="33"/>
  <c r="E268" i="33"/>
  <c r="F268" i="33"/>
  <c r="G268" i="33"/>
  <c r="H268" i="33"/>
  <c r="I268" i="33"/>
  <c r="J268" i="33"/>
  <c r="K268" i="33"/>
  <c r="L268" i="33"/>
  <c r="M268" i="33"/>
  <c r="N268" i="33"/>
  <c r="O268" i="33"/>
  <c r="P268" i="33"/>
  <c r="Q268" i="33"/>
  <c r="S268" i="33"/>
  <c r="T268" i="33"/>
  <c r="U268" i="33"/>
  <c r="V268" i="33"/>
  <c r="Z268" i="33"/>
  <c r="AA268" i="33"/>
  <c r="AA269" i="33"/>
  <c r="AA270" i="33"/>
  <c r="AA271" i="33"/>
  <c r="AA273" i="33"/>
  <c r="AA276" i="33"/>
  <c r="C63" i="33"/>
  <c r="G27" i="38"/>
  <c r="D6" i="33" s="1"/>
  <c r="D7" i="33" s="1"/>
  <c r="I7" i="33" s="1"/>
  <c r="AJ268" i="33"/>
  <c r="AB268" i="33"/>
  <c r="AC268" i="33"/>
  <c r="AD268" i="33"/>
  <c r="AF268" i="33"/>
  <c r="AG268" i="33"/>
  <c r="AH268" i="33"/>
  <c r="E269" i="33"/>
  <c r="F269" i="33"/>
  <c r="G269" i="33"/>
  <c r="H269" i="33"/>
  <c r="I269" i="33"/>
  <c r="J269" i="33"/>
  <c r="K269" i="33"/>
  <c r="L269" i="33"/>
  <c r="M269" i="33"/>
  <c r="N269" i="33"/>
  <c r="O269" i="33"/>
  <c r="P269" i="33"/>
  <c r="Q269" i="33"/>
  <c r="S269" i="33"/>
  <c r="T269" i="33"/>
  <c r="U269" i="33"/>
  <c r="V269" i="33"/>
  <c r="Z269" i="33"/>
  <c r="AB269" i="33"/>
  <c r="AC269" i="33"/>
  <c r="AD269" i="33"/>
  <c r="AF269" i="33"/>
  <c r="AG269" i="33"/>
  <c r="AH269" i="33"/>
  <c r="E270" i="33"/>
  <c r="F270" i="33"/>
  <c r="G270" i="33"/>
  <c r="H270" i="33"/>
  <c r="I270" i="33"/>
  <c r="J270" i="33"/>
  <c r="K270" i="33"/>
  <c r="L270" i="33"/>
  <c r="M270" i="33"/>
  <c r="N270" i="33"/>
  <c r="O270" i="33"/>
  <c r="P270" i="33"/>
  <c r="Q270" i="33"/>
  <c r="S270" i="33"/>
  <c r="T270" i="33"/>
  <c r="U270" i="33"/>
  <c r="V270" i="33"/>
  <c r="Z270" i="33"/>
  <c r="AB270" i="33"/>
  <c r="AC270" i="33"/>
  <c r="AD270" i="33"/>
  <c r="AF270" i="33"/>
  <c r="AG270" i="33"/>
  <c r="AH270" i="33"/>
  <c r="E271" i="33"/>
  <c r="F271" i="33"/>
  <c r="G271" i="33"/>
  <c r="H271" i="33"/>
  <c r="I271" i="33"/>
  <c r="J271" i="33"/>
  <c r="K271" i="33"/>
  <c r="L271" i="33"/>
  <c r="M271" i="33"/>
  <c r="N271" i="33"/>
  <c r="O271" i="33"/>
  <c r="P271" i="33"/>
  <c r="Q271" i="33"/>
  <c r="S271" i="33"/>
  <c r="T271" i="33"/>
  <c r="U271" i="33"/>
  <c r="V271" i="33"/>
  <c r="Z271" i="33"/>
  <c r="AB271" i="33"/>
  <c r="AC271" i="33"/>
  <c r="AD271" i="33"/>
  <c r="AF271" i="33"/>
  <c r="AG271" i="33"/>
  <c r="AH271" i="33"/>
  <c r="E273" i="33"/>
  <c r="F273" i="33"/>
  <c r="G273" i="33"/>
  <c r="H273" i="33"/>
  <c r="I273" i="33"/>
  <c r="J273" i="33"/>
  <c r="K273" i="33"/>
  <c r="L273" i="33"/>
  <c r="M273" i="33"/>
  <c r="N273" i="33"/>
  <c r="O273" i="33"/>
  <c r="P273" i="33"/>
  <c r="Q273" i="33"/>
  <c r="S273" i="33"/>
  <c r="T273" i="33"/>
  <c r="U273" i="33"/>
  <c r="V273" i="33"/>
  <c r="Z273" i="33"/>
  <c r="AB273" i="33"/>
  <c r="AC273" i="33"/>
  <c r="AD273" i="33"/>
  <c r="AF273" i="33"/>
  <c r="AG273" i="33"/>
  <c r="AH273" i="33"/>
  <c r="E276" i="33"/>
  <c r="F276" i="33"/>
  <c r="G276" i="33"/>
  <c r="H276" i="33"/>
  <c r="I276" i="33"/>
  <c r="J276" i="33"/>
  <c r="K276" i="33"/>
  <c r="L276" i="33"/>
  <c r="M276" i="33"/>
  <c r="N276" i="33"/>
  <c r="O276" i="33"/>
  <c r="P276" i="33"/>
  <c r="Q276" i="33"/>
  <c r="S276" i="33"/>
  <c r="T276" i="33"/>
  <c r="U276" i="33"/>
  <c r="V276" i="33"/>
  <c r="Z276" i="33"/>
  <c r="AB276" i="33"/>
  <c r="AC276" i="33"/>
  <c r="AD276" i="33"/>
  <c r="AF276" i="33"/>
  <c r="AG276" i="33"/>
  <c r="AH276" i="33"/>
  <c r="E266" i="3"/>
  <c r="F266" i="3"/>
  <c r="G266" i="3"/>
  <c r="H266" i="3"/>
  <c r="I266" i="3"/>
  <c r="J266" i="3"/>
  <c r="K266" i="3"/>
  <c r="L266" i="3"/>
  <c r="M266" i="3"/>
  <c r="N266" i="3"/>
  <c r="O266" i="3"/>
  <c r="P266" i="3"/>
  <c r="Q266" i="3"/>
  <c r="S266" i="3"/>
  <c r="T266" i="3"/>
  <c r="U266" i="3"/>
  <c r="V266" i="3"/>
  <c r="Z266" i="3"/>
  <c r="AA266" i="3"/>
  <c r="AB266" i="3"/>
  <c r="AC266" i="3"/>
  <c r="AD266" i="3"/>
  <c r="AF266" i="3"/>
  <c r="AG266" i="3"/>
  <c r="AH266" i="3"/>
  <c r="E267" i="3"/>
  <c r="F267" i="3"/>
  <c r="G267" i="3"/>
  <c r="H267" i="3"/>
  <c r="I267" i="3"/>
  <c r="J267" i="3"/>
  <c r="K267" i="3"/>
  <c r="L267" i="3"/>
  <c r="M267" i="3"/>
  <c r="N267" i="3"/>
  <c r="O267" i="3"/>
  <c r="P267" i="3"/>
  <c r="Q267" i="3"/>
  <c r="S267" i="3"/>
  <c r="T267" i="3"/>
  <c r="U267" i="3"/>
  <c r="V267" i="3"/>
  <c r="Z267" i="3"/>
  <c r="AA267" i="3"/>
  <c r="AB267" i="3"/>
  <c r="AC267" i="3"/>
  <c r="AD267" i="3"/>
  <c r="AF267" i="3"/>
  <c r="AG267" i="3"/>
  <c r="AG268" i="3"/>
  <c r="AG269" i="3"/>
  <c r="AG270" i="3"/>
  <c r="AG271" i="3"/>
  <c r="AG273" i="3"/>
  <c r="AG276" i="3"/>
  <c r="C63" i="3"/>
  <c r="AJ268" i="3"/>
  <c r="AH267" i="3"/>
  <c r="E268" i="3"/>
  <c r="F268" i="3"/>
  <c r="G268" i="3"/>
  <c r="H268" i="3"/>
  <c r="I268" i="3"/>
  <c r="J268" i="3"/>
  <c r="K268" i="3"/>
  <c r="L268" i="3"/>
  <c r="M268" i="3"/>
  <c r="N268" i="3"/>
  <c r="O268" i="3"/>
  <c r="P268" i="3"/>
  <c r="Q268" i="3"/>
  <c r="S268" i="3"/>
  <c r="T268" i="3"/>
  <c r="U268" i="3"/>
  <c r="V268" i="3"/>
  <c r="Z268" i="3"/>
  <c r="AA268" i="3"/>
  <c r="AB268" i="3"/>
  <c r="AC268" i="3"/>
  <c r="AD268" i="3"/>
  <c r="AF268" i="3"/>
  <c r="AH268" i="3"/>
  <c r="E269" i="3"/>
  <c r="F269" i="3"/>
  <c r="G269" i="3"/>
  <c r="H269" i="3"/>
  <c r="I269" i="3"/>
  <c r="J269" i="3"/>
  <c r="K269" i="3"/>
  <c r="L269" i="3"/>
  <c r="M269" i="3"/>
  <c r="N269" i="3"/>
  <c r="O269" i="3"/>
  <c r="P269" i="3"/>
  <c r="Q269" i="3"/>
  <c r="S269" i="3"/>
  <c r="T269" i="3"/>
  <c r="U269" i="3"/>
  <c r="V269" i="3"/>
  <c r="Z269" i="3"/>
  <c r="AA269" i="3"/>
  <c r="AB269" i="3"/>
  <c r="AC269" i="3"/>
  <c r="AD269" i="3"/>
  <c r="AF269" i="3"/>
  <c r="AH269" i="3"/>
  <c r="E270" i="3"/>
  <c r="F270" i="3"/>
  <c r="G270" i="3"/>
  <c r="H270" i="3"/>
  <c r="I270" i="3"/>
  <c r="J270" i="3"/>
  <c r="K270" i="3"/>
  <c r="L270" i="3"/>
  <c r="M270" i="3"/>
  <c r="N270" i="3"/>
  <c r="O270" i="3"/>
  <c r="P270" i="3"/>
  <c r="Q270" i="3"/>
  <c r="S270" i="3"/>
  <c r="T270" i="3"/>
  <c r="U270" i="3"/>
  <c r="V270" i="3"/>
  <c r="Z270" i="3"/>
  <c r="AA270" i="3"/>
  <c r="AB270" i="3"/>
  <c r="AC270" i="3"/>
  <c r="AD270" i="3"/>
  <c r="AF270" i="3"/>
  <c r="AH270" i="3"/>
  <c r="E271" i="3"/>
  <c r="F271" i="3"/>
  <c r="G271" i="3"/>
  <c r="H271" i="3"/>
  <c r="I271" i="3"/>
  <c r="J271" i="3"/>
  <c r="K271" i="3"/>
  <c r="L271" i="3"/>
  <c r="M271" i="3"/>
  <c r="N271" i="3"/>
  <c r="O271" i="3"/>
  <c r="P271" i="3"/>
  <c r="Q271" i="3"/>
  <c r="S271" i="3"/>
  <c r="T271" i="3"/>
  <c r="U271" i="3"/>
  <c r="V271" i="3"/>
  <c r="Z271" i="3"/>
  <c r="AA271" i="3"/>
  <c r="AB271" i="3"/>
  <c r="AC271" i="3"/>
  <c r="AD271" i="3"/>
  <c r="AF271" i="3"/>
  <c r="AH271" i="3"/>
  <c r="E273" i="3"/>
  <c r="F273" i="3"/>
  <c r="G273" i="3"/>
  <c r="H273" i="3"/>
  <c r="I273" i="3"/>
  <c r="J273" i="3"/>
  <c r="K273" i="3"/>
  <c r="L273" i="3"/>
  <c r="M273" i="3"/>
  <c r="N273" i="3"/>
  <c r="O273" i="3"/>
  <c r="P273" i="3"/>
  <c r="Q273" i="3"/>
  <c r="S273" i="3"/>
  <c r="T273" i="3"/>
  <c r="U273" i="3"/>
  <c r="V273" i="3"/>
  <c r="Z273" i="3"/>
  <c r="AA273" i="3"/>
  <c r="AB273" i="3"/>
  <c r="AC273" i="3"/>
  <c r="AD273" i="3"/>
  <c r="AF273" i="3"/>
  <c r="AH273" i="3"/>
  <c r="E276" i="3"/>
  <c r="F276" i="3"/>
  <c r="G276" i="3"/>
  <c r="H276" i="3"/>
  <c r="I276" i="3"/>
  <c r="J276" i="3"/>
  <c r="K276" i="3"/>
  <c r="L276" i="3"/>
  <c r="M276" i="3"/>
  <c r="N276" i="3"/>
  <c r="O276" i="3"/>
  <c r="P276" i="3"/>
  <c r="Q276" i="3"/>
  <c r="S276" i="3"/>
  <c r="T276" i="3"/>
  <c r="U276" i="3"/>
  <c r="V276" i="3"/>
  <c r="Z276" i="3"/>
  <c r="AA276" i="3"/>
  <c r="AB276" i="3"/>
  <c r="AC276" i="3"/>
  <c r="AD276" i="3"/>
  <c r="AF276" i="3"/>
  <c r="AH276" i="3"/>
  <c r="E290" i="30"/>
  <c r="F290" i="30"/>
  <c r="G290" i="30"/>
  <c r="H290" i="30"/>
  <c r="I290" i="30"/>
  <c r="J290" i="30"/>
  <c r="K290" i="30"/>
  <c r="L290" i="30"/>
  <c r="M290" i="30"/>
  <c r="N290" i="30"/>
  <c r="O290" i="30"/>
  <c r="P290" i="30"/>
  <c r="Q290" i="30"/>
  <c r="S290" i="30"/>
  <c r="T290" i="30"/>
  <c r="U290" i="30"/>
  <c r="V290" i="30"/>
  <c r="Z290" i="30"/>
  <c r="AA290" i="30"/>
  <c r="AB290" i="30"/>
  <c r="AC290" i="30"/>
  <c r="AD290" i="30"/>
  <c r="AF290" i="30"/>
  <c r="AG290" i="30"/>
  <c r="AH290" i="30"/>
  <c r="E291" i="30"/>
  <c r="F291" i="30"/>
  <c r="G291" i="30"/>
  <c r="H291" i="30"/>
  <c r="I291" i="30"/>
  <c r="J291" i="30"/>
  <c r="K291" i="30"/>
  <c r="L291" i="30"/>
  <c r="M291" i="30"/>
  <c r="N291" i="30"/>
  <c r="O291" i="30"/>
  <c r="P291" i="30"/>
  <c r="Q291" i="30"/>
  <c r="S291" i="30"/>
  <c r="T291" i="30"/>
  <c r="U291" i="30"/>
  <c r="V291" i="30"/>
  <c r="Z291" i="30"/>
  <c r="AA291" i="30"/>
  <c r="AB291" i="30"/>
  <c r="AC291" i="30"/>
  <c r="AD291" i="30"/>
  <c r="AF291" i="30"/>
  <c r="AG291" i="30"/>
  <c r="AH291" i="30"/>
  <c r="E292" i="30"/>
  <c r="F292" i="30"/>
  <c r="G292" i="30"/>
  <c r="H292" i="30"/>
  <c r="I292" i="30"/>
  <c r="J292" i="30"/>
  <c r="K292" i="30"/>
  <c r="L292" i="30"/>
  <c r="M292" i="30"/>
  <c r="N292" i="30"/>
  <c r="O292" i="30"/>
  <c r="P292" i="30"/>
  <c r="Q292" i="30"/>
  <c r="S292" i="30"/>
  <c r="T292" i="30"/>
  <c r="U292" i="30"/>
  <c r="V292" i="30"/>
  <c r="Z292" i="30"/>
  <c r="AA292" i="30"/>
  <c r="AA293" i="30"/>
  <c r="AA294" i="30"/>
  <c r="AA295" i="30"/>
  <c r="AA297" i="30"/>
  <c r="AA300" i="30"/>
  <c r="D63" i="30"/>
  <c r="AB292" i="30"/>
  <c r="AC292" i="30"/>
  <c r="AD292" i="30"/>
  <c r="AF292" i="30"/>
  <c r="AG292" i="30"/>
  <c r="AH292" i="30"/>
  <c r="E293" i="30"/>
  <c r="F293" i="30"/>
  <c r="G293" i="30"/>
  <c r="H293" i="30"/>
  <c r="I293" i="30"/>
  <c r="J293" i="30"/>
  <c r="K293" i="30"/>
  <c r="L293" i="30"/>
  <c r="M293" i="30"/>
  <c r="N293" i="30"/>
  <c r="O293" i="30"/>
  <c r="P293" i="30"/>
  <c r="Q293" i="30"/>
  <c r="S293" i="30"/>
  <c r="T293" i="30"/>
  <c r="U293" i="30"/>
  <c r="V293" i="30"/>
  <c r="Z293" i="30"/>
  <c r="AB293" i="30"/>
  <c r="AC293" i="30"/>
  <c r="AD293" i="30"/>
  <c r="AF293" i="30"/>
  <c r="AG293" i="30"/>
  <c r="AH293" i="30"/>
  <c r="E294" i="30"/>
  <c r="F294" i="30"/>
  <c r="G294" i="30"/>
  <c r="H294" i="30"/>
  <c r="I294" i="30"/>
  <c r="J294" i="30"/>
  <c r="K294" i="30"/>
  <c r="L294" i="30"/>
  <c r="M294" i="30"/>
  <c r="N294" i="30"/>
  <c r="O294" i="30"/>
  <c r="P294" i="30"/>
  <c r="Q294" i="30"/>
  <c r="S294" i="30"/>
  <c r="T294" i="30"/>
  <c r="U294" i="30"/>
  <c r="V294" i="30"/>
  <c r="Z294" i="30"/>
  <c r="AB294" i="30"/>
  <c r="AC294" i="30"/>
  <c r="AD294" i="30"/>
  <c r="AF294" i="30"/>
  <c r="AG294" i="30"/>
  <c r="AH294" i="30"/>
  <c r="E295" i="30"/>
  <c r="F295" i="30"/>
  <c r="G295" i="30"/>
  <c r="H295" i="30"/>
  <c r="I295" i="30"/>
  <c r="J295" i="30"/>
  <c r="K295" i="30"/>
  <c r="L295" i="30"/>
  <c r="M295" i="30"/>
  <c r="N295" i="30"/>
  <c r="O295" i="30"/>
  <c r="P295" i="30"/>
  <c r="Q295" i="30"/>
  <c r="S295" i="30"/>
  <c r="T295" i="30"/>
  <c r="U295" i="30"/>
  <c r="V295" i="30"/>
  <c r="Z295" i="30"/>
  <c r="AB295" i="30"/>
  <c r="AC295" i="30"/>
  <c r="AD295" i="30"/>
  <c r="AF295" i="30"/>
  <c r="AG295" i="30"/>
  <c r="AH295" i="30"/>
  <c r="E297" i="30"/>
  <c r="F297" i="30"/>
  <c r="G297" i="30"/>
  <c r="H297" i="30"/>
  <c r="I297" i="30"/>
  <c r="J297" i="30"/>
  <c r="K297" i="30"/>
  <c r="L297" i="30"/>
  <c r="M297" i="30"/>
  <c r="N297" i="30"/>
  <c r="O297" i="30"/>
  <c r="P297" i="30"/>
  <c r="Q297" i="30"/>
  <c r="S297" i="30"/>
  <c r="T297" i="30"/>
  <c r="U297" i="30"/>
  <c r="V297" i="30"/>
  <c r="Z297" i="30"/>
  <c r="AB297" i="30"/>
  <c r="AC297" i="30"/>
  <c r="AD297" i="30"/>
  <c r="AF297" i="30"/>
  <c r="AG297" i="30"/>
  <c r="AH297" i="30"/>
  <c r="E300" i="30"/>
  <c r="F300" i="30"/>
  <c r="G300" i="30"/>
  <c r="H300" i="30"/>
  <c r="I300" i="30"/>
  <c r="J300" i="30"/>
  <c r="K300" i="30"/>
  <c r="L300" i="30"/>
  <c r="M300" i="30"/>
  <c r="N300" i="30"/>
  <c r="O300" i="30"/>
  <c r="P300" i="30"/>
  <c r="Q300" i="30"/>
  <c r="S300" i="30"/>
  <c r="T300" i="30"/>
  <c r="U300" i="30"/>
  <c r="V300" i="30"/>
  <c r="Z300" i="30"/>
  <c r="AB300" i="30"/>
  <c r="AC300" i="30"/>
  <c r="AD300" i="30"/>
  <c r="AF300" i="30"/>
  <c r="AG300" i="30"/>
  <c r="AH300" i="30"/>
  <c r="E290" i="31"/>
  <c r="E291" i="31"/>
  <c r="E292" i="31"/>
  <c r="E293" i="31"/>
  <c r="E294" i="31"/>
  <c r="E295" i="31"/>
  <c r="E297" i="31"/>
  <c r="E300" i="31"/>
  <c r="D63" i="31"/>
  <c r="C63" i="31"/>
  <c r="F290" i="31"/>
  <c r="G290" i="31"/>
  <c r="H290" i="31"/>
  <c r="I290" i="31"/>
  <c r="J290" i="31"/>
  <c r="K290" i="31"/>
  <c r="L290" i="31"/>
  <c r="M290" i="31"/>
  <c r="N290" i="31"/>
  <c r="O290" i="31"/>
  <c r="P290" i="31"/>
  <c r="Q290" i="31"/>
  <c r="S290" i="31"/>
  <c r="T290" i="31"/>
  <c r="U290" i="31"/>
  <c r="V290" i="31"/>
  <c r="Z290" i="31"/>
  <c r="AA290" i="31"/>
  <c r="AB290" i="31"/>
  <c r="AC290" i="31"/>
  <c r="AD290" i="31"/>
  <c r="AF290" i="31"/>
  <c r="AG290" i="31"/>
  <c r="AH290" i="31"/>
  <c r="F291" i="31"/>
  <c r="G291" i="31"/>
  <c r="H291" i="31"/>
  <c r="I291" i="31"/>
  <c r="J291" i="31"/>
  <c r="K291" i="31"/>
  <c r="L291" i="31"/>
  <c r="M291" i="31"/>
  <c r="N291" i="31"/>
  <c r="O291" i="31"/>
  <c r="P291" i="31"/>
  <c r="Q291" i="31"/>
  <c r="S291" i="31"/>
  <c r="T291" i="31"/>
  <c r="U291" i="31"/>
  <c r="V291" i="31"/>
  <c r="Z291" i="31"/>
  <c r="AA291" i="31"/>
  <c r="AB291" i="31"/>
  <c r="AC291" i="31"/>
  <c r="AD291" i="31"/>
  <c r="AF291" i="31"/>
  <c r="AG291" i="31"/>
  <c r="AG292" i="31"/>
  <c r="AG293" i="31"/>
  <c r="AG294" i="31"/>
  <c r="AG295" i="31"/>
  <c r="AG297" i="31"/>
  <c r="AG300" i="31"/>
  <c r="AH291" i="31"/>
  <c r="F292" i="31"/>
  <c r="G292" i="31"/>
  <c r="H292" i="31"/>
  <c r="I292" i="31"/>
  <c r="J292" i="31"/>
  <c r="K292" i="31"/>
  <c r="L292" i="31"/>
  <c r="M292" i="31"/>
  <c r="N292" i="31"/>
  <c r="O292" i="31"/>
  <c r="P292" i="31"/>
  <c r="Q292" i="31"/>
  <c r="S292" i="31"/>
  <c r="T292" i="31"/>
  <c r="U292" i="31"/>
  <c r="V292" i="31"/>
  <c r="Z292" i="31"/>
  <c r="AA292" i="31"/>
  <c r="AB292" i="31"/>
  <c r="AC292" i="31"/>
  <c r="AD292" i="31"/>
  <c r="AF292" i="31"/>
  <c r="AH292" i="31"/>
  <c r="F293" i="31"/>
  <c r="G293" i="31"/>
  <c r="H293" i="31"/>
  <c r="I293" i="31"/>
  <c r="J293" i="31"/>
  <c r="K293" i="31"/>
  <c r="L293" i="31"/>
  <c r="M293" i="31"/>
  <c r="N293" i="31"/>
  <c r="O293" i="31"/>
  <c r="P293" i="31"/>
  <c r="Q293" i="31"/>
  <c r="S293" i="31"/>
  <c r="T293" i="31"/>
  <c r="U293" i="31"/>
  <c r="V293" i="31"/>
  <c r="Z293" i="31"/>
  <c r="AA293" i="31"/>
  <c r="AB293" i="31"/>
  <c r="AC293" i="31"/>
  <c r="AD293" i="31"/>
  <c r="AD294" i="31"/>
  <c r="AD295" i="31"/>
  <c r="AD297" i="31"/>
  <c r="AD300" i="31"/>
  <c r="AF293" i="31"/>
  <c r="AH293" i="31"/>
  <c r="F294" i="31"/>
  <c r="G294" i="31"/>
  <c r="H294" i="31"/>
  <c r="I294" i="31"/>
  <c r="J294" i="31"/>
  <c r="K294" i="31"/>
  <c r="L294" i="31"/>
  <c r="M294" i="31"/>
  <c r="N294" i="31"/>
  <c r="O294" i="31"/>
  <c r="P294" i="31"/>
  <c r="Q294" i="31"/>
  <c r="S294" i="31"/>
  <c r="T294" i="31"/>
  <c r="U294" i="31"/>
  <c r="V294" i="31"/>
  <c r="Z294" i="31"/>
  <c r="AA294" i="31"/>
  <c r="AB294" i="31"/>
  <c r="AC294" i="31"/>
  <c r="AF294" i="31"/>
  <c r="AH294" i="31"/>
  <c r="F295" i="31"/>
  <c r="G295" i="31"/>
  <c r="H295" i="31"/>
  <c r="I295" i="31"/>
  <c r="J295" i="31"/>
  <c r="K295" i="31"/>
  <c r="L295" i="31"/>
  <c r="M295" i="31"/>
  <c r="N295" i="31"/>
  <c r="O295" i="31"/>
  <c r="P295" i="31"/>
  <c r="Q295" i="31"/>
  <c r="S295" i="31"/>
  <c r="T295" i="31"/>
  <c r="U295" i="31"/>
  <c r="V295" i="31"/>
  <c r="Z295" i="31"/>
  <c r="AA295" i="31"/>
  <c r="AB295" i="31"/>
  <c r="AC295" i="31"/>
  <c r="AF295" i="31"/>
  <c r="AH295" i="31"/>
  <c r="F297" i="31"/>
  <c r="G297" i="31"/>
  <c r="H297" i="31"/>
  <c r="I297" i="31"/>
  <c r="J297" i="31"/>
  <c r="K297" i="31"/>
  <c r="L297" i="31"/>
  <c r="M297" i="31"/>
  <c r="N297" i="31"/>
  <c r="O297" i="31"/>
  <c r="P297" i="31"/>
  <c r="Q297" i="31"/>
  <c r="S297" i="31"/>
  <c r="T297" i="31"/>
  <c r="U297" i="31"/>
  <c r="V297" i="31"/>
  <c r="Z297" i="31"/>
  <c r="AA297" i="31"/>
  <c r="AB297" i="31"/>
  <c r="AC297" i="31"/>
  <c r="AF297" i="31"/>
  <c r="AH297" i="31"/>
  <c r="F300" i="31"/>
  <c r="G300" i="31"/>
  <c r="H300" i="31"/>
  <c r="I300" i="31"/>
  <c r="J300" i="31"/>
  <c r="K300" i="31"/>
  <c r="L300" i="31"/>
  <c r="M300" i="31"/>
  <c r="N300" i="31"/>
  <c r="O300" i="31"/>
  <c r="P300" i="31"/>
  <c r="Q300" i="31"/>
  <c r="S300" i="31"/>
  <c r="T300" i="31"/>
  <c r="U300" i="31"/>
  <c r="V300" i="31"/>
  <c r="Z300" i="31"/>
  <c r="AA300" i="31"/>
  <c r="AB300" i="31"/>
  <c r="AC300" i="31"/>
  <c r="AF300" i="31"/>
  <c r="AH300" i="31"/>
  <c r="E290" i="32"/>
  <c r="F290" i="32"/>
  <c r="G290" i="32"/>
  <c r="H290" i="32"/>
  <c r="I290" i="32"/>
  <c r="J290" i="32"/>
  <c r="K290" i="32"/>
  <c r="L290" i="32"/>
  <c r="M290" i="32"/>
  <c r="N290" i="32"/>
  <c r="O290" i="32"/>
  <c r="P290" i="32"/>
  <c r="Q290" i="32"/>
  <c r="S290" i="32"/>
  <c r="T290" i="32"/>
  <c r="U290" i="32"/>
  <c r="V290" i="32"/>
  <c r="Z290" i="32"/>
  <c r="AA290" i="32"/>
  <c r="AB290" i="32"/>
  <c r="AC290" i="32"/>
  <c r="AD290" i="32"/>
  <c r="AF290" i="32"/>
  <c r="AG290" i="32"/>
  <c r="AH290" i="32"/>
  <c r="E291" i="32"/>
  <c r="F291" i="32"/>
  <c r="G291" i="32"/>
  <c r="H291" i="32"/>
  <c r="I291" i="32"/>
  <c r="J291" i="32"/>
  <c r="K291" i="32"/>
  <c r="L291" i="32"/>
  <c r="M291" i="32"/>
  <c r="N291" i="32"/>
  <c r="O291" i="32"/>
  <c r="P291" i="32"/>
  <c r="Q291" i="32"/>
  <c r="S291" i="32"/>
  <c r="T291" i="32"/>
  <c r="U291" i="32"/>
  <c r="V291" i="32"/>
  <c r="Z291" i="32"/>
  <c r="AA291" i="32"/>
  <c r="AB291" i="32"/>
  <c r="AC291" i="32"/>
  <c r="AD291" i="32"/>
  <c r="AF291" i="32"/>
  <c r="AG291" i="32"/>
  <c r="AH291" i="32"/>
  <c r="E292" i="32"/>
  <c r="F292" i="32"/>
  <c r="G292" i="32"/>
  <c r="H292" i="32"/>
  <c r="I292" i="32"/>
  <c r="J292" i="32"/>
  <c r="K292" i="32"/>
  <c r="L292" i="32"/>
  <c r="M292" i="32"/>
  <c r="N292" i="32"/>
  <c r="O292" i="32"/>
  <c r="P292" i="32"/>
  <c r="Q292" i="32"/>
  <c r="S292" i="32"/>
  <c r="T292" i="32"/>
  <c r="U292" i="32"/>
  <c r="V292" i="32"/>
  <c r="Z292" i="32"/>
  <c r="AA292" i="32"/>
  <c r="AB292" i="32"/>
  <c r="AC292" i="32"/>
  <c r="AD292" i="32"/>
  <c r="AF292" i="32"/>
  <c r="AG292" i="32"/>
  <c r="AH292" i="32"/>
  <c r="E293" i="32"/>
  <c r="F293" i="32"/>
  <c r="G293" i="32"/>
  <c r="H293" i="32"/>
  <c r="I293" i="32"/>
  <c r="J293" i="32"/>
  <c r="K293" i="32"/>
  <c r="L293" i="32"/>
  <c r="M293" i="32"/>
  <c r="N293" i="32"/>
  <c r="O293" i="32"/>
  <c r="P293" i="32"/>
  <c r="Q293" i="32"/>
  <c r="S293" i="32"/>
  <c r="T293" i="32"/>
  <c r="U293" i="32"/>
  <c r="V293" i="32"/>
  <c r="Z293" i="32"/>
  <c r="AA293" i="32"/>
  <c r="AB293" i="32"/>
  <c r="AC293" i="32"/>
  <c r="AD293" i="32"/>
  <c r="AF293" i="32"/>
  <c r="AG293" i="32"/>
  <c r="AH293" i="32"/>
  <c r="E294" i="32"/>
  <c r="F294" i="32"/>
  <c r="G294" i="32"/>
  <c r="H294" i="32"/>
  <c r="I294" i="32"/>
  <c r="J294" i="32"/>
  <c r="K294" i="32"/>
  <c r="L294" i="32"/>
  <c r="M294" i="32"/>
  <c r="N294" i="32"/>
  <c r="O294" i="32"/>
  <c r="P294" i="32"/>
  <c r="Q294" i="32"/>
  <c r="S294" i="32"/>
  <c r="T294" i="32"/>
  <c r="U294" i="32"/>
  <c r="V294" i="32"/>
  <c r="Z294" i="32"/>
  <c r="AA294" i="32"/>
  <c r="AB294" i="32"/>
  <c r="AC294" i="32"/>
  <c r="AD294" i="32"/>
  <c r="AF294" i="32"/>
  <c r="AG294" i="32"/>
  <c r="AH294" i="32"/>
  <c r="E295" i="32"/>
  <c r="F295" i="32"/>
  <c r="G295" i="32"/>
  <c r="H295" i="32"/>
  <c r="I295" i="32"/>
  <c r="J295" i="32"/>
  <c r="K295" i="32"/>
  <c r="L295" i="32"/>
  <c r="M295" i="32"/>
  <c r="N295" i="32"/>
  <c r="O295" i="32"/>
  <c r="P295" i="32"/>
  <c r="Q295" i="32"/>
  <c r="S295" i="32"/>
  <c r="T295" i="32"/>
  <c r="U295" i="32"/>
  <c r="V295" i="32"/>
  <c r="Z295" i="32"/>
  <c r="AA295" i="32"/>
  <c r="AB295" i="32"/>
  <c r="AC295" i="32"/>
  <c r="AD295" i="32"/>
  <c r="AF295" i="32"/>
  <c r="AG295" i="32"/>
  <c r="AH295" i="32"/>
  <c r="E297" i="32"/>
  <c r="F297" i="32"/>
  <c r="G297" i="32"/>
  <c r="H297" i="32"/>
  <c r="I297" i="32"/>
  <c r="J297" i="32"/>
  <c r="K297" i="32"/>
  <c r="L297" i="32"/>
  <c r="M297" i="32"/>
  <c r="N297" i="32"/>
  <c r="O297" i="32"/>
  <c r="P297" i="32"/>
  <c r="Q297" i="32"/>
  <c r="S297" i="32"/>
  <c r="T297" i="32"/>
  <c r="U297" i="32"/>
  <c r="V297" i="32"/>
  <c r="Z297" i="32"/>
  <c r="AA297" i="32"/>
  <c r="AB297" i="32"/>
  <c r="AC297" i="32"/>
  <c r="AD297" i="32"/>
  <c r="AF297" i="32"/>
  <c r="AG297" i="32"/>
  <c r="AH297" i="32"/>
  <c r="E300" i="32"/>
  <c r="F300" i="32"/>
  <c r="G300" i="32"/>
  <c r="H300" i="32"/>
  <c r="I300" i="32"/>
  <c r="J300" i="32"/>
  <c r="K300" i="32"/>
  <c r="L300" i="32"/>
  <c r="M300" i="32"/>
  <c r="N300" i="32"/>
  <c r="O300" i="32"/>
  <c r="P300" i="32"/>
  <c r="Q300" i="32"/>
  <c r="S300" i="32"/>
  <c r="T300" i="32"/>
  <c r="U300" i="32"/>
  <c r="V300" i="32"/>
  <c r="Z300" i="32"/>
  <c r="AA300" i="32"/>
  <c r="AB300" i="32"/>
  <c r="AC300" i="32"/>
  <c r="AD300" i="32"/>
  <c r="AF300" i="32"/>
  <c r="AG300" i="32"/>
  <c r="AH300" i="32"/>
  <c r="E290" i="33"/>
  <c r="F290" i="33"/>
  <c r="G290" i="33"/>
  <c r="H290" i="33"/>
  <c r="I290" i="33"/>
  <c r="J290" i="33"/>
  <c r="K290" i="33"/>
  <c r="L290" i="33"/>
  <c r="M290" i="33"/>
  <c r="N290" i="33"/>
  <c r="O290" i="33"/>
  <c r="P290" i="33"/>
  <c r="Q290" i="33"/>
  <c r="S290" i="33"/>
  <c r="T290" i="33"/>
  <c r="U290" i="33"/>
  <c r="V290" i="33"/>
  <c r="Z290" i="33"/>
  <c r="AA290" i="33"/>
  <c r="AB290" i="33"/>
  <c r="AC290" i="33"/>
  <c r="AD290" i="33"/>
  <c r="AF290" i="33"/>
  <c r="AG290" i="33"/>
  <c r="AH290" i="33"/>
  <c r="E291" i="33"/>
  <c r="F291" i="33"/>
  <c r="G291" i="33"/>
  <c r="H291" i="33"/>
  <c r="I291" i="33"/>
  <c r="J291" i="33"/>
  <c r="K291" i="33"/>
  <c r="L291" i="33"/>
  <c r="L292" i="33"/>
  <c r="L293" i="33"/>
  <c r="L294" i="33"/>
  <c r="L295" i="33"/>
  <c r="L297" i="33"/>
  <c r="L300" i="33"/>
  <c r="D63" i="33"/>
  <c r="M291" i="33"/>
  <c r="N291" i="33"/>
  <c r="O291" i="33"/>
  <c r="P291" i="33"/>
  <c r="Q291" i="33"/>
  <c r="S291" i="33"/>
  <c r="T291" i="33"/>
  <c r="U291" i="33"/>
  <c r="V291" i="33"/>
  <c r="Z291" i="33"/>
  <c r="AA291" i="33"/>
  <c r="AB291" i="33"/>
  <c r="AC291" i="33"/>
  <c r="AD291" i="33"/>
  <c r="AF291" i="33"/>
  <c r="AG291" i="33"/>
  <c r="AG292" i="33"/>
  <c r="AG293" i="33"/>
  <c r="AG294" i="33"/>
  <c r="AG295" i="33"/>
  <c r="AG297" i="33"/>
  <c r="AG300" i="33"/>
  <c r="AH291" i="33"/>
  <c r="E292" i="33"/>
  <c r="F292" i="33"/>
  <c r="G292" i="33"/>
  <c r="H292" i="33"/>
  <c r="I292" i="33"/>
  <c r="J292" i="33"/>
  <c r="K292" i="33"/>
  <c r="M292" i="33"/>
  <c r="N292" i="33"/>
  <c r="O292" i="33"/>
  <c r="P292" i="33"/>
  <c r="Q292" i="33"/>
  <c r="S292" i="33"/>
  <c r="T292" i="33"/>
  <c r="U292" i="33"/>
  <c r="V292" i="33"/>
  <c r="Z292" i="33"/>
  <c r="AA292" i="33"/>
  <c r="AB292" i="33"/>
  <c r="AC292" i="33"/>
  <c r="AD292" i="33"/>
  <c r="AF292" i="33"/>
  <c r="AH292" i="33"/>
  <c r="E293" i="33"/>
  <c r="F293" i="33"/>
  <c r="G293" i="33"/>
  <c r="H293" i="33"/>
  <c r="I293" i="33"/>
  <c r="J293" i="33"/>
  <c r="K293" i="33"/>
  <c r="M293" i="33"/>
  <c r="N293" i="33"/>
  <c r="O293" i="33"/>
  <c r="P293" i="33"/>
  <c r="Q293" i="33"/>
  <c r="S293" i="33"/>
  <c r="T293" i="33"/>
  <c r="U293" i="33"/>
  <c r="V293" i="33"/>
  <c r="Z293" i="33"/>
  <c r="AA293" i="33"/>
  <c r="AB293" i="33"/>
  <c r="AC293" i="33"/>
  <c r="AD293" i="33"/>
  <c r="AF293" i="33"/>
  <c r="AH293" i="33"/>
  <c r="E294" i="33"/>
  <c r="F294" i="33"/>
  <c r="G294" i="33"/>
  <c r="H294" i="33"/>
  <c r="I294" i="33"/>
  <c r="J294" i="33"/>
  <c r="K294" i="33"/>
  <c r="M294" i="33"/>
  <c r="N294" i="33"/>
  <c r="O294" i="33"/>
  <c r="P294" i="33"/>
  <c r="Q294" i="33"/>
  <c r="S294" i="33"/>
  <c r="T294" i="33"/>
  <c r="U294" i="33"/>
  <c r="V294" i="33"/>
  <c r="Z294" i="33"/>
  <c r="AA294" i="33"/>
  <c r="AB294" i="33"/>
  <c r="AC294" i="33"/>
  <c r="AD294" i="33"/>
  <c r="AF294" i="33"/>
  <c r="AH294" i="33"/>
  <c r="E295" i="33"/>
  <c r="F295" i="33"/>
  <c r="G295" i="33"/>
  <c r="H295" i="33"/>
  <c r="I295" i="33"/>
  <c r="J295" i="33"/>
  <c r="K295" i="33"/>
  <c r="M295" i="33"/>
  <c r="N295" i="33"/>
  <c r="O295" i="33"/>
  <c r="P295" i="33"/>
  <c r="Q295" i="33"/>
  <c r="S295" i="33"/>
  <c r="T295" i="33"/>
  <c r="U295" i="33"/>
  <c r="V295" i="33"/>
  <c r="Z295" i="33"/>
  <c r="AA295" i="33"/>
  <c r="AB295" i="33"/>
  <c r="AC295" i="33"/>
  <c r="AD295" i="33"/>
  <c r="AF295" i="33"/>
  <c r="AH295" i="33"/>
  <c r="E297" i="33"/>
  <c r="F297" i="33"/>
  <c r="G297" i="33"/>
  <c r="H297" i="33"/>
  <c r="I297" i="33"/>
  <c r="J297" i="33"/>
  <c r="K297" i="33"/>
  <c r="M297" i="33"/>
  <c r="N297" i="33"/>
  <c r="O297" i="33"/>
  <c r="P297" i="33"/>
  <c r="Q297" i="33"/>
  <c r="S297" i="33"/>
  <c r="T297" i="33"/>
  <c r="U297" i="33"/>
  <c r="V297" i="33"/>
  <c r="Z297" i="33"/>
  <c r="AA297" i="33"/>
  <c r="AB297" i="33"/>
  <c r="AC297" i="33"/>
  <c r="AD297" i="33"/>
  <c r="AF297" i="33"/>
  <c r="AH297" i="33"/>
  <c r="E300" i="33"/>
  <c r="F300" i="33"/>
  <c r="G300" i="33"/>
  <c r="H300" i="33"/>
  <c r="I300" i="33"/>
  <c r="J300" i="33"/>
  <c r="K300" i="33"/>
  <c r="M300" i="33"/>
  <c r="N300" i="33"/>
  <c r="O300" i="33"/>
  <c r="P300" i="33"/>
  <c r="Q300" i="33"/>
  <c r="S300" i="33"/>
  <c r="T300" i="33"/>
  <c r="U300" i="33"/>
  <c r="V300" i="33"/>
  <c r="Z300" i="33"/>
  <c r="AA300" i="33"/>
  <c r="AB300" i="33"/>
  <c r="AC300" i="33"/>
  <c r="AD300" i="33"/>
  <c r="AF300" i="33"/>
  <c r="AH300" i="33"/>
  <c r="E290" i="3"/>
  <c r="F290" i="3"/>
  <c r="G290" i="3"/>
  <c r="H290" i="3"/>
  <c r="I290" i="3"/>
  <c r="J290" i="3"/>
  <c r="K290" i="3"/>
  <c r="L290" i="3"/>
  <c r="M290" i="3"/>
  <c r="N290" i="3"/>
  <c r="O290" i="3"/>
  <c r="P290" i="3"/>
  <c r="Q290" i="3"/>
  <c r="S290" i="3"/>
  <c r="T290" i="3"/>
  <c r="U290" i="3"/>
  <c r="V290" i="3"/>
  <c r="Z290" i="3"/>
  <c r="AA290" i="3"/>
  <c r="AB290" i="3"/>
  <c r="AC290" i="3"/>
  <c r="AD290" i="3"/>
  <c r="AF290" i="3"/>
  <c r="AG290" i="3"/>
  <c r="AH290" i="3"/>
  <c r="E291" i="3"/>
  <c r="F291" i="3"/>
  <c r="G291" i="3"/>
  <c r="H291" i="3"/>
  <c r="I291" i="3"/>
  <c r="J291" i="3"/>
  <c r="K291" i="3"/>
  <c r="L291" i="3"/>
  <c r="M291" i="3"/>
  <c r="N291" i="3"/>
  <c r="O291" i="3"/>
  <c r="P291" i="3"/>
  <c r="Q291" i="3"/>
  <c r="S291" i="3"/>
  <c r="T291" i="3"/>
  <c r="U291" i="3"/>
  <c r="V291" i="3"/>
  <c r="Z291" i="3"/>
  <c r="AA291" i="3"/>
  <c r="AB291" i="3"/>
  <c r="AC291" i="3"/>
  <c r="AD291" i="3"/>
  <c r="AF291" i="3"/>
  <c r="AG291" i="3"/>
  <c r="AH291" i="3"/>
  <c r="E292" i="3"/>
  <c r="F292" i="3"/>
  <c r="G292" i="3"/>
  <c r="H292" i="3"/>
  <c r="I292" i="3"/>
  <c r="J292" i="3"/>
  <c r="K292" i="3"/>
  <c r="L292" i="3"/>
  <c r="M292" i="3"/>
  <c r="N292" i="3"/>
  <c r="O292" i="3"/>
  <c r="P292" i="3"/>
  <c r="Q292" i="3"/>
  <c r="S292" i="3"/>
  <c r="T292" i="3"/>
  <c r="U292" i="3"/>
  <c r="V292" i="3"/>
  <c r="Z292" i="3"/>
  <c r="AA292" i="3"/>
  <c r="AB292" i="3"/>
  <c r="AC292" i="3"/>
  <c r="AD292" i="3"/>
  <c r="AF292" i="3"/>
  <c r="AG292" i="3"/>
  <c r="AH292" i="3"/>
  <c r="E293" i="3"/>
  <c r="F293" i="3"/>
  <c r="G293" i="3"/>
  <c r="H293" i="3"/>
  <c r="I293" i="3"/>
  <c r="J293" i="3"/>
  <c r="K293" i="3"/>
  <c r="L293" i="3"/>
  <c r="M293" i="3"/>
  <c r="N293" i="3"/>
  <c r="O293" i="3"/>
  <c r="P293" i="3"/>
  <c r="Q293" i="3"/>
  <c r="S293" i="3"/>
  <c r="T293" i="3"/>
  <c r="U293" i="3"/>
  <c r="V293" i="3"/>
  <c r="Z293" i="3"/>
  <c r="AA293" i="3"/>
  <c r="AB293" i="3"/>
  <c r="AC293" i="3"/>
  <c r="AD293" i="3"/>
  <c r="AF293" i="3"/>
  <c r="AG293" i="3"/>
  <c r="AH293" i="3"/>
  <c r="E294" i="3"/>
  <c r="F294" i="3"/>
  <c r="G294" i="3"/>
  <c r="H294" i="3"/>
  <c r="I294" i="3"/>
  <c r="J294" i="3"/>
  <c r="K294" i="3"/>
  <c r="L294" i="3"/>
  <c r="M294" i="3"/>
  <c r="N294" i="3"/>
  <c r="O294" i="3"/>
  <c r="P294" i="3"/>
  <c r="Q294" i="3"/>
  <c r="S294" i="3"/>
  <c r="T294" i="3"/>
  <c r="U294" i="3"/>
  <c r="V294" i="3"/>
  <c r="Z294" i="3"/>
  <c r="AA294" i="3"/>
  <c r="AB294" i="3"/>
  <c r="AC294" i="3"/>
  <c r="AD294" i="3"/>
  <c r="AF294" i="3"/>
  <c r="AG294" i="3"/>
  <c r="AH294" i="3"/>
  <c r="E295" i="3"/>
  <c r="F295" i="3"/>
  <c r="G295" i="3"/>
  <c r="H295" i="3"/>
  <c r="I295" i="3"/>
  <c r="J295" i="3"/>
  <c r="K295" i="3"/>
  <c r="L295" i="3"/>
  <c r="M295" i="3"/>
  <c r="N295" i="3"/>
  <c r="O295" i="3"/>
  <c r="P295" i="3"/>
  <c r="Q295" i="3"/>
  <c r="S295" i="3"/>
  <c r="T295" i="3"/>
  <c r="U295" i="3"/>
  <c r="V295" i="3"/>
  <c r="Z295" i="3"/>
  <c r="AA295" i="3"/>
  <c r="AB295" i="3"/>
  <c r="AC295" i="3"/>
  <c r="AD295" i="3"/>
  <c r="AF295" i="3"/>
  <c r="AG295" i="3"/>
  <c r="AH295" i="3"/>
  <c r="E297" i="3"/>
  <c r="F297" i="3"/>
  <c r="G297" i="3"/>
  <c r="H297" i="3"/>
  <c r="I297" i="3"/>
  <c r="J297" i="3"/>
  <c r="K297" i="3"/>
  <c r="L297" i="3"/>
  <c r="M297" i="3"/>
  <c r="N297" i="3"/>
  <c r="O297" i="3"/>
  <c r="P297" i="3"/>
  <c r="Q297" i="3"/>
  <c r="S297" i="3"/>
  <c r="T297" i="3"/>
  <c r="U297" i="3"/>
  <c r="V297" i="3"/>
  <c r="Z297" i="3"/>
  <c r="AA297" i="3"/>
  <c r="AB297" i="3"/>
  <c r="AC297" i="3"/>
  <c r="AD297" i="3"/>
  <c r="AF297" i="3"/>
  <c r="AG297" i="3"/>
  <c r="AH297" i="3"/>
  <c r="E300" i="3"/>
  <c r="F300" i="3"/>
  <c r="G300" i="3"/>
  <c r="H300" i="3"/>
  <c r="I300" i="3"/>
  <c r="J300" i="3"/>
  <c r="K300" i="3"/>
  <c r="L300" i="3"/>
  <c r="M300" i="3"/>
  <c r="N300" i="3"/>
  <c r="O300" i="3"/>
  <c r="P300" i="3"/>
  <c r="Q300" i="3"/>
  <c r="S300" i="3"/>
  <c r="T300" i="3"/>
  <c r="U300" i="3"/>
  <c r="V300" i="3"/>
  <c r="Z300" i="3"/>
  <c r="AA300" i="3"/>
  <c r="AB300" i="3"/>
  <c r="AC300" i="3"/>
  <c r="AD300" i="3"/>
  <c r="AF300" i="3"/>
  <c r="AG300" i="3"/>
  <c r="AH300" i="3"/>
  <c r="E314" i="30"/>
  <c r="F314" i="30"/>
  <c r="G314" i="30"/>
  <c r="H314" i="30"/>
  <c r="I314" i="30"/>
  <c r="J314" i="30"/>
  <c r="K314" i="30"/>
  <c r="L314" i="30"/>
  <c r="M314" i="30"/>
  <c r="N314" i="30"/>
  <c r="O314" i="30"/>
  <c r="P314" i="30"/>
  <c r="Q314" i="30"/>
  <c r="S314" i="30"/>
  <c r="T314" i="30"/>
  <c r="U314" i="30"/>
  <c r="V314" i="30"/>
  <c r="Z314" i="30"/>
  <c r="AA314" i="30"/>
  <c r="AB314" i="30"/>
  <c r="AC314" i="30"/>
  <c r="AD314" i="30"/>
  <c r="AF314" i="30"/>
  <c r="AG314" i="30"/>
  <c r="AH314" i="30"/>
  <c r="E315" i="30"/>
  <c r="F315" i="30"/>
  <c r="G315" i="30"/>
  <c r="H315" i="30"/>
  <c r="I315" i="30"/>
  <c r="J315" i="30"/>
  <c r="K315" i="30"/>
  <c r="L315" i="30"/>
  <c r="M315" i="30"/>
  <c r="N315" i="30"/>
  <c r="O315" i="30"/>
  <c r="P315" i="30"/>
  <c r="Q315" i="30"/>
  <c r="S315" i="30"/>
  <c r="T315" i="30"/>
  <c r="U315" i="30"/>
  <c r="V315" i="30"/>
  <c r="Z315" i="30"/>
  <c r="AA315" i="30"/>
  <c r="AB315" i="30"/>
  <c r="AC315" i="30"/>
  <c r="AD315" i="30"/>
  <c r="AF315" i="30"/>
  <c r="AG315" i="30"/>
  <c r="AH315" i="30"/>
  <c r="E316" i="30"/>
  <c r="F316" i="30"/>
  <c r="G316" i="30"/>
  <c r="H316" i="30"/>
  <c r="I316" i="30"/>
  <c r="J316" i="30"/>
  <c r="K316" i="30"/>
  <c r="L316" i="30"/>
  <c r="M316" i="30"/>
  <c r="N316" i="30"/>
  <c r="O316" i="30"/>
  <c r="P316" i="30"/>
  <c r="Q316" i="30"/>
  <c r="S316" i="30"/>
  <c r="T316" i="30"/>
  <c r="U316" i="30"/>
  <c r="V316" i="30"/>
  <c r="Z316" i="30"/>
  <c r="AA316" i="30"/>
  <c r="AB316" i="30"/>
  <c r="AC316" i="30"/>
  <c r="AD316" i="30"/>
  <c r="AF316" i="30"/>
  <c r="AG316" i="30"/>
  <c r="AH316" i="30"/>
  <c r="E317" i="30"/>
  <c r="F317" i="30"/>
  <c r="G317" i="30"/>
  <c r="H317" i="30"/>
  <c r="I317" i="30"/>
  <c r="J317" i="30"/>
  <c r="K317" i="30"/>
  <c r="L317" i="30"/>
  <c r="M317" i="30"/>
  <c r="N317" i="30"/>
  <c r="O317" i="30"/>
  <c r="P317" i="30"/>
  <c r="Q317" i="30"/>
  <c r="S317" i="30"/>
  <c r="T317" i="30"/>
  <c r="U317" i="30"/>
  <c r="V317" i="30"/>
  <c r="Z317" i="30"/>
  <c r="AA317" i="30"/>
  <c r="AB317" i="30"/>
  <c r="AC317" i="30"/>
  <c r="AD317" i="30"/>
  <c r="AF317" i="30"/>
  <c r="AG317" i="30"/>
  <c r="AH317" i="30"/>
  <c r="E318" i="30"/>
  <c r="F318" i="30"/>
  <c r="G318" i="30"/>
  <c r="H318" i="30"/>
  <c r="I318" i="30"/>
  <c r="J318" i="30"/>
  <c r="K318" i="30"/>
  <c r="L318" i="30"/>
  <c r="M318" i="30"/>
  <c r="N318" i="30"/>
  <c r="O318" i="30"/>
  <c r="P318" i="30"/>
  <c r="Q318" i="30"/>
  <c r="S318" i="30"/>
  <c r="T318" i="30"/>
  <c r="U318" i="30"/>
  <c r="V318" i="30"/>
  <c r="Z318" i="30"/>
  <c r="AA318" i="30"/>
  <c r="AB318" i="30"/>
  <c r="AC318" i="30"/>
  <c r="AD318" i="30"/>
  <c r="AF318" i="30"/>
  <c r="AG318" i="30"/>
  <c r="AH318" i="30"/>
  <c r="E319" i="30"/>
  <c r="F319" i="30"/>
  <c r="G319" i="30"/>
  <c r="H319" i="30"/>
  <c r="I319" i="30"/>
  <c r="J319" i="30"/>
  <c r="K319" i="30"/>
  <c r="L319" i="30"/>
  <c r="M319" i="30"/>
  <c r="N319" i="30"/>
  <c r="O319" i="30"/>
  <c r="P319" i="30"/>
  <c r="Q319" i="30"/>
  <c r="S319" i="30"/>
  <c r="T319" i="30"/>
  <c r="U319" i="30"/>
  <c r="V319" i="30"/>
  <c r="Z319" i="30"/>
  <c r="AA319" i="30"/>
  <c r="AB319" i="30"/>
  <c r="AC319" i="30"/>
  <c r="AD319" i="30"/>
  <c r="AF319" i="30"/>
  <c r="AG319" i="30"/>
  <c r="AH319" i="30"/>
  <c r="E321" i="30"/>
  <c r="F321" i="30"/>
  <c r="G321" i="30"/>
  <c r="H321" i="30"/>
  <c r="I321" i="30"/>
  <c r="J321" i="30"/>
  <c r="K321" i="30"/>
  <c r="L321" i="30"/>
  <c r="M321" i="30"/>
  <c r="N321" i="30"/>
  <c r="O321" i="30"/>
  <c r="P321" i="30"/>
  <c r="Q321" i="30"/>
  <c r="S321" i="30"/>
  <c r="T321" i="30"/>
  <c r="U321" i="30"/>
  <c r="V321" i="30"/>
  <c r="Z321" i="30"/>
  <c r="AA321" i="30"/>
  <c r="AB321" i="30"/>
  <c r="AC321" i="30"/>
  <c r="AD321" i="30"/>
  <c r="AF321" i="30"/>
  <c r="AG321" i="30"/>
  <c r="AH321" i="30"/>
  <c r="E324" i="30"/>
  <c r="F324" i="30"/>
  <c r="G324" i="30"/>
  <c r="H324" i="30"/>
  <c r="I324" i="30"/>
  <c r="J324" i="30"/>
  <c r="K324" i="30"/>
  <c r="L324" i="30"/>
  <c r="M324" i="30"/>
  <c r="N324" i="30"/>
  <c r="O324" i="30"/>
  <c r="P324" i="30"/>
  <c r="Q324" i="30"/>
  <c r="S324" i="30"/>
  <c r="T324" i="30"/>
  <c r="U324" i="30"/>
  <c r="V324" i="30"/>
  <c r="Z324" i="30"/>
  <c r="AA324" i="30"/>
  <c r="AB324" i="30"/>
  <c r="AC324" i="30"/>
  <c r="AD324" i="30"/>
  <c r="AF324" i="30"/>
  <c r="AG324" i="30"/>
  <c r="AH324" i="30"/>
  <c r="E314" i="31"/>
  <c r="F314" i="31"/>
  <c r="G314" i="31"/>
  <c r="H314" i="31"/>
  <c r="I314" i="31"/>
  <c r="J314" i="31"/>
  <c r="K314" i="31"/>
  <c r="L314" i="31"/>
  <c r="M314" i="31"/>
  <c r="N314" i="31"/>
  <c r="O314" i="31"/>
  <c r="P314" i="31"/>
  <c r="Q314" i="31"/>
  <c r="S314" i="31"/>
  <c r="T314" i="31"/>
  <c r="U314" i="31"/>
  <c r="V314" i="31"/>
  <c r="Z314" i="31"/>
  <c r="AA314" i="31"/>
  <c r="AB314" i="31"/>
  <c r="AC314" i="31"/>
  <c r="AD314" i="31"/>
  <c r="AF314" i="31"/>
  <c r="AG314" i="31"/>
  <c r="AH314" i="31"/>
  <c r="E315" i="31"/>
  <c r="F315" i="31"/>
  <c r="G315" i="31"/>
  <c r="H315" i="31"/>
  <c r="I315" i="31"/>
  <c r="J315" i="31"/>
  <c r="K315" i="31"/>
  <c r="L315" i="31"/>
  <c r="M315" i="31"/>
  <c r="N315" i="31"/>
  <c r="O315" i="31"/>
  <c r="P315" i="31"/>
  <c r="Q315" i="31"/>
  <c r="S315" i="31"/>
  <c r="T315" i="31"/>
  <c r="U315" i="31"/>
  <c r="V315" i="31"/>
  <c r="Z315" i="31"/>
  <c r="AA315" i="31"/>
  <c r="AB315" i="31"/>
  <c r="AC315" i="31"/>
  <c r="AD315" i="31"/>
  <c r="AF315" i="31"/>
  <c r="AG315" i="31"/>
  <c r="AH315" i="31"/>
  <c r="E316" i="31"/>
  <c r="F316" i="31"/>
  <c r="G316" i="31"/>
  <c r="H316" i="31"/>
  <c r="I316" i="31"/>
  <c r="J316" i="31"/>
  <c r="K316" i="31"/>
  <c r="L316" i="31"/>
  <c r="M316" i="31"/>
  <c r="N316" i="31"/>
  <c r="O316" i="31"/>
  <c r="P316" i="31"/>
  <c r="Q316" i="31"/>
  <c r="S316" i="31"/>
  <c r="T316" i="31"/>
  <c r="U316" i="31"/>
  <c r="V316" i="31"/>
  <c r="Z316" i="31"/>
  <c r="AA316" i="31"/>
  <c r="AB316" i="31"/>
  <c r="AC316" i="31"/>
  <c r="AD316" i="31"/>
  <c r="AF316" i="31"/>
  <c r="AG316" i="31"/>
  <c r="AH316" i="31"/>
  <c r="E317" i="31"/>
  <c r="F317" i="31"/>
  <c r="G317" i="31"/>
  <c r="H317" i="31"/>
  <c r="I317" i="31"/>
  <c r="J317" i="31"/>
  <c r="K317" i="31"/>
  <c r="L317" i="31"/>
  <c r="M317" i="31"/>
  <c r="N317" i="31"/>
  <c r="O317" i="31"/>
  <c r="P317" i="31"/>
  <c r="Q317" i="31"/>
  <c r="S317" i="31"/>
  <c r="T317" i="31"/>
  <c r="U317" i="31"/>
  <c r="V317" i="31"/>
  <c r="Z317" i="31"/>
  <c r="AA317" i="31"/>
  <c r="AB317" i="31"/>
  <c r="AC317" i="31"/>
  <c r="AD317" i="31"/>
  <c r="AF317" i="31"/>
  <c r="AG317" i="31"/>
  <c r="AH317" i="31"/>
  <c r="E318" i="31"/>
  <c r="F318" i="31"/>
  <c r="G318" i="31"/>
  <c r="H318" i="31"/>
  <c r="I318" i="31"/>
  <c r="J318" i="31"/>
  <c r="K318" i="31"/>
  <c r="L318" i="31"/>
  <c r="M318" i="31"/>
  <c r="N318" i="31"/>
  <c r="O318" i="31"/>
  <c r="P318" i="31"/>
  <c r="Q318" i="31"/>
  <c r="S318" i="31"/>
  <c r="T318" i="31"/>
  <c r="U318" i="31"/>
  <c r="V318" i="31"/>
  <c r="Z318" i="31"/>
  <c r="AA318" i="31"/>
  <c r="AB318" i="31"/>
  <c r="AC318" i="31"/>
  <c r="AD318" i="31"/>
  <c r="AF318" i="31"/>
  <c r="AG318" i="31"/>
  <c r="AH318" i="31"/>
  <c r="E319" i="31"/>
  <c r="F319" i="31"/>
  <c r="G319" i="31"/>
  <c r="H319" i="31"/>
  <c r="I319" i="31"/>
  <c r="J319" i="31"/>
  <c r="K319" i="31"/>
  <c r="L319" i="31"/>
  <c r="M319" i="31"/>
  <c r="N319" i="31"/>
  <c r="O319" i="31"/>
  <c r="P319" i="31"/>
  <c r="Q319" i="31"/>
  <c r="S319" i="31"/>
  <c r="T319" i="31"/>
  <c r="U319" i="31"/>
  <c r="V319" i="31"/>
  <c r="Z319" i="31"/>
  <c r="AA319" i="31"/>
  <c r="AB319" i="31"/>
  <c r="AC319" i="31"/>
  <c r="AD319" i="31"/>
  <c r="AF319" i="31"/>
  <c r="AG319" i="31"/>
  <c r="AH319" i="31"/>
  <c r="E321" i="31"/>
  <c r="F321" i="31"/>
  <c r="G321" i="31"/>
  <c r="H321" i="31"/>
  <c r="I321" i="31"/>
  <c r="J321" i="31"/>
  <c r="K321" i="31"/>
  <c r="L321" i="31"/>
  <c r="M321" i="31"/>
  <c r="N321" i="31"/>
  <c r="O321" i="31"/>
  <c r="P321" i="31"/>
  <c r="Q321" i="31"/>
  <c r="S321" i="31"/>
  <c r="T321" i="31"/>
  <c r="U321" i="31"/>
  <c r="V321" i="31"/>
  <c r="Z321" i="31"/>
  <c r="AA321" i="31"/>
  <c r="AB321" i="31"/>
  <c r="AC321" i="31"/>
  <c r="AD321" i="31"/>
  <c r="AF321" i="31"/>
  <c r="AG321" i="31"/>
  <c r="AH321" i="31"/>
  <c r="E324" i="31"/>
  <c r="F324" i="31"/>
  <c r="G324" i="31"/>
  <c r="H324" i="31"/>
  <c r="I324" i="31"/>
  <c r="J324" i="31"/>
  <c r="K324" i="31"/>
  <c r="L324" i="31"/>
  <c r="M324" i="31"/>
  <c r="N324" i="31"/>
  <c r="O324" i="31"/>
  <c r="P324" i="31"/>
  <c r="Q324" i="31"/>
  <c r="S324" i="31"/>
  <c r="T324" i="31"/>
  <c r="U324" i="31"/>
  <c r="V324" i="31"/>
  <c r="Z324" i="31"/>
  <c r="AA324" i="31"/>
  <c r="AB324" i="31"/>
  <c r="AC324" i="31"/>
  <c r="AD324" i="31"/>
  <c r="AF324" i="31"/>
  <c r="AG324" i="31"/>
  <c r="AH324" i="31"/>
  <c r="E314" i="32"/>
  <c r="F314" i="32"/>
  <c r="G314" i="32"/>
  <c r="H314" i="32"/>
  <c r="I314" i="32"/>
  <c r="J314" i="32"/>
  <c r="K314" i="32"/>
  <c r="L314" i="32"/>
  <c r="M314" i="32"/>
  <c r="N314" i="32"/>
  <c r="O314" i="32"/>
  <c r="P314" i="32"/>
  <c r="Q314" i="32"/>
  <c r="S314" i="32"/>
  <c r="T314" i="32"/>
  <c r="U314" i="32"/>
  <c r="V314" i="32"/>
  <c r="Z314" i="32"/>
  <c r="AA314" i="32"/>
  <c r="AB314" i="32"/>
  <c r="AC314" i="32"/>
  <c r="AD314" i="32"/>
  <c r="AF314" i="32"/>
  <c r="AG314" i="32"/>
  <c r="AH314" i="32"/>
  <c r="E315" i="32"/>
  <c r="F315" i="32"/>
  <c r="G315" i="32"/>
  <c r="H315" i="32"/>
  <c r="I315" i="32"/>
  <c r="J315" i="32"/>
  <c r="K315" i="32"/>
  <c r="L315" i="32"/>
  <c r="M315" i="32"/>
  <c r="N315" i="32"/>
  <c r="O315" i="32"/>
  <c r="P315" i="32"/>
  <c r="Q315" i="32"/>
  <c r="S315" i="32"/>
  <c r="T315" i="32"/>
  <c r="U315" i="32"/>
  <c r="V315" i="32"/>
  <c r="Z315" i="32"/>
  <c r="AA315" i="32"/>
  <c r="AB315" i="32"/>
  <c r="AC315" i="32"/>
  <c r="AD315" i="32"/>
  <c r="AF315" i="32"/>
  <c r="AG315" i="32"/>
  <c r="AH315" i="32"/>
  <c r="E316" i="32"/>
  <c r="F316" i="32"/>
  <c r="G316" i="32"/>
  <c r="H316" i="32"/>
  <c r="I316" i="32"/>
  <c r="J316" i="32"/>
  <c r="K316" i="32"/>
  <c r="L316" i="32"/>
  <c r="M316" i="32"/>
  <c r="N316" i="32"/>
  <c r="O316" i="32"/>
  <c r="P316" i="32"/>
  <c r="Q316" i="32"/>
  <c r="S316" i="32"/>
  <c r="T316" i="32"/>
  <c r="U316" i="32"/>
  <c r="V316" i="32"/>
  <c r="Z316" i="32"/>
  <c r="AA316" i="32"/>
  <c r="AB316" i="32"/>
  <c r="AC316" i="32"/>
  <c r="AD316" i="32"/>
  <c r="AF316" i="32"/>
  <c r="AG316" i="32"/>
  <c r="AH316" i="32"/>
  <c r="E317" i="32"/>
  <c r="F317" i="32"/>
  <c r="G317" i="32"/>
  <c r="H317" i="32"/>
  <c r="I317" i="32"/>
  <c r="J317" i="32"/>
  <c r="K317" i="32"/>
  <c r="L317" i="32"/>
  <c r="M317" i="32"/>
  <c r="N317" i="32"/>
  <c r="O317" i="32"/>
  <c r="P317" i="32"/>
  <c r="Q317" i="32"/>
  <c r="S317" i="32"/>
  <c r="T317" i="32"/>
  <c r="U317" i="32"/>
  <c r="V317" i="32"/>
  <c r="Z317" i="32"/>
  <c r="AA317" i="32"/>
  <c r="AB317" i="32"/>
  <c r="AC317" i="32"/>
  <c r="AD317" i="32"/>
  <c r="AF317" i="32"/>
  <c r="AG317" i="32"/>
  <c r="AH317" i="32"/>
  <c r="E318" i="32"/>
  <c r="F318" i="32"/>
  <c r="G318" i="32"/>
  <c r="H318" i="32"/>
  <c r="I318" i="32"/>
  <c r="J318" i="32"/>
  <c r="K318" i="32"/>
  <c r="L318" i="32"/>
  <c r="M318" i="32"/>
  <c r="N318" i="32"/>
  <c r="O318" i="32"/>
  <c r="P318" i="32"/>
  <c r="Q318" i="32"/>
  <c r="S318" i="32"/>
  <c r="T318" i="32"/>
  <c r="U318" i="32"/>
  <c r="V318" i="32"/>
  <c r="Z318" i="32"/>
  <c r="AA318" i="32"/>
  <c r="AB318" i="32"/>
  <c r="AC318" i="32"/>
  <c r="AD318" i="32"/>
  <c r="AF318" i="32"/>
  <c r="AG318" i="32"/>
  <c r="AH318" i="32"/>
  <c r="E319" i="32"/>
  <c r="F319" i="32"/>
  <c r="G319" i="32"/>
  <c r="H319" i="32"/>
  <c r="I319" i="32"/>
  <c r="J319" i="32"/>
  <c r="K319" i="32"/>
  <c r="L319" i="32"/>
  <c r="M319" i="32"/>
  <c r="N319" i="32"/>
  <c r="O319" i="32"/>
  <c r="P319" i="32"/>
  <c r="Q319" i="32"/>
  <c r="S319" i="32"/>
  <c r="T319" i="32"/>
  <c r="U319" i="32"/>
  <c r="V319" i="32"/>
  <c r="Z319" i="32"/>
  <c r="AA319" i="32"/>
  <c r="AB319" i="32"/>
  <c r="AC319" i="32"/>
  <c r="AD319" i="32"/>
  <c r="AF319" i="32"/>
  <c r="AG319" i="32"/>
  <c r="AH319" i="32"/>
  <c r="E321" i="32"/>
  <c r="F321" i="32"/>
  <c r="G321" i="32"/>
  <c r="H321" i="32"/>
  <c r="I321" i="32"/>
  <c r="J321" i="32"/>
  <c r="K321" i="32"/>
  <c r="L321" i="32"/>
  <c r="M321" i="32"/>
  <c r="N321" i="32"/>
  <c r="O321" i="32"/>
  <c r="P321" i="32"/>
  <c r="Q321" i="32"/>
  <c r="S321" i="32"/>
  <c r="T321" i="32"/>
  <c r="U321" i="32"/>
  <c r="V321" i="32"/>
  <c r="Z321" i="32"/>
  <c r="AA321" i="32"/>
  <c r="AB321" i="32"/>
  <c r="AC321" i="32"/>
  <c r="AD321" i="32"/>
  <c r="AF321" i="32"/>
  <c r="AG321" i="32"/>
  <c r="AH321" i="32"/>
  <c r="E324" i="32"/>
  <c r="F324" i="32"/>
  <c r="G324" i="32"/>
  <c r="H324" i="32"/>
  <c r="I324" i="32"/>
  <c r="J324" i="32"/>
  <c r="K324" i="32"/>
  <c r="L324" i="32"/>
  <c r="M324" i="32"/>
  <c r="N324" i="32"/>
  <c r="O324" i="32"/>
  <c r="P324" i="32"/>
  <c r="Q324" i="32"/>
  <c r="S324" i="32"/>
  <c r="T324" i="32"/>
  <c r="U324" i="32"/>
  <c r="V324" i="32"/>
  <c r="Z324" i="32"/>
  <c r="AA324" i="32"/>
  <c r="AB324" i="32"/>
  <c r="AC324" i="32"/>
  <c r="AD324" i="32"/>
  <c r="AF324" i="32"/>
  <c r="AG324" i="32"/>
  <c r="AH324" i="32"/>
  <c r="E314" i="33"/>
  <c r="F314" i="33"/>
  <c r="G314" i="33"/>
  <c r="H314" i="33"/>
  <c r="I314" i="33"/>
  <c r="J314" i="33"/>
  <c r="K314" i="33"/>
  <c r="L314" i="33"/>
  <c r="M314" i="33"/>
  <c r="N314" i="33"/>
  <c r="O314" i="33"/>
  <c r="P314" i="33"/>
  <c r="Q314" i="33"/>
  <c r="S314" i="33"/>
  <c r="T314" i="33"/>
  <c r="U314" i="33"/>
  <c r="V314" i="33"/>
  <c r="Z314" i="33"/>
  <c r="AA314" i="33"/>
  <c r="AB314" i="33"/>
  <c r="AC314" i="33"/>
  <c r="AD314" i="33"/>
  <c r="AF314" i="33"/>
  <c r="AG314" i="33"/>
  <c r="AH314" i="33"/>
  <c r="E315" i="33"/>
  <c r="F315" i="33"/>
  <c r="G315" i="33"/>
  <c r="H315" i="33"/>
  <c r="I315" i="33"/>
  <c r="J315" i="33"/>
  <c r="K315" i="33"/>
  <c r="L315" i="33"/>
  <c r="M315" i="33"/>
  <c r="N315" i="33"/>
  <c r="O315" i="33"/>
  <c r="P315" i="33"/>
  <c r="Q315" i="33"/>
  <c r="S315" i="33"/>
  <c r="T315" i="33"/>
  <c r="U315" i="33"/>
  <c r="V315" i="33"/>
  <c r="Z315" i="33"/>
  <c r="AA315" i="33"/>
  <c r="AB315" i="33"/>
  <c r="AC315" i="33"/>
  <c r="AD315" i="33"/>
  <c r="AF315" i="33"/>
  <c r="AG315" i="33"/>
  <c r="AH315" i="33"/>
  <c r="E316" i="33"/>
  <c r="F316" i="33"/>
  <c r="G316" i="33"/>
  <c r="H316" i="33"/>
  <c r="I316" i="33"/>
  <c r="J316" i="33"/>
  <c r="K316" i="33"/>
  <c r="L316" i="33"/>
  <c r="M316" i="33"/>
  <c r="N316" i="33"/>
  <c r="O316" i="33"/>
  <c r="P316" i="33"/>
  <c r="Q316" i="33"/>
  <c r="S316" i="33"/>
  <c r="T316" i="33"/>
  <c r="U316" i="33"/>
  <c r="V316" i="33"/>
  <c r="Z316" i="33"/>
  <c r="AA316" i="33"/>
  <c r="AB316" i="33"/>
  <c r="AC316" i="33"/>
  <c r="AD316" i="33"/>
  <c r="AF316" i="33"/>
  <c r="AG316" i="33"/>
  <c r="AH316" i="33"/>
  <c r="E317" i="33"/>
  <c r="F317" i="33"/>
  <c r="G317" i="33"/>
  <c r="H317" i="33"/>
  <c r="I317" i="33"/>
  <c r="J317" i="33"/>
  <c r="K317" i="33"/>
  <c r="L317" i="33"/>
  <c r="M317" i="33"/>
  <c r="N317" i="33"/>
  <c r="O317" i="33"/>
  <c r="P317" i="33"/>
  <c r="Q317" i="33"/>
  <c r="S317" i="33"/>
  <c r="T317" i="33"/>
  <c r="U317" i="33"/>
  <c r="V317" i="33"/>
  <c r="Z317" i="33"/>
  <c r="AA317" i="33"/>
  <c r="AB317" i="33"/>
  <c r="AC317" i="33"/>
  <c r="AD317" i="33"/>
  <c r="AF317" i="33"/>
  <c r="AG317" i="33"/>
  <c r="AH317" i="33"/>
  <c r="E318" i="33"/>
  <c r="F318" i="33"/>
  <c r="G318" i="33"/>
  <c r="H318" i="33"/>
  <c r="I318" i="33"/>
  <c r="J318" i="33"/>
  <c r="K318" i="33"/>
  <c r="L318" i="33"/>
  <c r="M318" i="33"/>
  <c r="N318" i="33"/>
  <c r="O318" i="33"/>
  <c r="P318" i="33"/>
  <c r="Q318" i="33"/>
  <c r="S318" i="33"/>
  <c r="T318" i="33"/>
  <c r="U318" i="33"/>
  <c r="V318" i="33"/>
  <c r="Z318" i="33"/>
  <c r="AA318" i="33"/>
  <c r="AB318" i="33"/>
  <c r="AC318" i="33"/>
  <c r="AD318" i="33"/>
  <c r="AF318" i="33"/>
  <c r="AG318" i="33"/>
  <c r="AH318" i="33"/>
  <c r="E319" i="33"/>
  <c r="F319" i="33"/>
  <c r="G319" i="33"/>
  <c r="H319" i="33"/>
  <c r="I319" i="33"/>
  <c r="J319" i="33"/>
  <c r="K319" i="33"/>
  <c r="L319" i="33"/>
  <c r="M319" i="33"/>
  <c r="N319" i="33"/>
  <c r="O319" i="33"/>
  <c r="P319" i="33"/>
  <c r="Q319" i="33"/>
  <c r="S319" i="33"/>
  <c r="T319" i="33"/>
  <c r="U319" i="33"/>
  <c r="V319" i="33"/>
  <c r="Z319" i="33"/>
  <c r="AA319" i="33"/>
  <c r="AB319" i="33"/>
  <c r="AC319" i="33"/>
  <c r="AD319" i="33"/>
  <c r="AF319" i="33"/>
  <c r="AG319" i="33"/>
  <c r="AH319" i="33"/>
  <c r="E321" i="33"/>
  <c r="F321" i="33"/>
  <c r="G321" i="33"/>
  <c r="H321" i="33"/>
  <c r="I321" i="33"/>
  <c r="J321" i="33"/>
  <c r="K321" i="33"/>
  <c r="L321" i="33"/>
  <c r="M321" i="33"/>
  <c r="N321" i="33"/>
  <c r="O321" i="33"/>
  <c r="P321" i="33"/>
  <c r="Q321" i="33"/>
  <c r="S321" i="33"/>
  <c r="T321" i="33"/>
  <c r="U321" i="33"/>
  <c r="V321" i="33"/>
  <c r="Z321" i="33"/>
  <c r="AA321" i="33"/>
  <c r="AB321" i="33"/>
  <c r="AC321" i="33"/>
  <c r="AD321" i="33"/>
  <c r="AF321" i="33"/>
  <c r="AG321" i="33"/>
  <c r="AH321" i="33"/>
  <c r="E324" i="33"/>
  <c r="F324" i="33"/>
  <c r="G324" i="33"/>
  <c r="H324" i="33"/>
  <c r="I324" i="33"/>
  <c r="J324" i="33"/>
  <c r="K324" i="33"/>
  <c r="L324" i="33"/>
  <c r="M324" i="33"/>
  <c r="N324" i="33"/>
  <c r="O324" i="33"/>
  <c r="P324" i="33"/>
  <c r="Q324" i="33"/>
  <c r="S324" i="33"/>
  <c r="T324" i="33"/>
  <c r="U324" i="33"/>
  <c r="V324" i="33"/>
  <c r="Z324" i="33"/>
  <c r="AA324" i="33"/>
  <c r="AB324" i="33"/>
  <c r="AC324" i="33"/>
  <c r="AD324" i="33"/>
  <c r="AF324" i="33"/>
  <c r="AG324" i="33"/>
  <c r="AH324" i="33"/>
  <c r="E314" i="3"/>
  <c r="F314" i="3"/>
  <c r="G314" i="3"/>
  <c r="H314" i="3"/>
  <c r="I314" i="3"/>
  <c r="J314" i="3"/>
  <c r="K314" i="3"/>
  <c r="L314" i="3"/>
  <c r="M314" i="3"/>
  <c r="N314" i="3"/>
  <c r="O314" i="3"/>
  <c r="P314" i="3"/>
  <c r="Q314" i="3"/>
  <c r="S314" i="3"/>
  <c r="T314" i="3"/>
  <c r="U314" i="3"/>
  <c r="V314" i="3"/>
  <c r="Z314" i="3"/>
  <c r="AA314" i="3"/>
  <c r="AB314" i="3"/>
  <c r="AC314" i="3"/>
  <c r="AD314" i="3"/>
  <c r="AF314" i="3"/>
  <c r="AG314" i="3"/>
  <c r="AH314" i="3"/>
  <c r="E315" i="3"/>
  <c r="F315" i="3"/>
  <c r="G315" i="3"/>
  <c r="H315" i="3"/>
  <c r="I315" i="3"/>
  <c r="J315" i="3"/>
  <c r="K315" i="3"/>
  <c r="L315" i="3"/>
  <c r="M315" i="3"/>
  <c r="N315" i="3"/>
  <c r="O315" i="3"/>
  <c r="P315" i="3"/>
  <c r="Q315" i="3"/>
  <c r="S315" i="3"/>
  <c r="T315" i="3"/>
  <c r="U315" i="3"/>
  <c r="V315" i="3"/>
  <c r="Z315" i="3"/>
  <c r="AA315" i="3"/>
  <c r="AB315" i="3"/>
  <c r="AC315" i="3"/>
  <c r="AD315" i="3"/>
  <c r="AF315" i="3"/>
  <c r="AG315" i="3"/>
  <c r="AH315" i="3"/>
  <c r="E316" i="3"/>
  <c r="F316" i="3"/>
  <c r="G316" i="3"/>
  <c r="H316" i="3"/>
  <c r="I316" i="3"/>
  <c r="J316" i="3"/>
  <c r="K316" i="3"/>
  <c r="K317" i="3"/>
  <c r="K318" i="3"/>
  <c r="K319" i="3"/>
  <c r="K321" i="3"/>
  <c r="K324" i="3"/>
  <c r="L316" i="3"/>
  <c r="M316" i="3"/>
  <c r="N316" i="3"/>
  <c r="O316" i="3"/>
  <c r="P316" i="3"/>
  <c r="Q316" i="3"/>
  <c r="S316" i="3"/>
  <c r="T316" i="3"/>
  <c r="U316" i="3"/>
  <c r="V316" i="3"/>
  <c r="Z316" i="3"/>
  <c r="AA316" i="3"/>
  <c r="AB316" i="3"/>
  <c r="AC316" i="3"/>
  <c r="AD316" i="3"/>
  <c r="AF316" i="3"/>
  <c r="AG316" i="3"/>
  <c r="AH316" i="3"/>
  <c r="E317" i="3"/>
  <c r="F317" i="3"/>
  <c r="G317" i="3"/>
  <c r="H317" i="3"/>
  <c r="I317" i="3"/>
  <c r="J317" i="3"/>
  <c r="L317" i="3"/>
  <c r="M317" i="3"/>
  <c r="N317" i="3"/>
  <c r="O317" i="3"/>
  <c r="P317" i="3"/>
  <c r="Q317" i="3"/>
  <c r="S317" i="3"/>
  <c r="T317" i="3"/>
  <c r="U317" i="3"/>
  <c r="V317" i="3"/>
  <c r="Z317" i="3"/>
  <c r="AA317" i="3"/>
  <c r="AB317" i="3"/>
  <c r="AC317" i="3"/>
  <c r="AD317" i="3"/>
  <c r="AF317" i="3"/>
  <c r="AG317" i="3"/>
  <c r="AH317" i="3"/>
  <c r="E318" i="3"/>
  <c r="F318" i="3"/>
  <c r="G318" i="3"/>
  <c r="H318" i="3"/>
  <c r="I318" i="3"/>
  <c r="J318" i="3"/>
  <c r="L318" i="3"/>
  <c r="M318" i="3"/>
  <c r="N318" i="3"/>
  <c r="O318" i="3"/>
  <c r="P318" i="3"/>
  <c r="Q318" i="3"/>
  <c r="S318" i="3"/>
  <c r="T318" i="3"/>
  <c r="U318" i="3"/>
  <c r="V318" i="3"/>
  <c r="Z318" i="3"/>
  <c r="AA318" i="3"/>
  <c r="AB318" i="3"/>
  <c r="AC318" i="3"/>
  <c r="AD318" i="3"/>
  <c r="AF318" i="3"/>
  <c r="AG318" i="3"/>
  <c r="AH318" i="3"/>
  <c r="E319" i="3"/>
  <c r="F319" i="3"/>
  <c r="G319" i="3"/>
  <c r="H319" i="3"/>
  <c r="I319" i="3"/>
  <c r="J319" i="3"/>
  <c r="L319" i="3"/>
  <c r="M319" i="3"/>
  <c r="N319" i="3"/>
  <c r="O319" i="3"/>
  <c r="P319" i="3"/>
  <c r="Q319" i="3"/>
  <c r="S319" i="3"/>
  <c r="T319" i="3"/>
  <c r="U319" i="3"/>
  <c r="V319" i="3"/>
  <c r="Z319" i="3"/>
  <c r="AA319" i="3"/>
  <c r="AB319" i="3"/>
  <c r="AC319" i="3"/>
  <c r="AD319" i="3"/>
  <c r="AF319" i="3"/>
  <c r="AG319" i="3"/>
  <c r="AH319" i="3"/>
  <c r="E321" i="3"/>
  <c r="F321" i="3"/>
  <c r="G321" i="3"/>
  <c r="H321" i="3"/>
  <c r="I321" i="3"/>
  <c r="J321" i="3"/>
  <c r="L321" i="3"/>
  <c r="M321" i="3"/>
  <c r="N321" i="3"/>
  <c r="O321" i="3"/>
  <c r="P321" i="3"/>
  <c r="Q321" i="3"/>
  <c r="S321" i="3"/>
  <c r="T321" i="3"/>
  <c r="U321" i="3"/>
  <c r="V321" i="3"/>
  <c r="Z321" i="3"/>
  <c r="AA321" i="3"/>
  <c r="AB321" i="3"/>
  <c r="AC321" i="3"/>
  <c r="AD321" i="3"/>
  <c r="AF321" i="3"/>
  <c r="AG321" i="3"/>
  <c r="AH321" i="3"/>
  <c r="E324" i="3"/>
  <c r="F324" i="3"/>
  <c r="G324" i="3"/>
  <c r="H324" i="3"/>
  <c r="I324" i="3"/>
  <c r="J324" i="3"/>
  <c r="L324" i="3"/>
  <c r="M324" i="3"/>
  <c r="N324" i="3"/>
  <c r="O324" i="3"/>
  <c r="P324" i="3"/>
  <c r="Q324" i="3"/>
  <c r="S324" i="3"/>
  <c r="T324" i="3"/>
  <c r="U324" i="3"/>
  <c r="V324" i="3"/>
  <c r="Z324" i="3"/>
  <c r="AA324" i="3"/>
  <c r="AB324" i="3"/>
  <c r="AC324" i="3"/>
  <c r="AD324" i="3"/>
  <c r="AF324" i="3"/>
  <c r="AG324" i="3"/>
  <c r="AH324" i="3"/>
  <c r="E338" i="30"/>
  <c r="F338" i="30"/>
  <c r="G338" i="30"/>
  <c r="H338" i="30"/>
  <c r="I338" i="30"/>
  <c r="J338" i="30"/>
  <c r="K338" i="30"/>
  <c r="L338" i="30"/>
  <c r="M338" i="30"/>
  <c r="N338" i="30"/>
  <c r="O338" i="30"/>
  <c r="P338" i="30"/>
  <c r="Q338" i="30"/>
  <c r="S338" i="30"/>
  <c r="T338" i="30"/>
  <c r="U338" i="30"/>
  <c r="V338" i="30"/>
  <c r="Z338" i="30"/>
  <c r="AA338" i="30"/>
  <c r="AB338" i="30"/>
  <c r="AC338" i="30"/>
  <c r="AD338" i="30"/>
  <c r="AF338" i="30"/>
  <c r="AG338" i="30"/>
  <c r="AH338" i="30"/>
  <c r="E339" i="30"/>
  <c r="F339" i="30"/>
  <c r="G339" i="30"/>
  <c r="H339" i="30"/>
  <c r="I339" i="30"/>
  <c r="J339" i="30"/>
  <c r="K339" i="30"/>
  <c r="L339" i="30"/>
  <c r="M339" i="30"/>
  <c r="N339" i="30"/>
  <c r="O339" i="30"/>
  <c r="P339" i="30"/>
  <c r="Q339" i="30"/>
  <c r="S339" i="30"/>
  <c r="T339" i="30"/>
  <c r="U339" i="30"/>
  <c r="V339" i="30"/>
  <c r="Z339" i="30"/>
  <c r="AA339" i="30"/>
  <c r="AB339" i="30"/>
  <c r="AC339" i="30"/>
  <c r="AD339" i="30"/>
  <c r="AF339" i="30"/>
  <c r="AG339" i="30"/>
  <c r="AH339" i="30"/>
  <c r="E340" i="30"/>
  <c r="F340" i="30"/>
  <c r="G340" i="30"/>
  <c r="H340" i="30"/>
  <c r="I340" i="30"/>
  <c r="J340" i="30"/>
  <c r="K340" i="30"/>
  <c r="L340" i="30"/>
  <c r="M340" i="30"/>
  <c r="N340" i="30"/>
  <c r="O340" i="30"/>
  <c r="P340" i="30"/>
  <c r="Q340" i="30"/>
  <c r="S340" i="30"/>
  <c r="T340" i="30"/>
  <c r="T341" i="30"/>
  <c r="T342" i="30"/>
  <c r="T343" i="30"/>
  <c r="T345" i="30"/>
  <c r="T348" i="30"/>
  <c r="F63" i="30"/>
  <c r="U340" i="30"/>
  <c r="V340" i="30"/>
  <c r="Z340" i="30"/>
  <c r="AA340" i="30"/>
  <c r="AB340" i="30"/>
  <c r="AC340" i="30"/>
  <c r="AD340" i="30"/>
  <c r="AF340" i="30"/>
  <c r="AG340" i="30"/>
  <c r="AH340" i="30"/>
  <c r="E341" i="30"/>
  <c r="F341" i="30"/>
  <c r="G341" i="30"/>
  <c r="H341" i="30"/>
  <c r="I341" i="30"/>
  <c r="J341" i="30"/>
  <c r="K341" i="30"/>
  <c r="L341" i="30"/>
  <c r="M341" i="30"/>
  <c r="N341" i="30"/>
  <c r="O341" i="30"/>
  <c r="P341" i="30"/>
  <c r="Q341" i="30"/>
  <c r="S341" i="30"/>
  <c r="U341" i="30"/>
  <c r="V341" i="30"/>
  <c r="Z341" i="30"/>
  <c r="AA341" i="30"/>
  <c r="AB341" i="30"/>
  <c r="AC341" i="30"/>
  <c r="AD341" i="30"/>
  <c r="AF341" i="30"/>
  <c r="AG341" i="30"/>
  <c r="AH341" i="30"/>
  <c r="E342" i="30"/>
  <c r="F342" i="30"/>
  <c r="G342" i="30"/>
  <c r="H342" i="30"/>
  <c r="I342" i="30"/>
  <c r="J342" i="30"/>
  <c r="K342" i="30"/>
  <c r="L342" i="30"/>
  <c r="M342" i="30"/>
  <c r="N342" i="30"/>
  <c r="O342" i="30"/>
  <c r="P342" i="30"/>
  <c r="Q342" i="30"/>
  <c r="S342" i="30"/>
  <c r="U342" i="30"/>
  <c r="V342" i="30"/>
  <c r="Z342" i="30"/>
  <c r="AA342" i="30"/>
  <c r="AB342" i="30"/>
  <c r="AC342" i="30"/>
  <c r="AD342" i="30"/>
  <c r="AF342" i="30"/>
  <c r="AG342" i="30"/>
  <c r="AH342" i="30"/>
  <c r="E343" i="30"/>
  <c r="F343" i="30"/>
  <c r="G343" i="30"/>
  <c r="H343" i="30"/>
  <c r="I343" i="30"/>
  <c r="J343" i="30"/>
  <c r="K343" i="30"/>
  <c r="L343" i="30"/>
  <c r="M343" i="30"/>
  <c r="N343" i="30"/>
  <c r="O343" i="30"/>
  <c r="P343" i="30"/>
  <c r="Q343" i="30"/>
  <c r="S343" i="30"/>
  <c r="U343" i="30"/>
  <c r="V343" i="30"/>
  <c r="Z343" i="30"/>
  <c r="AA343" i="30"/>
  <c r="AB343" i="30"/>
  <c r="AC343" i="30"/>
  <c r="AD343" i="30"/>
  <c r="AF343" i="30"/>
  <c r="AG343" i="30"/>
  <c r="AH343" i="30"/>
  <c r="E345" i="30"/>
  <c r="F345" i="30"/>
  <c r="G345" i="30"/>
  <c r="H345" i="30"/>
  <c r="I345" i="30"/>
  <c r="J345" i="30"/>
  <c r="K345" i="30"/>
  <c r="L345" i="30"/>
  <c r="M345" i="30"/>
  <c r="N345" i="30"/>
  <c r="O345" i="30"/>
  <c r="P345" i="30"/>
  <c r="Q345" i="30"/>
  <c r="S345" i="30"/>
  <c r="U345" i="30"/>
  <c r="V345" i="30"/>
  <c r="Z345" i="30"/>
  <c r="AA345" i="30"/>
  <c r="AB345" i="30"/>
  <c r="AC345" i="30"/>
  <c r="AD345" i="30"/>
  <c r="AF345" i="30"/>
  <c r="AG345" i="30"/>
  <c r="AH345" i="30"/>
  <c r="E348" i="30"/>
  <c r="F348" i="30"/>
  <c r="G348" i="30"/>
  <c r="H348" i="30"/>
  <c r="I348" i="30"/>
  <c r="J348" i="30"/>
  <c r="K348" i="30"/>
  <c r="L348" i="30"/>
  <c r="M348" i="30"/>
  <c r="N348" i="30"/>
  <c r="O348" i="30"/>
  <c r="P348" i="30"/>
  <c r="Q348" i="30"/>
  <c r="S348" i="30"/>
  <c r="U348" i="30"/>
  <c r="V348" i="30"/>
  <c r="Z348" i="30"/>
  <c r="AA348" i="30"/>
  <c r="AB348" i="30"/>
  <c r="AC348" i="30"/>
  <c r="AD348" i="30"/>
  <c r="AF348" i="30"/>
  <c r="AG348" i="30"/>
  <c r="AH348" i="30"/>
  <c r="E338" i="31"/>
  <c r="F338" i="31"/>
  <c r="G338" i="31"/>
  <c r="H338" i="31"/>
  <c r="I338" i="31"/>
  <c r="J338" i="31"/>
  <c r="K338" i="31"/>
  <c r="L338" i="31"/>
  <c r="M338" i="31"/>
  <c r="N338" i="31"/>
  <c r="O338" i="31"/>
  <c r="P338" i="31"/>
  <c r="Q338" i="31"/>
  <c r="S338" i="31"/>
  <c r="T338" i="31"/>
  <c r="U338" i="31"/>
  <c r="V338" i="31"/>
  <c r="Z338" i="31"/>
  <c r="AA338" i="31"/>
  <c r="AB338" i="31"/>
  <c r="AC338" i="31"/>
  <c r="AD338" i="31"/>
  <c r="AF338" i="31"/>
  <c r="AG338" i="31"/>
  <c r="AH338" i="31"/>
  <c r="E339" i="31"/>
  <c r="F339" i="31"/>
  <c r="G339" i="31"/>
  <c r="H339" i="31"/>
  <c r="I339" i="31"/>
  <c r="J339" i="31"/>
  <c r="K339" i="31"/>
  <c r="L339" i="31"/>
  <c r="M339" i="31"/>
  <c r="N339" i="31"/>
  <c r="O339" i="31"/>
  <c r="P339" i="31"/>
  <c r="Q339" i="31"/>
  <c r="S339" i="31"/>
  <c r="T339" i="31"/>
  <c r="U339" i="31"/>
  <c r="V339" i="31"/>
  <c r="Z339" i="31"/>
  <c r="AA339" i="31"/>
  <c r="AB339" i="31"/>
  <c r="AC339" i="31"/>
  <c r="AD339" i="31"/>
  <c r="AF339" i="31"/>
  <c r="AG339" i="31"/>
  <c r="AH339" i="31"/>
  <c r="E340" i="31"/>
  <c r="F340" i="31"/>
  <c r="G340" i="31"/>
  <c r="H340" i="31"/>
  <c r="I340" i="31"/>
  <c r="J340" i="31"/>
  <c r="K340" i="31"/>
  <c r="L340" i="31"/>
  <c r="M340" i="31"/>
  <c r="N340" i="31"/>
  <c r="O340" i="31"/>
  <c r="P340" i="31"/>
  <c r="Q340" i="31"/>
  <c r="S340" i="31"/>
  <c r="T340" i="31"/>
  <c r="U340" i="31"/>
  <c r="V340" i="31"/>
  <c r="Z340" i="31"/>
  <c r="AA340" i="31"/>
  <c r="AB340" i="31"/>
  <c r="AC340" i="31"/>
  <c r="AD340" i="31"/>
  <c r="AF340" i="31"/>
  <c r="AG340" i="31"/>
  <c r="AH340" i="31"/>
  <c r="E341" i="31"/>
  <c r="F341" i="31"/>
  <c r="G341" i="31"/>
  <c r="H341" i="31"/>
  <c r="I341" i="31"/>
  <c r="J341" i="31"/>
  <c r="K341" i="31"/>
  <c r="L341" i="31"/>
  <c r="M341" i="31"/>
  <c r="N341" i="31"/>
  <c r="O341" i="31"/>
  <c r="P341" i="31"/>
  <c r="Q341" i="31"/>
  <c r="S341" i="31"/>
  <c r="T341" i="31"/>
  <c r="U341" i="31"/>
  <c r="V341" i="31"/>
  <c r="Z341" i="31"/>
  <c r="AA341" i="31"/>
  <c r="AB341" i="31"/>
  <c r="AC341" i="31"/>
  <c r="AD341" i="31"/>
  <c r="AF341" i="31"/>
  <c r="AG341" i="31"/>
  <c r="AH341" i="31"/>
  <c r="E342" i="31"/>
  <c r="F342" i="31"/>
  <c r="G342" i="31"/>
  <c r="H342" i="31"/>
  <c r="I342" i="31"/>
  <c r="J342" i="31"/>
  <c r="K342" i="31"/>
  <c r="L342" i="31"/>
  <c r="M342" i="31"/>
  <c r="N342" i="31"/>
  <c r="O342" i="31"/>
  <c r="P342" i="31"/>
  <c r="Q342" i="31"/>
  <c r="S342" i="31"/>
  <c r="T342" i="31"/>
  <c r="U342" i="31"/>
  <c r="V342" i="31"/>
  <c r="Z342" i="31"/>
  <c r="AA342" i="31"/>
  <c r="AB342" i="31"/>
  <c r="AC342" i="31"/>
  <c r="AD342" i="31"/>
  <c r="AF342" i="31"/>
  <c r="AG342" i="31"/>
  <c r="AH342" i="31"/>
  <c r="E343" i="31"/>
  <c r="F343" i="31"/>
  <c r="G343" i="31"/>
  <c r="H343" i="31"/>
  <c r="I343" i="31"/>
  <c r="J343" i="31"/>
  <c r="K343" i="31"/>
  <c r="L343" i="31"/>
  <c r="M343" i="31"/>
  <c r="N343" i="31"/>
  <c r="O343" i="31"/>
  <c r="P343" i="31"/>
  <c r="Q343" i="31"/>
  <c r="S343" i="31"/>
  <c r="T343" i="31"/>
  <c r="U343" i="31"/>
  <c r="V343" i="31"/>
  <c r="Z343" i="31"/>
  <c r="AA343" i="31"/>
  <c r="AB343" i="31"/>
  <c r="AC343" i="31"/>
  <c r="AD343" i="31"/>
  <c r="AF343" i="31"/>
  <c r="AG343" i="31"/>
  <c r="AH343" i="31"/>
  <c r="E345" i="31"/>
  <c r="F345" i="31"/>
  <c r="G345" i="31"/>
  <c r="H345" i="31"/>
  <c r="I345" i="31"/>
  <c r="J345" i="31"/>
  <c r="K345" i="31"/>
  <c r="L345" i="31"/>
  <c r="M345" i="31"/>
  <c r="N345" i="31"/>
  <c r="O345" i="31"/>
  <c r="P345" i="31"/>
  <c r="Q345" i="31"/>
  <c r="S345" i="31"/>
  <c r="T345" i="31"/>
  <c r="U345" i="31"/>
  <c r="V345" i="31"/>
  <c r="Z345" i="31"/>
  <c r="AA345" i="31"/>
  <c r="AB345" i="31"/>
  <c r="AC345" i="31"/>
  <c r="AD345" i="31"/>
  <c r="AF345" i="31"/>
  <c r="AG345" i="31"/>
  <c r="AH345" i="31"/>
  <c r="E348" i="31"/>
  <c r="F348" i="31"/>
  <c r="G348" i="31"/>
  <c r="H348" i="31"/>
  <c r="I348" i="31"/>
  <c r="J348" i="31"/>
  <c r="K348" i="31"/>
  <c r="L348" i="31"/>
  <c r="M348" i="31"/>
  <c r="N348" i="31"/>
  <c r="O348" i="31"/>
  <c r="P348" i="31"/>
  <c r="Q348" i="31"/>
  <c r="S348" i="31"/>
  <c r="T348" i="31"/>
  <c r="U348" i="31"/>
  <c r="V348" i="31"/>
  <c r="Z348" i="31"/>
  <c r="AA348" i="31"/>
  <c r="AB348" i="31"/>
  <c r="AC348" i="31"/>
  <c r="AD348" i="31"/>
  <c r="AF348" i="31"/>
  <c r="AG348" i="31"/>
  <c r="AH348" i="31"/>
  <c r="E338" i="32"/>
  <c r="F338" i="32"/>
  <c r="G338" i="32"/>
  <c r="H338" i="32"/>
  <c r="I338" i="32"/>
  <c r="J338" i="32"/>
  <c r="K338" i="32"/>
  <c r="L338" i="32"/>
  <c r="M338" i="32"/>
  <c r="N338" i="32"/>
  <c r="O338" i="32"/>
  <c r="P338" i="32"/>
  <c r="Q338" i="32"/>
  <c r="S338" i="32"/>
  <c r="T338" i="32"/>
  <c r="U338" i="32"/>
  <c r="V338" i="32"/>
  <c r="Z338" i="32"/>
  <c r="AA338" i="32"/>
  <c r="AB338" i="32"/>
  <c r="AC338" i="32"/>
  <c r="AD338" i="32"/>
  <c r="AF338" i="32"/>
  <c r="AG338" i="32"/>
  <c r="AH338" i="32"/>
  <c r="E339" i="32"/>
  <c r="F339" i="32"/>
  <c r="G339" i="32"/>
  <c r="H339" i="32"/>
  <c r="I339" i="32"/>
  <c r="J339" i="32"/>
  <c r="K339" i="32"/>
  <c r="L339" i="32"/>
  <c r="M339" i="32"/>
  <c r="N339" i="32"/>
  <c r="O339" i="32"/>
  <c r="P339" i="32"/>
  <c r="Q339" i="32"/>
  <c r="S339" i="32"/>
  <c r="T339" i="32"/>
  <c r="U339" i="32"/>
  <c r="V339" i="32"/>
  <c r="Z339" i="32"/>
  <c r="AA339" i="32"/>
  <c r="AB339" i="32"/>
  <c r="AC339" i="32"/>
  <c r="AD339" i="32"/>
  <c r="AF339" i="32"/>
  <c r="AG339" i="32"/>
  <c r="AH339" i="32"/>
  <c r="E340" i="32"/>
  <c r="F340" i="32"/>
  <c r="G340" i="32"/>
  <c r="H340" i="32"/>
  <c r="I340" i="32"/>
  <c r="J340" i="32"/>
  <c r="K340" i="32"/>
  <c r="L340" i="32"/>
  <c r="M340" i="32"/>
  <c r="N340" i="32"/>
  <c r="O340" i="32"/>
  <c r="P340" i="32"/>
  <c r="Q340" i="32"/>
  <c r="S340" i="32"/>
  <c r="T340" i="32"/>
  <c r="U340" i="32"/>
  <c r="V340" i="32"/>
  <c r="Z340" i="32"/>
  <c r="AA340" i="32"/>
  <c r="AB340" i="32"/>
  <c r="AC340" i="32"/>
  <c r="AD340" i="32"/>
  <c r="AF340" i="32"/>
  <c r="AG340" i="32"/>
  <c r="AH340" i="32"/>
  <c r="E341" i="32"/>
  <c r="F341" i="32"/>
  <c r="G341" i="32"/>
  <c r="H341" i="32"/>
  <c r="I341" i="32"/>
  <c r="J341" i="32"/>
  <c r="K341" i="32"/>
  <c r="L341" i="32"/>
  <c r="M341" i="32"/>
  <c r="N341" i="32"/>
  <c r="O341" i="32"/>
  <c r="P341" i="32"/>
  <c r="Q341" i="32"/>
  <c r="S341" i="32"/>
  <c r="T341" i="32"/>
  <c r="U341" i="32"/>
  <c r="V341" i="32"/>
  <c r="Z341" i="32"/>
  <c r="AA341" i="32"/>
  <c r="AB341" i="32"/>
  <c r="AC341" i="32"/>
  <c r="AD341" i="32"/>
  <c r="AF341" i="32"/>
  <c r="AG341" i="32"/>
  <c r="AH341" i="32"/>
  <c r="E342" i="32"/>
  <c r="F342" i="32"/>
  <c r="G342" i="32"/>
  <c r="H342" i="32"/>
  <c r="I342" i="32"/>
  <c r="J342" i="32"/>
  <c r="K342" i="32"/>
  <c r="L342" i="32"/>
  <c r="M342" i="32"/>
  <c r="N342" i="32"/>
  <c r="O342" i="32"/>
  <c r="P342" i="32"/>
  <c r="Q342" i="32"/>
  <c r="S342" i="32"/>
  <c r="T342" i="32"/>
  <c r="U342" i="32"/>
  <c r="V342" i="32"/>
  <c r="Z342" i="32"/>
  <c r="AA342" i="32"/>
  <c r="AB342" i="32"/>
  <c r="AC342" i="32"/>
  <c r="AD342" i="32"/>
  <c r="AF342" i="32"/>
  <c r="AG342" i="32"/>
  <c r="AH342" i="32"/>
  <c r="E343" i="32"/>
  <c r="F343" i="32"/>
  <c r="G343" i="32"/>
  <c r="H343" i="32"/>
  <c r="I343" i="32"/>
  <c r="J343" i="32"/>
  <c r="K343" i="32"/>
  <c r="L343" i="32"/>
  <c r="M343" i="32"/>
  <c r="N343" i="32"/>
  <c r="O343" i="32"/>
  <c r="P343" i="32"/>
  <c r="Q343" i="32"/>
  <c r="S343" i="32"/>
  <c r="T343" i="32"/>
  <c r="U343" i="32"/>
  <c r="V343" i="32"/>
  <c r="Z343" i="32"/>
  <c r="AA343" i="32"/>
  <c r="AB343" i="32"/>
  <c r="AC343" i="32"/>
  <c r="AD343" i="32"/>
  <c r="AF343" i="32"/>
  <c r="AG343" i="32"/>
  <c r="AH343" i="32"/>
  <c r="E345" i="32"/>
  <c r="F345" i="32"/>
  <c r="G345" i="32"/>
  <c r="H345" i="32"/>
  <c r="I345" i="32"/>
  <c r="J345" i="32"/>
  <c r="K345" i="32"/>
  <c r="L345" i="32"/>
  <c r="M345" i="32"/>
  <c r="N345" i="32"/>
  <c r="O345" i="32"/>
  <c r="P345" i="32"/>
  <c r="Q345" i="32"/>
  <c r="S345" i="32"/>
  <c r="T345" i="32"/>
  <c r="U345" i="32"/>
  <c r="V345" i="32"/>
  <c r="Z345" i="32"/>
  <c r="AA345" i="32"/>
  <c r="AB345" i="32"/>
  <c r="AC345" i="32"/>
  <c r="AD345" i="32"/>
  <c r="AF345" i="32"/>
  <c r="AG345" i="32"/>
  <c r="AH345" i="32"/>
  <c r="E348" i="32"/>
  <c r="F348" i="32"/>
  <c r="G348" i="32"/>
  <c r="H348" i="32"/>
  <c r="I348" i="32"/>
  <c r="J348" i="32"/>
  <c r="K348" i="32"/>
  <c r="L348" i="32"/>
  <c r="M348" i="32"/>
  <c r="N348" i="32"/>
  <c r="O348" i="32"/>
  <c r="P348" i="32"/>
  <c r="Q348" i="32"/>
  <c r="S348" i="32"/>
  <c r="T348" i="32"/>
  <c r="U348" i="32"/>
  <c r="V348" i="32"/>
  <c r="Z348" i="32"/>
  <c r="AA348" i="32"/>
  <c r="AB348" i="32"/>
  <c r="AC348" i="32"/>
  <c r="AD348" i="32"/>
  <c r="AF348" i="32"/>
  <c r="AG348" i="32"/>
  <c r="AH348" i="32"/>
  <c r="E338" i="33"/>
  <c r="F338" i="33"/>
  <c r="G338" i="33"/>
  <c r="H338" i="33"/>
  <c r="I338" i="33"/>
  <c r="J338" i="33"/>
  <c r="K338" i="33"/>
  <c r="L338" i="33"/>
  <c r="M338" i="33"/>
  <c r="N338" i="33"/>
  <c r="O338" i="33"/>
  <c r="P338" i="33"/>
  <c r="Q338" i="33"/>
  <c r="S338" i="33"/>
  <c r="T338" i="33"/>
  <c r="U338" i="33"/>
  <c r="V338" i="33"/>
  <c r="Z338" i="33"/>
  <c r="AA338" i="33"/>
  <c r="AB338" i="33"/>
  <c r="AC338" i="33"/>
  <c r="AD338" i="33"/>
  <c r="AF338" i="33"/>
  <c r="AG338" i="33"/>
  <c r="AH338" i="33"/>
  <c r="E339" i="33"/>
  <c r="F339" i="33"/>
  <c r="G339" i="33"/>
  <c r="H339" i="33"/>
  <c r="I339" i="33"/>
  <c r="J339" i="33"/>
  <c r="K339" i="33"/>
  <c r="L339" i="33"/>
  <c r="M339" i="33"/>
  <c r="N339" i="33"/>
  <c r="O339" i="33"/>
  <c r="P339" i="33"/>
  <c r="Q339" i="33"/>
  <c r="S339" i="33"/>
  <c r="T339" i="33"/>
  <c r="U339" i="33"/>
  <c r="V339" i="33"/>
  <c r="Z339" i="33"/>
  <c r="AA339" i="33"/>
  <c r="AB339" i="33"/>
  <c r="AC339" i="33"/>
  <c r="AD339" i="33"/>
  <c r="AF339" i="33"/>
  <c r="AG339" i="33"/>
  <c r="AH339" i="33"/>
  <c r="E340" i="33"/>
  <c r="F340" i="33"/>
  <c r="G340" i="33"/>
  <c r="H340" i="33"/>
  <c r="I340" i="33"/>
  <c r="J340" i="33"/>
  <c r="K340" i="33"/>
  <c r="L340" i="33"/>
  <c r="M340" i="33"/>
  <c r="N340" i="33"/>
  <c r="O340" i="33"/>
  <c r="P340" i="33"/>
  <c r="Q340" i="33"/>
  <c r="S340" i="33"/>
  <c r="T340" i="33"/>
  <c r="U340" i="33"/>
  <c r="V340" i="33"/>
  <c r="Z340" i="33"/>
  <c r="AA340" i="33"/>
  <c r="AB340" i="33"/>
  <c r="AC340" i="33"/>
  <c r="AD340" i="33"/>
  <c r="AF340" i="33"/>
  <c r="AG340" i="33"/>
  <c r="AH340" i="33"/>
  <c r="E341" i="33"/>
  <c r="F341" i="33"/>
  <c r="G341" i="33"/>
  <c r="H341" i="33"/>
  <c r="I341" i="33"/>
  <c r="J341" i="33"/>
  <c r="K341" i="33"/>
  <c r="L341" i="33"/>
  <c r="M341" i="33"/>
  <c r="N341" i="33"/>
  <c r="O341" i="33"/>
  <c r="P341" i="33"/>
  <c r="Q341" i="33"/>
  <c r="S341" i="33"/>
  <c r="T341" i="33"/>
  <c r="U341" i="33"/>
  <c r="V341" i="33"/>
  <c r="Z341" i="33"/>
  <c r="AA341" i="33"/>
  <c r="AB341" i="33"/>
  <c r="AC341" i="33"/>
  <c r="AD341" i="33"/>
  <c r="AF341" i="33"/>
  <c r="AG341" i="33"/>
  <c r="AH341" i="33"/>
  <c r="E342" i="33"/>
  <c r="F342" i="33"/>
  <c r="G342" i="33"/>
  <c r="H342" i="33"/>
  <c r="I342" i="33"/>
  <c r="J342" i="33"/>
  <c r="K342" i="33"/>
  <c r="L342" i="33"/>
  <c r="M342" i="33"/>
  <c r="N342" i="33"/>
  <c r="O342" i="33"/>
  <c r="P342" i="33"/>
  <c r="Q342" i="33"/>
  <c r="S342" i="33"/>
  <c r="T342" i="33"/>
  <c r="U342" i="33"/>
  <c r="V342" i="33"/>
  <c r="Z342" i="33"/>
  <c r="AA342" i="33"/>
  <c r="AB342" i="33"/>
  <c r="AC342" i="33"/>
  <c r="AD342" i="33"/>
  <c r="AF342" i="33"/>
  <c r="AG342" i="33"/>
  <c r="AH342" i="33"/>
  <c r="E343" i="33"/>
  <c r="F343" i="33"/>
  <c r="G343" i="33"/>
  <c r="H343" i="33"/>
  <c r="I343" i="33"/>
  <c r="J343" i="33"/>
  <c r="K343" i="33"/>
  <c r="L343" i="33"/>
  <c r="M343" i="33"/>
  <c r="N343" i="33"/>
  <c r="O343" i="33"/>
  <c r="P343" i="33"/>
  <c r="Q343" i="33"/>
  <c r="S343" i="33"/>
  <c r="T343" i="33"/>
  <c r="U343" i="33"/>
  <c r="V343" i="33"/>
  <c r="Z343" i="33"/>
  <c r="AA343" i="33"/>
  <c r="AB343" i="33"/>
  <c r="AC343" i="33"/>
  <c r="AD343" i="33"/>
  <c r="AF343" i="33"/>
  <c r="AG343" i="33"/>
  <c r="AH343" i="33"/>
  <c r="E345" i="33"/>
  <c r="F345" i="33"/>
  <c r="G345" i="33"/>
  <c r="H345" i="33"/>
  <c r="I345" i="33"/>
  <c r="J345" i="33"/>
  <c r="K345" i="33"/>
  <c r="L345" i="33"/>
  <c r="M345" i="33"/>
  <c r="N345" i="33"/>
  <c r="O345" i="33"/>
  <c r="P345" i="33"/>
  <c r="Q345" i="33"/>
  <c r="S345" i="33"/>
  <c r="T345" i="33"/>
  <c r="U345" i="33"/>
  <c r="V345" i="33"/>
  <c r="Z345" i="33"/>
  <c r="AA345" i="33"/>
  <c r="AB345" i="33"/>
  <c r="AC345" i="33"/>
  <c r="AD345" i="33"/>
  <c r="AF345" i="33"/>
  <c r="AG345" i="33"/>
  <c r="AH345" i="33"/>
  <c r="E348" i="33"/>
  <c r="F348" i="33"/>
  <c r="G348" i="33"/>
  <c r="H348" i="33"/>
  <c r="I348" i="33"/>
  <c r="J348" i="33"/>
  <c r="K348" i="33"/>
  <c r="L348" i="33"/>
  <c r="M348" i="33"/>
  <c r="N348" i="33"/>
  <c r="O348" i="33"/>
  <c r="P348" i="33"/>
  <c r="Q348" i="33"/>
  <c r="S348" i="33"/>
  <c r="T348" i="33"/>
  <c r="U348" i="33"/>
  <c r="V348" i="33"/>
  <c r="Z348" i="33"/>
  <c r="AA348" i="33"/>
  <c r="AB348" i="33"/>
  <c r="AC348" i="33"/>
  <c r="AD348" i="33"/>
  <c r="AF348" i="33"/>
  <c r="AG348" i="33"/>
  <c r="AH348" i="33"/>
  <c r="E338" i="3"/>
  <c r="F338" i="3"/>
  <c r="G338" i="3"/>
  <c r="H338" i="3"/>
  <c r="I338" i="3"/>
  <c r="J338" i="3"/>
  <c r="K338" i="3"/>
  <c r="L338" i="3"/>
  <c r="M338" i="3"/>
  <c r="N338" i="3"/>
  <c r="O338" i="3"/>
  <c r="P338" i="3"/>
  <c r="Q338" i="3"/>
  <c r="S338" i="3"/>
  <c r="T338" i="3"/>
  <c r="U338" i="3"/>
  <c r="V338" i="3"/>
  <c r="Z338" i="3"/>
  <c r="AA338" i="3"/>
  <c r="AB338" i="3"/>
  <c r="AC338" i="3"/>
  <c r="AD338" i="3"/>
  <c r="AF338" i="3"/>
  <c r="AG338" i="3"/>
  <c r="AH338" i="3"/>
  <c r="E339" i="3"/>
  <c r="F339" i="3"/>
  <c r="G339" i="3"/>
  <c r="H339" i="3"/>
  <c r="I339" i="3"/>
  <c r="J339" i="3"/>
  <c r="K339" i="3"/>
  <c r="L339" i="3"/>
  <c r="M339" i="3"/>
  <c r="N339" i="3"/>
  <c r="O339" i="3"/>
  <c r="P339" i="3"/>
  <c r="Q339" i="3"/>
  <c r="S339" i="3"/>
  <c r="T339" i="3"/>
  <c r="U339" i="3"/>
  <c r="V339" i="3"/>
  <c r="Z339" i="3"/>
  <c r="AA339" i="3"/>
  <c r="AB339" i="3"/>
  <c r="AC339" i="3"/>
  <c r="AD339" i="3"/>
  <c r="AF339" i="3"/>
  <c r="AG339" i="3"/>
  <c r="AH339" i="3"/>
  <c r="E340" i="3"/>
  <c r="F340" i="3"/>
  <c r="G340" i="3"/>
  <c r="H340" i="3"/>
  <c r="I340" i="3"/>
  <c r="J340" i="3"/>
  <c r="K340" i="3"/>
  <c r="L340" i="3"/>
  <c r="M340" i="3"/>
  <c r="N340" i="3"/>
  <c r="O340" i="3"/>
  <c r="P340" i="3"/>
  <c r="Q340" i="3"/>
  <c r="S340" i="3"/>
  <c r="T340" i="3"/>
  <c r="U340" i="3"/>
  <c r="V340" i="3"/>
  <c r="Z340" i="3"/>
  <c r="AA340" i="3"/>
  <c r="AB340" i="3"/>
  <c r="AC340" i="3"/>
  <c r="AD340" i="3"/>
  <c r="AF340" i="3"/>
  <c r="AG340" i="3"/>
  <c r="AH340" i="3"/>
  <c r="E341" i="3"/>
  <c r="F341" i="3"/>
  <c r="G341" i="3"/>
  <c r="H341" i="3"/>
  <c r="I341" i="3"/>
  <c r="J341" i="3"/>
  <c r="K341" i="3"/>
  <c r="L341" i="3"/>
  <c r="M341" i="3"/>
  <c r="N341" i="3"/>
  <c r="O341" i="3"/>
  <c r="P341" i="3"/>
  <c r="Q341" i="3"/>
  <c r="S341" i="3"/>
  <c r="T341" i="3"/>
  <c r="U341" i="3"/>
  <c r="V341" i="3"/>
  <c r="Z341" i="3"/>
  <c r="AA341" i="3"/>
  <c r="AB341" i="3"/>
  <c r="AC341" i="3"/>
  <c r="AD341" i="3"/>
  <c r="AF341" i="3"/>
  <c r="AG341" i="3"/>
  <c r="AH341" i="3"/>
  <c r="E342" i="3"/>
  <c r="F342" i="3"/>
  <c r="G342" i="3"/>
  <c r="H342" i="3"/>
  <c r="I342" i="3"/>
  <c r="J342" i="3"/>
  <c r="K342" i="3"/>
  <c r="L342" i="3"/>
  <c r="M342" i="3"/>
  <c r="N342" i="3"/>
  <c r="O342" i="3"/>
  <c r="P342" i="3"/>
  <c r="Q342" i="3"/>
  <c r="S342" i="3"/>
  <c r="T342" i="3"/>
  <c r="U342" i="3"/>
  <c r="V342" i="3"/>
  <c r="Z342" i="3"/>
  <c r="AA342" i="3"/>
  <c r="AB342" i="3"/>
  <c r="AC342" i="3"/>
  <c r="AD342" i="3"/>
  <c r="AF342" i="3"/>
  <c r="AG342" i="3"/>
  <c r="AH342" i="3"/>
  <c r="E343" i="3"/>
  <c r="F343" i="3"/>
  <c r="G343" i="3"/>
  <c r="H343" i="3"/>
  <c r="I343" i="3"/>
  <c r="J343" i="3"/>
  <c r="K343" i="3"/>
  <c r="L343" i="3"/>
  <c r="M343" i="3"/>
  <c r="N343" i="3"/>
  <c r="O343" i="3"/>
  <c r="P343" i="3"/>
  <c r="Q343" i="3"/>
  <c r="S343" i="3"/>
  <c r="T343" i="3"/>
  <c r="U343" i="3"/>
  <c r="V343" i="3"/>
  <c r="Z343" i="3"/>
  <c r="AA343" i="3"/>
  <c r="AB343" i="3"/>
  <c r="AC343" i="3"/>
  <c r="AD343" i="3"/>
  <c r="AF343" i="3"/>
  <c r="AG343" i="3"/>
  <c r="AH343" i="3"/>
  <c r="E345" i="3"/>
  <c r="F345" i="3"/>
  <c r="G345" i="3"/>
  <c r="H345" i="3"/>
  <c r="I345" i="3"/>
  <c r="J345" i="3"/>
  <c r="K345" i="3"/>
  <c r="L345" i="3"/>
  <c r="M345" i="3"/>
  <c r="N345" i="3"/>
  <c r="O345" i="3"/>
  <c r="P345" i="3"/>
  <c r="Q345" i="3"/>
  <c r="S345" i="3"/>
  <c r="T345" i="3"/>
  <c r="U345" i="3"/>
  <c r="V345" i="3"/>
  <c r="Z345" i="3"/>
  <c r="AA345" i="3"/>
  <c r="AB345" i="3"/>
  <c r="AC345" i="3"/>
  <c r="AD345" i="3"/>
  <c r="AF345" i="3"/>
  <c r="AG345" i="3"/>
  <c r="AH345" i="3"/>
  <c r="E348" i="3"/>
  <c r="F348" i="3"/>
  <c r="G348" i="3"/>
  <c r="H348" i="3"/>
  <c r="I348" i="3"/>
  <c r="J348" i="3"/>
  <c r="K348" i="3"/>
  <c r="L348" i="3"/>
  <c r="M348" i="3"/>
  <c r="N348" i="3"/>
  <c r="O348" i="3"/>
  <c r="P348" i="3"/>
  <c r="Q348" i="3"/>
  <c r="S348" i="3"/>
  <c r="T348" i="3"/>
  <c r="U348" i="3"/>
  <c r="V348" i="3"/>
  <c r="Z348" i="3"/>
  <c r="AA348" i="3"/>
  <c r="AB348" i="3"/>
  <c r="AC348" i="3"/>
  <c r="AD348" i="3"/>
  <c r="AF348" i="3"/>
  <c r="AG348" i="3"/>
  <c r="AH348" i="3"/>
  <c r="I27" i="26"/>
  <c r="I25" i="26"/>
  <c r="I26" i="26"/>
  <c r="I24" i="26"/>
  <c r="I36" i="26"/>
  <c r="I41" i="26"/>
  <c r="AG67" i="26"/>
  <c r="AJ72" i="10"/>
  <c r="AK67" i="17"/>
  <c r="AH67" i="10"/>
  <c r="AH66" i="10"/>
  <c r="AI62" i="17"/>
  <c r="AI61" i="17"/>
  <c r="AE62" i="26"/>
  <c r="AE61" i="26"/>
  <c r="E44" i="17"/>
  <c r="T44" i="17" s="1"/>
  <c r="E43" i="17"/>
  <c r="T43" i="17" s="1"/>
  <c r="E42" i="17"/>
  <c r="T42" i="17" s="1"/>
  <c r="E41" i="17"/>
  <c r="T41" i="17" s="1"/>
  <c r="F44" i="17"/>
  <c r="F43" i="17"/>
  <c r="F42" i="17"/>
  <c r="U42" i="17" s="1"/>
  <c r="F41" i="17"/>
  <c r="U41" i="17" s="1"/>
  <c r="E58" i="17"/>
  <c r="T58" i="17" s="1"/>
  <c r="E57" i="17"/>
  <c r="T57" i="17" s="1"/>
  <c r="E56" i="17"/>
  <c r="T56" i="17" s="1"/>
  <c r="E54" i="17"/>
  <c r="T54" i="17" s="1"/>
  <c r="E53" i="17"/>
  <c r="T53" i="17" s="1"/>
  <c r="E52" i="17"/>
  <c r="T52" i="17" s="1"/>
  <c r="E51" i="17"/>
  <c r="T51" i="17" s="1"/>
  <c r="E50" i="17"/>
  <c r="T50" i="17" s="1"/>
  <c r="E38" i="17"/>
  <c r="T38" i="17" s="1"/>
  <c r="E37" i="17"/>
  <c r="T37" i="17" s="1"/>
  <c r="E36" i="17"/>
  <c r="T36" i="17" s="1"/>
  <c r="E35" i="17"/>
  <c r="T35" i="17" s="1"/>
  <c r="E34" i="17"/>
  <c r="T34" i="17" s="1"/>
  <c r="E32" i="17"/>
  <c r="T32" i="17" s="1"/>
  <c r="E31" i="17"/>
  <c r="T31" i="17" s="1"/>
  <c r="E30" i="17"/>
  <c r="T30" i="17" s="1"/>
  <c r="E29" i="17"/>
  <c r="T29" i="17" s="1"/>
  <c r="E28" i="17"/>
  <c r="T28" i="17" s="1"/>
  <c r="E27" i="17"/>
  <c r="T27" i="17" s="1"/>
  <c r="E26" i="17"/>
  <c r="T26" i="17" s="1"/>
  <c r="E25" i="17"/>
  <c r="T25" i="17" s="1"/>
  <c r="D11" i="26"/>
  <c r="I29" i="26"/>
  <c r="I23" i="26"/>
  <c r="I22" i="26"/>
  <c r="I14" i="26"/>
  <c r="E33" i="33"/>
  <c r="E31" i="33" s="1"/>
  <c r="D40" i="33" s="1"/>
  <c r="Q50" i="17"/>
  <c r="S50" i="17"/>
  <c r="V50" i="17"/>
  <c r="Q51" i="17"/>
  <c r="V51" i="17"/>
  <c r="Q52" i="17"/>
  <c r="V52" i="17"/>
  <c r="Q53" i="17"/>
  <c r="V53" i="17"/>
  <c r="Q54" i="17"/>
  <c r="V54" i="17"/>
  <c r="Q56" i="17"/>
  <c r="V56" i="17"/>
  <c r="U29" i="26"/>
  <c r="Y29" i="26"/>
  <c r="AC29" i="26"/>
  <c r="D180" i="30"/>
  <c r="E180" i="30" s="1"/>
  <c r="D181" i="30"/>
  <c r="E181" i="30" s="1"/>
  <c r="D182" i="30"/>
  <c r="E182" i="30" s="1"/>
  <c r="D183" i="30"/>
  <c r="E183" i="30" s="1"/>
  <c r="D184" i="30"/>
  <c r="E184" i="30" s="1"/>
  <c r="D185" i="30"/>
  <c r="E185" i="30" s="1"/>
  <c r="D186" i="30"/>
  <c r="E186" i="30" s="1"/>
  <c r="D180" i="31"/>
  <c r="E180" i="31" s="1"/>
  <c r="D181" i="31"/>
  <c r="E181" i="31" s="1"/>
  <c r="D182" i="31"/>
  <c r="E182" i="31" s="1"/>
  <c r="D183" i="31"/>
  <c r="E183" i="31" s="1"/>
  <c r="D184" i="31"/>
  <c r="E184" i="31" s="1"/>
  <c r="D185" i="31"/>
  <c r="E185" i="31" s="1"/>
  <c r="D186" i="31"/>
  <c r="E186" i="31" s="1"/>
  <c r="D180" i="32"/>
  <c r="E180" i="32" s="1"/>
  <c r="D181" i="32"/>
  <c r="E181" i="32" s="1"/>
  <c r="D182" i="32"/>
  <c r="E182" i="32" s="1"/>
  <c r="D183" i="32"/>
  <c r="E183" i="32" s="1"/>
  <c r="D184" i="32"/>
  <c r="E184" i="32" s="1"/>
  <c r="D185" i="32"/>
  <c r="E185" i="32" s="1"/>
  <c r="D186" i="32"/>
  <c r="E186" i="32" s="1"/>
  <c r="D180" i="33"/>
  <c r="E180" i="33" s="1"/>
  <c r="D181" i="33"/>
  <c r="E181" i="33" s="1"/>
  <c r="D182" i="33"/>
  <c r="E182" i="33" s="1"/>
  <c r="D183" i="33"/>
  <c r="E183" i="33" s="1"/>
  <c r="D184" i="33"/>
  <c r="E184" i="33" s="1"/>
  <c r="D185" i="33"/>
  <c r="E185" i="33" s="1"/>
  <c r="D186" i="33"/>
  <c r="E186" i="33" s="1"/>
  <c r="D180" i="3"/>
  <c r="E180" i="3" s="1"/>
  <c r="D181" i="3"/>
  <c r="E181" i="3" s="1"/>
  <c r="D182" i="3"/>
  <c r="E182" i="3" s="1"/>
  <c r="D183" i="3"/>
  <c r="E183" i="3" s="1"/>
  <c r="D184" i="3"/>
  <c r="E184" i="3" s="1"/>
  <c r="D185" i="3"/>
  <c r="E185" i="3" s="1"/>
  <c r="D186" i="3"/>
  <c r="E186" i="3" s="1"/>
  <c r="D179" i="30"/>
  <c r="E179" i="30" s="1"/>
  <c r="D179" i="31"/>
  <c r="E179" i="31" s="1"/>
  <c r="D179" i="32"/>
  <c r="E179" i="32" s="1"/>
  <c r="D179" i="33"/>
  <c r="E179" i="33" s="1"/>
  <c r="D179" i="3"/>
  <c r="E179" i="3" s="1"/>
  <c r="F230" i="16"/>
  <c r="E230" i="16"/>
  <c r="F229" i="16"/>
  <c r="E229" i="16"/>
  <c r="F228" i="16"/>
  <c r="E228" i="16"/>
  <c r="F227" i="16"/>
  <c r="E227" i="16"/>
  <c r="F226" i="16"/>
  <c r="E226" i="16"/>
  <c r="F225" i="16"/>
  <c r="E225" i="16"/>
  <c r="F224" i="16"/>
  <c r="E224" i="16"/>
  <c r="F223" i="16"/>
  <c r="E223" i="16"/>
  <c r="F186" i="30"/>
  <c r="F185" i="30"/>
  <c r="F184" i="30"/>
  <c r="F183" i="30"/>
  <c r="F182" i="30"/>
  <c r="F181" i="30"/>
  <c r="F180" i="30"/>
  <c r="F179" i="30"/>
  <c r="F186" i="31"/>
  <c r="F185" i="31"/>
  <c r="F184" i="31"/>
  <c r="F183" i="31"/>
  <c r="F182" i="31"/>
  <c r="F181" i="31"/>
  <c r="F180" i="31"/>
  <c r="F179" i="31"/>
  <c r="F186" i="32"/>
  <c r="H186" i="32" s="1"/>
  <c r="I186" i="32" s="1"/>
  <c r="F185" i="32"/>
  <c r="F184" i="32"/>
  <c r="F183" i="32"/>
  <c r="F182" i="32"/>
  <c r="F181" i="32"/>
  <c r="F180" i="32"/>
  <c r="F179" i="32"/>
  <c r="F186" i="33"/>
  <c r="F185" i="33"/>
  <c r="F184" i="33"/>
  <c r="F183" i="33"/>
  <c r="F182" i="33"/>
  <c r="F181" i="33"/>
  <c r="F180" i="33"/>
  <c r="F179" i="33"/>
  <c r="F186" i="3"/>
  <c r="F185" i="3"/>
  <c r="F184" i="3"/>
  <c r="F183" i="3"/>
  <c r="F182" i="3"/>
  <c r="F181" i="3"/>
  <c r="F180" i="3"/>
  <c r="F179" i="3"/>
  <c r="F173" i="30"/>
  <c r="F172" i="30"/>
  <c r="F171" i="30"/>
  <c r="F170" i="30"/>
  <c r="F169" i="30"/>
  <c r="F168" i="30"/>
  <c r="F167" i="30"/>
  <c r="F166" i="30"/>
  <c r="F173" i="31"/>
  <c r="F172" i="31"/>
  <c r="F171" i="31"/>
  <c r="F170" i="31"/>
  <c r="F169" i="31"/>
  <c r="F168" i="31"/>
  <c r="F167" i="31"/>
  <c r="F166" i="31"/>
  <c r="F173" i="32"/>
  <c r="F172" i="32"/>
  <c r="F171" i="32"/>
  <c r="F170" i="32"/>
  <c r="F169" i="32"/>
  <c r="F168" i="32"/>
  <c r="F167" i="32"/>
  <c r="F166" i="32"/>
  <c r="F173" i="33"/>
  <c r="F172" i="33"/>
  <c r="F171" i="33"/>
  <c r="F170" i="33"/>
  <c r="F169" i="33"/>
  <c r="F168" i="33"/>
  <c r="F167" i="33"/>
  <c r="F166" i="33"/>
  <c r="F173" i="3"/>
  <c r="F172" i="3"/>
  <c r="F171" i="3"/>
  <c r="F170" i="3"/>
  <c r="F169" i="3"/>
  <c r="F168" i="3"/>
  <c r="F167" i="3"/>
  <c r="F166" i="3"/>
  <c r="F160" i="30"/>
  <c r="F159" i="30"/>
  <c r="F158" i="30"/>
  <c r="F157" i="30"/>
  <c r="F156" i="30"/>
  <c r="F155" i="30"/>
  <c r="F154" i="30"/>
  <c r="F153" i="30"/>
  <c r="F160" i="31"/>
  <c r="F159" i="31"/>
  <c r="F158" i="31"/>
  <c r="F157" i="31"/>
  <c r="F156" i="31"/>
  <c r="F155" i="31"/>
  <c r="F154" i="31"/>
  <c r="F153" i="31"/>
  <c r="F160" i="32"/>
  <c r="F159" i="32"/>
  <c r="F158" i="32"/>
  <c r="F157" i="32"/>
  <c r="F156" i="32"/>
  <c r="F155" i="32"/>
  <c r="F154" i="32"/>
  <c r="F153" i="32"/>
  <c r="F160" i="33"/>
  <c r="F159" i="33"/>
  <c r="F158" i="33"/>
  <c r="F157" i="33"/>
  <c r="F156" i="33"/>
  <c r="F155" i="33"/>
  <c r="F154" i="33"/>
  <c r="F153" i="33"/>
  <c r="F160" i="3"/>
  <c r="F159" i="3"/>
  <c r="F158" i="3"/>
  <c r="F157" i="3"/>
  <c r="F156" i="3"/>
  <c r="F155" i="3"/>
  <c r="F154" i="3"/>
  <c r="F153" i="3"/>
  <c r="D172" i="3"/>
  <c r="E172" i="3" s="1"/>
  <c r="D172" i="33"/>
  <c r="E172" i="33" s="1"/>
  <c r="D172" i="32"/>
  <c r="E172" i="32" s="1"/>
  <c r="D172" i="31"/>
  <c r="E172" i="31" s="1"/>
  <c r="D172" i="30"/>
  <c r="E172" i="30" s="1"/>
  <c r="D336" i="31" a="1"/>
  <c r="D336" i="33" a="1"/>
  <c r="D167" i="30"/>
  <c r="E167" i="30" s="1"/>
  <c r="D168" i="30"/>
  <c r="E168" i="30" s="1"/>
  <c r="D169" i="30"/>
  <c r="E169" i="30" s="1"/>
  <c r="D170" i="30"/>
  <c r="E170" i="30" s="1"/>
  <c r="D171" i="30"/>
  <c r="E171" i="30" s="1"/>
  <c r="D173" i="30"/>
  <c r="E173" i="30" s="1"/>
  <c r="D167" i="31"/>
  <c r="E167" i="31" s="1"/>
  <c r="D168" i="31"/>
  <c r="E168" i="31" s="1"/>
  <c r="G168" i="31" s="1"/>
  <c r="E226" i="31" s="1"/>
  <c r="D169" i="31"/>
  <c r="E169" i="31" s="1"/>
  <c r="D170" i="31"/>
  <c r="E170" i="31" s="1"/>
  <c r="D171" i="31"/>
  <c r="E171" i="31" s="1"/>
  <c r="D173" i="31"/>
  <c r="E173" i="31" s="1"/>
  <c r="D167" i="32"/>
  <c r="E167" i="32" s="1"/>
  <c r="D168" i="32"/>
  <c r="E168" i="32" s="1"/>
  <c r="D169" i="32"/>
  <c r="D170" i="32"/>
  <c r="E170" i="32" s="1"/>
  <c r="D171" i="32"/>
  <c r="E171" i="32" s="1"/>
  <c r="D173" i="32"/>
  <c r="E173" i="32" s="1"/>
  <c r="D167" i="33"/>
  <c r="E167" i="33" s="1"/>
  <c r="D168" i="33"/>
  <c r="E168" i="33" s="1"/>
  <c r="D169" i="33"/>
  <c r="E169" i="33" s="1"/>
  <c r="D170" i="33"/>
  <c r="E170" i="33" s="1"/>
  <c r="D171" i="33"/>
  <c r="E171" i="33" s="1"/>
  <c r="D173" i="33"/>
  <c r="E173" i="33" s="1"/>
  <c r="D167" i="3"/>
  <c r="E167" i="3" s="1"/>
  <c r="D168" i="3"/>
  <c r="E168" i="3" s="1"/>
  <c r="D169" i="3"/>
  <c r="D170" i="3"/>
  <c r="E170" i="3" s="1"/>
  <c r="D171" i="3"/>
  <c r="E171" i="3" s="1"/>
  <c r="H171" i="3" s="1"/>
  <c r="I171" i="3" s="1"/>
  <c r="D173" i="3"/>
  <c r="E173" i="3" s="1"/>
  <c r="D166" i="30"/>
  <c r="E166" i="30" s="1"/>
  <c r="D166" i="31"/>
  <c r="E166" i="31" s="1"/>
  <c r="D166" i="32"/>
  <c r="E166" i="32" s="1"/>
  <c r="H166" i="32" s="1"/>
  <c r="I166" i="32" s="1"/>
  <c r="D166" i="33"/>
  <c r="E166" i="33" s="1"/>
  <c r="D166" i="3"/>
  <c r="E166" i="3" s="1"/>
  <c r="D154" i="30"/>
  <c r="E154" i="30" s="1"/>
  <c r="D155" i="30"/>
  <c r="E155" i="30" s="1"/>
  <c r="D156" i="30"/>
  <c r="E156" i="30" s="1"/>
  <c r="H156" i="30" s="1"/>
  <c r="I156" i="30" s="1"/>
  <c r="D157" i="30"/>
  <c r="E157" i="30" s="1"/>
  <c r="D158" i="30"/>
  <c r="E158" i="30" s="1"/>
  <c r="D159" i="30"/>
  <c r="D160" i="30"/>
  <c r="E160" i="30" s="1"/>
  <c r="G160" i="30" s="1"/>
  <c r="D231" i="30" s="1"/>
  <c r="D154" i="31"/>
  <c r="E154" i="31" s="1"/>
  <c r="D155" i="31"/>
  <c r="E155" i="31" s="1"/>
  <c r="D156" i="31"/>
  <c r="E156" i="31" s="1"/>
  <c r="D157" i="31"/>
  <c r="E157" i="31" s="1"/>
  <c r="D158" i="31"/>
  <c r="E158" i="31" s="1"/>
  <c r="D159" i="31"/>
  <c r="E159" i="31" s="1"/>
  <c r="D160" i="31"/>
  <c r="D154" i="32"/>
  <c r="E154" i="32" s="1"/>
  <c r="D155" i="32"/>
  <c r="D156" i="32"/>
  <c r="E156" i="32" s="1"/>
  <c r="D157" i="32"/>
  <c r="E157" i="32" s="1"/>
  <c r="G157" i="32" s="1"/>
  <c r="D228" i="32" s="1"/>
  <c r="D158" i="32"/>
  <c r="E158" i="32" s="1"/>
  <c r="D159" i="32"/>
  <c r="E159" i="32" s="1"/>
  <c r="D160" i="32"/>
  <c r="E160" i="32" s="1"/>
  <c r="D154" i="33"/>
  <c r="E154" i="33" s="1"/>
  <c r="D155" i="33"/>
  <c r="E155" i="33" s="1"/>
  <c r="D156" i="33"/>
  <c r="E156" i="33" s="1"/>
  <c r="D157" i="33"/>
  <c r="D158" i="33"/>
  <c r="E158" i="33" s="1"/>
  <c r="D159" i="33"/>
  <c r="E159" i="33" s="1"/>
  <c r="D160" i="33"/>
  <c r="E160" i="33" s="1"/>
  <c r="D154" i="3"/>
  <c r="E154" i="3" s="1"/>
  <c r="H154" i="3" s="1"/>
  <c r="I154" i="3" s="1"/>
  <c r="D155" i="3"/>
  <c r="E155" i="3" s="1"/>
  <c r="D156" i="3"/>
  <c r="E156" i="3" s="1"/>
  <c r="G156" i="3" s="1"/>
  <c r="D227" i="3" s="1"/>
  <c r="D157" i="3"/>
  <c r="E157" i="3" s="1"/>
  <c r="D158" i="3"/>
  <c r="E158" i="3" s="1"/>
  <c r="G158" i="3" s="1"/>
  <c r="D229" i="3" s="1"/>
  <c r="D159" i="3"/>
  <c r="E159" i="3" s="1"/>
  <c r="D160" i="3"/>
  <c r="E160" i="3" s="1"/>
  <c r="D153" i="30"/>
  <c r="E153" i="30" s="1"/>
  <c r="D153" i="31"/>
  <c r="E153" i="31" s="1"/>
  <c r="D153" i="32"/>
  <c r="E153" i="32" s="1"/>
  <c r="G153" i="32" s="1"/>
  <c r="D224" i="32" s="1"/>
  <c r="D153" i="33"/>
  <c r="E153" i="33" s="1"/>
  <c r="D153" i="3"/>
  <c r="E153" i="3" s="1"/>
  <c r="F217" i="16"/>
  <c r="F216" i="16"/>
  <c r="F215" i="16"/>
  <c r="F214" i="16"/>
  <c r="F213" i="16"/>
  <c r="F212" i="16"/>
  <c r="F211" i="16"/>
  <c r="F210" i="16"/>
  <c r="F202" i="16"/>
  <c r="F201" i="16"/>
  <c r="F200" i="16"/>
  <c r="F199" i="16"/>
  <c r="F198" i="16"/>
  <c r="F197" i="16"/>
  <c r="F196" i="16"/>
  <c r="F195" i="16"/>
  <c r="G148" i="31"/>
  <c r="H442" i="31" s="1"/>
  <c r="G147" i="31"/>
  <c r="H441" i="31" s="1"/>
  <c r="G146" i="31"/>
  <c r="H440" i="31" s="1"/>
  <c r="G145" i="31"/>
  <c r="G144" i="31"/>
  <c r="H438" i="31" s="1"/>
  <c r="G143" i="31"/>
  <c r="H437" i="31" s="1"/>
  <c r="G142" i="31"/>
  <c r="H436" i="31" s="1"/>
  <c r="G141" i="31"/>
  <c r="H435" i="31" s="1"/>
  <c r="G148" i="32"/>
  <c r="H442" i="32" s="1"/>
  <c r="G147" i="32"/>
  <c r="H441" i="32" s="1"/>
  <c r="G146" i="32"/>
  <c r="G145" i="32"/>
  <c r="H439" i="32" s="1"/>
  <c r="G144" i="32"/>
  <c r="H438" i="32" s="1"/>
  <c r="G143" i="32"/>
  <c r="H437" i="32" s="1"/>
  <c r="G142" i="32"/>
  <c r="H436" i="32" s="1"/>
  <c r="G141" i="32"/>
  <c r="H435" i="32" s="1"/>
  <c r="G148" i="33"/>
  <c r="H442" i="33" s="1"/>
  <c r="G147" i="33"/>
  <c r="H441" i="33" s="1"/>
  <c r="G146" i="33"/>
  <c r="H440" i="33" s="1"/>
  <c r="G145" i="33"/>
  <c r="H439" i="33" s="1"/>
  <c r="G144" i="33"/>
  <c r="H438" i="33" s="1"/>
  <c r="G143" i="33"/>
  <c r="H437" i="33" s="1"/>
  <c r="G142" i="33"/>
  <c r="H436" i="33" s="1"/>
  <c r="G141" i="33"/>
  <c r="H435" i="33" s="1"/>
  <c r="G148" i="30"/>
  <c r="H442" i="30" s="1"/>
  <c r="G147" i="30"/>
  <c r="H441" i="30" s="1"/>
  <c r="G146" i="30"/>
  <c r="H440" i="30" s="1"/>
  <c r="G145" i="30"/>
  <c r="H439" i="30" s="1"/>
  <c r="G144" i="30"/>
  <c r="H438" i="30" s="1"/>
  <c r="G143" i="30"/>
  <c r="G142" i="30"/>
  <c r="H436" i="30" s="1"/>
  <c r="G141" i="30"/>
  <c r="H435" i="30" s="1"/>
  <c r="G148" i="3"/>
  <c r="H442" i="3" s="1"/>
  <c r="G147" i="3"/>
  <c r="H441" i="3" s="1"/>
  <c r="G146" i="3"/>
  <c r="H440" i="3" s="1"/>
  <c r="G145" i="3"/>
  <c r="H439" i="3" s="1"/>
  <c r="G144" i="3"/>
  <c r="H438" i="3" s="1"/>
  <c r="G143" i="3"/>
  <c r="H437" i="3" s="1"/>
  <c r="G142" i="3"/>
  <c r="H436" i="3" s="1"/>
  <c r="G141" i="3"/>
  <c r="E217" i="16"/>
  <c r="G217" i="16" s="1"/>
  <c r="E216" i="16"/>
  <c r="E215" i="16"/>
  <c r="E214" i="16"/>
  <c r="E213" i="16"/>
  <c r="E212" i="16"/>
  <c r="E211" i="16"/>
  <c r="E210" i="16"/>
  <c r="E202" i="16"/>
  <c r="E201" i="16"/>
  <c r="E200" i="16"/>
  <c r="E199" i="16"/>
  <c r="E198" i="16"/>
  <c r="E197" i="16"/>
  <c r="E196" i="16"/>
  <c r="E195" i="16"/>
  <c r="F56" i="17"/>
  <c r="F54" i="17"/>
  <c r="U54" i="17" s="1"/>
  <c r="F50" i="17"/>
  <c r="D339" i="30"/>
  <c r="D340" i="30"/>
  <c r="D341" i="30"/>
  <c r="D342" i="30"/>
  <c r="D343" i="30"/>
  <c r="D345" i="30"/>
  <c r="D348" i="30"/>
  <c r="D339" i="31"/>
  <c r="D340" i="31"/>
  <c r="D341" i="31"/>
  <c r="D342" i="31"/>
  <c r="D343" i="31"/>
  <c r="D345" i="31"/>
  <c r="D348" i="31"/>
  <c r="D339" i="32"/>
  <c r="D340" i="32"/>
  <c r="D341" i="32"/>
  <c r="D342" i="32"/>
  <c r="D343" i="32"/>
  <c r="D345" i="32"/>
  <c r="D348" i="32"/>
  <c r="D339" i="33"/>
  <c r="D340" i="33"/>
  <c r="D341" i="33"/>
  <c r="D342" i="33"/>
  <c r="D343" i="33"/>
  <c r="D345" i="33"/>
  <c r="D348" i="33"/>
  <c r="D339" i="3"/>
  <c r="D340" i="3"/>
  <c r="D341" i="3"/>
  <c r="D342" i="3"/>
  <c r="D343" i="3"/>
  <c r="D345" i="3"/>
  <c r="D348" i="3"/>
  <c r="D315" i="30"/>
  <c r="D316" i="30"/>
  <c r="D317" i="30"/>
  <c r="D318" i="30"/>
  <c r="D319" i="30"/>
  <c r="D321" i="30"/>
  <c r="D324" i="30"/>
  <c r="D315" i="31"/>
  <c r="D316" i="31"/>
  <c r="D317" i="31"/>
  <c r="D318" i="31"/>
  <c r="D319" i="31"/>
  <c r="D321" i="31"/>
  <c r="D324" i="31"/>
  <c r="D315" i="32"/>
  <c r="D316" i="32"/>
  <c r="D317" i="32"/>
  <c r="D318" i="32"/>
  <c r="D319" i="32"/>
  <c r="D321" i="32"/>
  <c r="D324" i="32"/>
  <c r="D315" i="33"/>
  <c r="D316" i="33"/>
  <c r="D317" i="33"/>
  <c r="D318" i="33"/>
  <c r="D319" i="33"/>
  <c r="D321" i="33"/>
  <c r="D324" i="33"/>
  <c r="D315" i="3"/>
  <c r="D316" i="3"/>
  <c r="D317" i="3"/>
  <c r="D318" i="3"/>
  <c r="D319" i="3"/>
  <c r="D321" i="3"/>
  <c r="D324" i="3"/>
  <c r="D291" i="30"/>
  <c r="D292" i="30"/>
  <c r="D293" i="30"/>
  <c r="D294" i="30"/>
  <c r="D295" i="30"/>
  <c r="D297" i="30"/>
  <c r="D300" i="30"/>
  <c r="D291" i="31"/>
  <c r="D292" i="31"/>
  <c r="D293" i="31"/>
  <c r="D294" i="31"/>
  <c r="D295" i="31"/>
  <c r="D297" i="31"/>
  <c r="D300" i="31"/>
  <c r="D291" i="32"/>
  <c r="D292" i="32"/>
  <c r="D293" i="32"/>
  <c r="D294" i="32"/>
  <c r="D295" i="32"/>
  <c r="D297" i="32"/>
  <c r="D300" i="32"/>
  <c r="D291" i="33"/>
  <c r="D292" i="33"/>
  <c r="D293" i="33"/>
  <c r="D294" i="33"/>
  <c r="D295" i="33"/>
  <c r="D297" i="33"/>
  <c r="D300" i="33"/>
  <c r="D291" i="3"/>
  <c r="D292" i="3"/>
  <c r="D293" i="3"/>
  <c r="D294" i="3"/>
  <c r="D295" i="3"/>
  <c r="D297" i="3"/>
  <c r="D300" i="3"/>
  <c r="D338" i="30"/>
  <c r="D338" i="31"/>
  <c r="D338" i="32"/>
  <c r="D338" i="33"/>
  <c r="D338" i="3"/>
  <c r="D314" i="30"/>
  <c r="D314" i="31"/>
  <c r="D314" i="32"/>
  <c r="D314" i="33"/>
  <c r="D314" i="3"/>
  <c r="D290" i="30"/>
  <c r="D290" i="31"/>
  <c r="D290" i="32"/>
  <c r="D290" i="33"/>
  <c r="D290" i="3"/>
  <c r="D276" i="30"/>
  <c r="D276" i="31"/>
  <c r="D276" i="32"/>
  <c r="D276" i="33"/>
  <c r="D276" i="3"/>
  <c r="D273" i="30"/>
  <c r="D273" i="31"/>
  <c r="D273" i="32"/>
  <c r="D273" i="33"/>
  <c r="D273" i="3"/>
  <c r="D267" i="30"/>
  <c r="D268" i="30"/>
  <c r="D269" i="30"/>
  <c r="D270" i="30"/>
  <c r="D271" i="30"/>
  <c r="D267" i="31"/>
  <c r="D268" i="31"/>
  <c r="D269" i="31"/>
  <c r="D270" i="31"/>
  <c r="D271" i="31"/>
  <c r="D267" i="32"/>
  <c r="D268" i="32"/>
  <c r="D269" i="32"/>
  <c r="D270" i="32"/>
  <c r="D271" i="32"/>
  <c r="D267" i="33"/>
  <c r="D268" i="33"/>
  <c r="D269" i="33"/>
  <c r="D270" i="33"/>
  <c r="D271" i="33"/>
  <c r="D267" i="3"/>
  <c r="D268" i="3"/>
  <c r="D269" i="3"/>
  <c r="D270" i="3"/>
  <c r="D271" i="3"/>
  <c r="D266" i="30"/>
  <c r="D266" i="31"/>
  <c r="D266" i="32"/>
  <c r="D266" i="33"/>
  <c r="D266" i="3"/>
  <c r="B178" i="16"/>
  <c r="B177" i="16"/>
  <c r="B176" i="16"/>
  <c r="B175" i="16"/>
  <c r="B174" i="16"/>
  <c r="B173" i="16"/>
  <c r="B160" i="16"/>
  <c r="B159" i="16"/>
  <c r="B158" i="16"/>
  <c r="B157" i="16"/>
  <c r="B156" i="16"/>
  <c r="B155" i="16"/>
  <c r="B142" i="16"/>
  <c r="B141" i="16"/>
  <c r="B140" i="16"/>
  <c r="B139" i="16"/>
  <c r="B138" i="16"/>
  <c r="B137" i="16"/>
  <c r="B124" i="16"/>
  <c r="B123" i="16"/>
  <c r="B122" i="16"/>
  <c r="B121" i="16"/>
  <c r="B120" i="16"/>
  <c r="B119" i="16"/>
  <c r="F52" i="17"/>
  <c r="Q35" i="17"/>
  <c r="V35" i="17"/>
  <c r="Q36" i="17"/>
  <c r="V36" i="17"/>
  <c r="Q37" i="17"/>
  <c r="S37" i="17"/>
  <c r="V37" i="17"/>
  <c r="Q38" i="17"/>
  <c r="V38" i="17"/>
  <c r="Q39" i="17"/>
  <c r="V39" i="17"/>
  <c r="Q41" i="17"/>
  <c r="V41" i="17"/>
  <c r="Q42" i="17"/>
  <c r="V42" i="17"/>
  <c r="Q43" i="17"/>
  <c r="V43" i="17"/>
  <c r="Q44" i="17"/>
  <c r="V44" i="17"/>
  <c r="Q57" i="17"/>
  <c r="V57" i="17"/>
  <c r="Q58" i="17"/>
  <c r="S58" i="17"/>
  <c r="V58" i="17"/>
  <c r="Q32" i="17"/>
  <c r="Q31" i="17"/>
  <c r="Q30" i="17"/>
  <c r="Q29" i="17"/>
  <c r="Q28" i="17"/>
  <c r="Q27" i="17"/>
  <c r="Q26" i="17"/>
  <c r="Q25" i="17"/>
  <c r="V34" i="17"/>
  <c r="Q34" i="17"/>
  <c r="AJ268" i="31"/>
  <c r="AI268" i="30"/>
  <c r="AI268" i="31"/>
  <c r="AI268" i="32"/>
  <c r="AI268" i="33"/>
  <c r="AI268" i="3"/>
  <c r="C53" i="33"/>
  <c r="D14" i="3"/>
  <c r="E11" i="17" s="1"/>
  <c r="D15" i="3"/>
  <c r="E12" i="17" s="1"/>
  <c r="D16" i="3"/>
  <c r="E13" i="17" s="1"/>
  <c r="D31" i="33"/>
  <c r="F58" i="17"/>
  <c r="D83" i="16"/>
  <c r="E83" i="16"/>
  <c r="F83" i="16"/>
  <c r="G83" i="16"/>
  <c r="C83" i="16"/>
  <c r="C7" i="10"/>
  <c r="C8" i="10"/>
  <c r="C9" i="10"/>
  <c r="C12" i="10"/>
  <c r="C13" i="10"/>
  <c r="C14" i="10"/>
  <c r="C15" i="10"/>
  <c r="C16" i="10"/>
  <c r="C17" i="10"/>
  <c r="C18" i="10"/>
  <c r="C19" i="10"/>
  <c r="F57" i="17"/>
  <c r="U57" i="17" s="1"/>
  <c r="G77" i="16"/>
  <c r="F77" i="16"/>
  <c r="E77" i="16"/>
  <c r="D77" i="16"/>
  <c r="C77" i="16"/>
  <c r="H53" i="16"/>
  <c r="G53" i="16"/>
  <c r="F53" i="16"/>
  <c r="E53" i="16"/>
  <c r="D53" i="16"/>
  <c r="B71" i="16"/>
  <c r="B70" i="16"/>
  <c r="B69" i="16"/>
  <c r="B68" i="16"/>
  <c r="B67" i="16"/>
  <c r="D45" i="13"/>
  <c r="H66" i="13"/>
  <c r="E66" i="13"/>
  <c r="D66" i="13"/>
  <c r="D154" i="13"/>
  <c r="G250" i="35"/>
  <c r="F250" i="35"/>
  <c r="G249" i="35"/>
  <c r="F249" i="35"/>
  <c r="G248" i="35"/>
  <c r="F248" i="35"/>
  <c r="G247" i="35"/>
  <c r="F247" i="35"/>
  <c r="G246" i="35"/>
  <c r="F246" i="35"/>
  <c r="G245" i="35"/>
  <c r="F245" i="35"/>
  <c r="G244" i="35"/>
  <c r="F244" i="35"/>
  <c r="G243" i="35"/>
  <c r="F243" i="35"/>
  <c r="G242" i="35"/>
  <c r="F242" i="35"/>
  <c r="G241" i="35"/>
  <c r="F241" i="35"/>
  <c r="G240" i="35"/>
  <c r="F240" i="35"/>
  <c r="G239" i="35"/>
  <c r="F239" i="35"/>
  <c r="G238" i="35"/>
  <c r="F238" i="35"/>
  <c r="G237" i="35"/>
  <c r="F237" i="35"/>
  <c r="G236" i="35"/>
  <c r="F236" i="35"/>
  <c r="G235" i="35"/>
  <c r="F235" i="35"/>
  <c r="G234" i="35"/>
  <c r="F234" i="35"/>
  <c r="G233" i="35"/>
  <c r="F233" i="35"/>
  <c r="G232" i="35"/>
  <c r="F232" i="35"/>
  <c r="G231" i="35"/>
  <c r="F231" i="35"/>
  <c r="G229" i="35"/>
  <c r="F229" i="35"/>
  <c r="G227" i="35"/>
  <c r="F227" i="35"/>
  <c r="G226" i="35"/>
  <c r="F226" i="35"/>
  <c r="G250" i="36"/>
  <c r="F250" i="36"/>
  <c r="G249" i="36"/>
  <c r="F249" i="36"/>
  <c r="G248" i="36"/>
  <c r="F248" i="36"/>
  <c r="G247" i="36"/>
  <c r="F247" i="36"/>
  <c r="G246" i="36"/>
  <c r="F246" i="36"/>
  <c r="G245" i="36"/>
  <c r="F245" i="36"/>
  <c r="G244" i="36"/>
  <c r="F244" i="36"/>
  <c r="G243" i="36"/>
  <c r="F243" i="36"/>
  <c r="G242" i="36"/>
  <c r="F242" i="36"/>
  <c r="G241" i="36"/>
  <c r="F241" i="36"/>
  <c r="G240" i="36"/>
  <c r="F240" i="36"/>
  <c r="G239" i="36"/>
  <c r="F239" i="36"/>
  <c r="G238" i="36"/>
  <c r="F238" i="36"/>
  <c r="G237" i="36"/>
  <c r="F237" i="36"/>
  <c r="G236" i="36"/>
  <c r="F236" i="36"/>
  <c r="G235" i="36"/>
  <c r="F235" i="36"/>
  <c r="G234" i="36"/>
  <c r="F234" i="36"/>
  <c r="G233" i="36"/>
  <c r="F233" i="36"/>
  <c r="G232" i="36"/>
  <c r="F232" i="36"/>
  <c r="G231" i="36"/>
  <c r="F231" i="36"/>
  <c r="G229" i="36"/>
  <c r="F229" i="36"/>
  <c r="G227" i="36"/>
  <c r="F227" i="36"/>
  <c r="G226" i="36"/>
  <c r="F226" i="36"/>
  <c r="G250" i="37"/>
  <c r="F250" i="37"/>
  <c r="G249" i="37"/>
  <c r="F249" i="37"/>
  <c r="G248" i="37"/>
  <c r="F248" i="37"/>
  <c r="G247" i="37"/>
  <c r="F247" i="37"/>
  <c r="G246" i="37"/>
  <c r="F246" i="37"/>
  <c r="G245" i="37"/>
  <c r="F245" i="37"/>
  <c r="G244" i="37"/>
  <c r="F244" i="37"/>
  <c r="G243" i="37"/>
  <c r="F243" i="37"/>
  <c r="G242" i="37"/>
  <c r="F242" i="37"/>
  <c r="G241" i="37"/>
  <c r="F241" i="37"/>
  <c r="G240" i="37"/>
  <c r="F240" i="37"/>
  <c r="G239" i="37"/>
  <c r="F239" i="37"/>
  <c r="G238" i="37"/>
  <c r="F238" i="37"/>
  <c r="G237" i="37"/>
  <c r="F237" i="37"/>
  <c r="G236" i="37"/>
  <c r="F236" i="37"/>
  <c r="G235" i="37"/>
  <c r="F235" i="37"/>
  <c r="G234" i="37"/>
  <c r="F234" i="37"/>
  <c r="G233" i="37"/>
  <c r="F233" i="37"/>
  <c r="G232" i="37"/>
  <c r="F232" i="37"/>
  <c r="G231" i="37"/>
  <c r="F231" i="37"/>
  <c r="G229" i="37"/>
  <c r="F229" i="37"/>
  <c r="G227" i="37"/>
  <c r="F227" i="37"/>
  <c r="G226" i="37"/>
  <c r="F226" i="37"/>
  <c r="G250" i="34"/>
  <c r="F250" i="34"/>
  <c r="G249" i="34"/>
  <c r="F249" i="34"/>
  <c r="G248" i="34"/>
  <c r="F248" i="34"/>
  <c r="G247" i="34"/>
  <c r="F247" i="34"/>
  <c r="G246" i="34"/>
  <c r="F246" i="34"/>
  <c r="G245" i="34"/>
  <c r="F245" i="34"/>
  <c r="G244" i="34"/>
  <c r="F244" i="34"/>
  <c r="G243" i="34"/>
  <c r="F243" i="34"/>
  <c r="G242" i="34"/>
  <c r="F242" i="34"/>
  <c r="G241" i="34"/>
  <c r="F241" i="34"/>
  <c r="G240" i="34"/>
  <c r="F240" i="34"/>
  <c r="G239" i="34"/>
  <c r="F239" i="34"/>
  <c r="G238" i="34"/>
  <c r="F238" i="34"/>
  <c r="G237" i="34"/>
  <c r="F237" i="34"/>
  <c r="G236" i="34"/>
  <c r="F236" i="34"/>
  <c r="G235" i="34"/>
  <c r="F235" i="34"/>
  <c r="G234" i="34"/>
  <c r="F234" i="34"/>
  <c r="G233" i="34"/>
  <c r="F233" i="34"/>
  <c r="G232" i="34"/>
  <c r="F232" i="34"/>
  <c r="G231" i="34"/>
  <c r="F231" i="34"/>
  <c r="G229" i="34"/>
  <c r="F229" i="34"/>
  <c r="G227" i="34"/>
  <c r="F227" i="34"/>
  <c r="G226" i="34"/>
  <c r="F226" i="34"/>
  <c r="D194" i="35"/>
  <c r="D193" i="35"/>
  <c r="D192" i="35"/>
  <c r="D191" i="35"/>
  <c r="D190" i="35"/>
  <c r="D189" i="35"/>
  <c r="D188" i="35"/>
  <c r="D187" i="35"/>
  <c r="D186" i="35"/>
  <c r="D184" i="35"/>
  <c r="D183" i="35"/>
  <c r="D182" i="35"/>
  <c r="AB179" i="35"/>
  <c r="AA179" i="35"/>
  <c r="Z179" i="35"/>
  <c r="Y179" i="35"/>
  <c r="X179" i="35"/>
  <c r="V179" i="35"/>
  <c r="S179" i="35"/>
  <c r="R179" i="35"/>
  <c r="Q179" i="35"/>
  <c r="P179" i="35"/>
  <c r="L179" i="35"/>
  <c r="S178" i="35"/>
  <c r="R178" i="35"/>
  <c r="D194" i="36"/>
  <c r="D193" i="36"/>
  <c r="D192" i="36"/>
  <c r="D191" i="36"/>
  <c r="D190" i="36"/>
  <c r="D189" i="36"/>
  <c r="D188" i="36"/>
  <c r="D187" i="36"/>
  <c r="D186" i="36"/>
  <c r="D184" i="36"/>
  <c r="D183" i="36"/>
  <c r="D182" i="36"/>
  <c r="D181" i="36"/>
  <c r="AB179" i="36"/>
  <c r="AA179" i="36"/>
  <c r="Z179" i="36"/>
  <c r="Y179" i="36"/>
  <c r="X179" i="36"/>
  <c r="V179" i="36"/>
  <c r="S179" i="36"/>
  <c r="R179" i="36"/>
  <c r="Q179" i="36"/>
  <c r="P179" i="36"/>
  <c r="L179" i="36"/>
  <c r="S178" i="36"/>
  <c r="R178" i="36"/>
  <c r="D194" i="37"/>
  <c r="D193" i="37"/>
  <c r="D192" i="37"/>
  <c r="D191" i="37"/>
  <c r="D190" i="37"/>
  <c r="D189" i="37"/>
  <c r="D188" i="37"/>
  <c r="D187" i="37"/>
  <c r="D186" i="37"/>
  <c r="D184" i="37"/>
  <c r="D183" i="37"/>
  <c r="D182" i="37"/>
  <c r="D181" i="37"/>
  <c r="AB179" i="37"/>
  <c r="AA179" i="37"/>
  <c r="Z179" i="37"/>
  <c r="Y179" i="37"/>
  <c r="X179" i="37"/>
  <c r="V179" i="37"/>
  <c r="S179" i="37"/>
  <c r="R179" i="37"/>
  <c r="Q179" i="37"/>
  <c r="P179" i="37"/>
  <c r="L179" i="37"/>
  <c r="S178" i="37"/>
  <c r="R178" i="37"/>
  <c r="D194" i="34"/>
  <c r="D193" i="34"/>
  <c r="D192" i="34"/>
  <c r="D191" i="34"/>
  <c r="D190" i="34"/>
  <c r="D189" i="34"/>
  <c r="D188" i="34"/>
  <c r="D187" i="34"/>
  <c r="D186" i="34"/>
  <c r="D184" i="34"/>
  <c r="D183" i="34"/>
  <c r="D182" i="34"/>
  <c r="D181" i="34"/>
  <c r="AB179" i="34"/>
  <c r="AA179" i="34"/>
  <c r="Z179" i="34"/>
  <c r="Y179" i="34"/>
  <c r="X179" i="34"/>
  <c r="V179" i="34"/>
  <c r="S179" i="34"/>
  <c r="R179" i="34"/>
  <c r="Q179" i="34"/>
  <c r="P179" i="34"/>
  <c r="L179" i="34"/>
  <c r="S178" i="34"/>
  <c r="R178" i="34"/>
  <c r="F7" i="35"/>
  <c r="F7" i="36"/>
  <c r="F7" i="37"/>
  <c r="F7" i="34"/>
  <c r="F227" i="2"/>
  <c r="F229" i="2"/>
  <c r="F231" i="2"/>
  <c r="F232" i="2"/>
  <c r="F233" i="2"/>
  <c r="F234" i="2"/>
  <c r="F235" i="2"/>
  <c r="F236" i="2"/>
  <c r="F237" i="2"/>
  <c r="F238" i="2"/>
  <c r="F239" i="2"/>
  <c r="F240" i="2"/>
  <c r="F241" i="2"/>
  <c r="F242" i="2"/>
  <c r="F243" i="2"/>
  <c r="F244" i="2"/>
  <c r="F245" i="2"/>
  <c r="F246" i="2"/>
  <c r="F247" i="2"/>
  <c r="F248" i="2"/>
  <c r="F249" i="2"/>
  <c r="F250" i="2"/>
  <c r="F226" i="2"/>
  <c r="G227" i="2"/>
  <c r="G229" i="2"/>
  <c r="G231" i="2"/>
  <c r="G232" i="2"/>
  <c r="G233" i="2"/>
  <c r="G234" i="2"/>
  <c r="G235" i="2"/>
  <c r="G236" i="2"/>
  <c r="G237" i="2"/>
  <c r="G238" i="2"/>
  <c r="G239" i="2"/>
  <c r="G240" i="2"/>
  <c r="G241" i="2"/>
  <c r="G242" i="2"/>
  <c r="G243" i="2"/>
  <c r="G244" i="2"/>
  <c r="G245" i="2"/>
  <c r="G246" i="2"/>
  <c r="G247" i="2"/>
  <c r="G248" i="2"/>
  <c r="G249" i="2"/>
  <c r="G250" i="2"/>
  <c r="G226" i="2"/>
  <c r="L179" i="2"/>
  <c r="P179" i="2"/>
  <c r="Q179" i="2"/>
  <c r="S179" i="2"/>
  <c r="R179" i="2"/>
  <c r="V179" i="2"/>
  <c r="X179" i="2"/>
  <c r="Y179" i="2"/>
  <c r="Z179" i="2"/>
  <c r="AA179" i="2"/>
  <c r="AB179" i="2"/>
  <c r="J229" i="13"/>
  <c r="H227" i="35" s="1"/>
  <c r="J231" i="13"/>
  <c r="H229" i="35" s="1"/>
  <c r="J233" i="13"/>
  <c r="K233" i="13" s="1"/>
  <c r="J234" i="13"/>
  <c r="K234" i="13" s="1"/>
  <c r="J235" i="13"/>
  <c r="K235" i="13" s="1"/>
  <c r="J236" i="13"/>
  <c r="H234" i="35" s="1"/>
  <c r="J237" i="13"/>
  <c r="H235" i="35" s="1"/>
  <c r="J238" i="13"/>
  <c r="K238" i="13" s="1"/>
  <c r="J239" i="13"/>
  <c r="K239" i="13" s="1"/>
  <c r="J240" i="13"/>
  <c r="H238" i="35" s="1"/>
  <c r="J241" i="13"/>
  <c r="H239" i="35" s="1"/>
  <c r="J242" i="13"/>
  <c r="K242" i="13" s="1"/>
  <c r="J243" i="13"/>
  <c r="J244" i="13"/>
  <c r="H242" i="35" s="1"/>
  <c r="J245" i="13"/>
  <c r="H243" i="35" s="1"/>
  <c r="J246" i="13"/>
  <c r="K246" i="13" s="1"/>
  <c r="J247" i="13"/>
  <c r="K247" i="13" s="1"/>
  <c r="J248" i="13"/>
  <c r="H246" i="35" s="1"/>
  <c r="J249" i="13"/>
  <c r="H247" i="35" s="1"/>
  <c r="J250" i="13"/>
  <c r="K250" i="13" s="1"/>
  <c r="J251" i="13"/>
  <c r="H249" i="36" s="1"/>
  <c r="J252" i="13"/>
  <c r="J228" i="13"/>
  <c r="K228" i="13" s="1"/>
  <c r="S178" i="2"/>
  <c r="R178" i="2"/>
  <c r="D182" i="2"/>
  <c r="D183" i="2"/>
  <c r="D184" i="2"/>
  <c r="D186" i="2"/>
  <c r="D187" i="2"/>
  <c r="D188" i="2"/>
  <c r="D189" i="2"/>
  <c r="D190" i="2"/>
  <c r="D191" i="2"/>
  <c r="D192" i="2"/>
  <c r="D193" i="2"/>
  <c r="D194" i="2"/>
  <c r="D181" i="2"/>
  <c r="B76" i="13"/>
  <c r="B75" i="13"/>
  <c r="B74" i="13"/>
  <c r="B73" i="13"/>
  <c r="B72" i="13"/>
  <c r="H54" i="13"/>
  <c r="G54" i="13"/>
  <c r="F54" i="13"/>
  <c r="E54" i="13"/>
  <c r="D54" i="13"/>
  <c r="G104" i="13"/>
  <c r="F104" i="13"/>
  <c r="E104" i="13"/>
  <c r="D104" i="13"/>
  <c r="H142" i="13"/>
  <c r="G142" i="13"/>
  <c r="F142" i="13"/>
  <c r="E142" i="13"/>
  <c r="D142" i="13"/>
  <c r="B136" i="13"/>
  <c r="B135" i="13"/>
  <c r="B134" i="13"/>
  <c r="B133" i="13"/>
  <c r="B132" i="13"/>
  <c r="H226" i="37"/>
  <c r="H227" i="34"/>
  <c r="H245" i="2"/>
  <c r="H237" i="2"/>
  <c r="E19" i="2"/>
  <c r="E15" i="10" s="1"/>
  <c r="E20" i="2"/>
  <c r="E16" i="10" s="1"/>
  <c r="E21" i="2"/>
  <c r="E17" i="10" s="1"/>
  <c r="E22" i="2"/>
  <c r="E18" i="10" s="1"/>
  <c r="E23" i="2"/>
  <c r="E19" i="10" s="1"/>
  <c r="D19" i="2"/>
  <c r="E36" i="13"/>
  <c r="D20" i="2" s="1"/>
  <c r="E37" i="13"/>
  <c r="D21" i="2" s="1"/>
  <c r="E38" i="13"/>
  <c r="D22" i="2" s="1"/>
  <c r="AC193" i="2" s="1"/>
  <c r="E39" i="13"/>
  <c r="D23" i="2" s="1"/>
  <c r="AC194" i="2" s="1"/>
  <c r="F66" i="13"/>
  <c r="G66" i="13"/>
  <c r="N152" i="5"/>
  <c r="Q152" i="5" s="1"/>
  <c r="M152" i="5"/>
  <c r="P152" i="5" s="1"/>
  <c r="L152" i="5"/>
  <c r="O152" i="5" s="1"/>
  <c r="N151" i="5"/>
  <c r="Q151" i="5" s="1"/>
  <c r="M151" i="5"/>
  <c r="P151" i="5" s="1"/>
  <c r="L151" i="5"/>
  <c r="O151" i="5" s="1"/>
  <c r="N150" i="5"/>
  <c r="Q150" i="5" s="1"/>
  <c r="M150" i="5"/>
  <c r="P150" i="5" s="1"/>
  <c r="L150" i="5"/>
  <c r="O150" i="5" s="1"/>
  <c r="N149" i="5"/>
  <c r="Q149" i="5" s="1"/>
  <c r="M149" i="5"/>
  <c r="P149" i="5" s="1"/>
  <c r="L149" i="5"/>
  <c r="O149" i="5" s="1"/>
  <c r="N148" i="5"/>
  <c r="Q148" i="5" s="1"/>
  <c r="M148" i="5"/>
  <c r="P148" i="5" s="1"/>
  <c r="L148" i="5"/>
  <c r="O148" i="5" s="1"/>
  <c r="N147" i="5"/>
  <c r="Q147" i="5" s="1"/>
  <c r="M147" i="5"/>
  <c r="P147" i="5" s="1"/>
  <c r="L147" i="5"/>
  <c r="O147" i="5" s="1"/>
  <c r="N146" i="5"/>
  <c r="Q146" i="5" s="1"/>
  <c r="M146" i="5"/>
  <c r="P146" i="5" s="1"/>
  <c r="L146" i="5"/>
  <c r="O146" i="5" s="1"/>
  <c r="N145" i="5"/>
  <c r="Q145" i="5" s="1"/>
  <c r="M145" i="5"/>
  <c r="P145" i="5" s="1"/>
  <c r="L145" i="5"/>
  <c r="O145" i="5" s="1"/>
  <c r="N144" i="5"/>
  <c r="Q144" i="5" s="1"/>
  <c r="M144" i="5"/>
  <c r="P144" i="5" s="1"/>
  <c r="L144" i="5"/>
  <c r="O144" i="5" s="1"/>
  <c r="N143" i="5"/>
  <c r="Q143" i="5" s="1"/>
  <c r="M143" i="5"/>
  <c r="P143" i="5" s="1"/>
  <c r="L143" i="5"/>
  <c r="O143" i="5" s="1"/>
  <c r="N142" i="5"/>
  <c r="Q142" i="5" s="1"/>
  <c r="M142" i="5"/>
  <c r="P142" i="5" s="1"/>
  <c r="L142" i="5"/>
  <c r="O142" i="5" s="1"/>
  <c r="N141" i="5"/>
  <c r="Q141" i="5" s="1"/>
  <c r="M141" i="5"/>
  <c r="P141" i="5" s="1"/>
  <c r="L141" i="5"/>
  <c r="O141" i="5" s="1"/>
  <c r="N140" i="5"/>
  <c r="Q140" i="5" s="1"/>
  <c r="M140" i="5"/>
  <c r="P140" i="5" s="1"/>
  <c r="L140" i="5"/>
  <c r="O140" i="5" s="1"/>
  <c r="N138" i="5"/>
  <c r="Q138" i="5" s="1"/>
  <c r="M138" i="5"/>
  <c r="P138" i="5" s="1"/>
  <c r="L138" i="5"/>
  <c r="O138" i="5" s="1"/>
  <c r="N137" i="5"/>
  <c r="Q137" i="5" s="1"/>
  <c r="M137" i="5"/>
  <c r="P137" i="5" s="1"/>
  <c r="L137" i="5"/>
  <c r="O137" i="5" s="1"/>
  <c r="N136" i="5"/>
  <c r="Q136" i="5" s="1"/>
  <c r="M136" i="5"/>
  <c r="P136" i="5" s="1"/>
  <c r="L136" i="5"/>
  <c r="O136" i="5" s="1"/>
  <c r="N135" i="5"/>
  <c r="Q135" i="5" s="1"/>
  <c r="M135" i="5"/>
  <c r="P135" i="5" s="1"/>
  <c r="L135" i="5"/>
  <c r="O135" i="5" s="1"/>
  <c r="N134" i="5"/>
  <c r="Q134" i="5" s="1"/>
  <c r="M134" i="5"/>
  <c r="P134" i="5" s="1"/>
  <c r="L134" i="5"/>
  <c r="O134" i="5" s="1"/>
  <c r="N131" i="5"/>
  <c r="Q131" i="5" s="1"/>
  <c r="M131" i="5"/>
  <c r="P131" i="5" s="1"/>
  <c r="L131" i="5"/>
  <c r="O131" i="5" s="1"/>
  <c r="N130" i="5"/>
  <c r="Q130" i="5" s="1"/>
  <c r="M130" i="5"/>
  <c r="P130" i="5" s="1"/>
  <c r="L130" i="5"/>
  <c r="O130" i="5" s="1"/>
  <c r="N129" i="5"/>
  <c r="Q129" i="5" s="1"/>
  <c r="M129" i="5"/>
  <c r="P129" i="5" s="1"/>
  <c r="L129" i="5"/>
  <c r="O129" i="5" s="1"/>
  <c r="N128" i="5"/>
  <c r="Q128" i="5" s="1"/>
  <c r="M128" i="5"/>
  <c r="P128" i="5" s="1"/>
  <c r="L128" i="5"/>
  <c r="O128" i="5" s="1"/>
  <c r="N126" i="5"/>
  <c r="Q126" i="5" s="1"/>
  <c r="M126" i="5"/>
  <c r="P126" i="5" s="1"/>
  <c r="L126" i="5"/>
  <c r="O126" i="5" s="1"/>
  <c r="N125" i="5"/>
  <c r="Q125" i="5" s="1"/>
  <c r="M125" i="5"/>
  <c r="P125" i="5" s="1"/>
  <c r="L125" i="5"/>
  <c r="O125" i="5" s="1"/>
  <c r="N124" i="5"/>
  <c r="Q124" i="5" s="1"/>
  <c r="M124" i="5"/>
  <c r="P124" i="5" s="1"/>
  <c r="L124" i="5"/>
  <c r="O124" i="5" s="1"/>
  <c r="N123" i="5"/>
  <c r="Q123" i="5" s="1"/>
  <c r="M123" i="5"/>
  <c r="P123" i="5" s="1"/>
  <c r="L123" i="5"/>
  <c r="O123" i="5" s="1"/>
  <c r="N122" i="5"/>
  <c r="Q122" i="5" s="1"/>
  <c r="M122" i="5"/>
  <c r="P122" i="5" s="1"/>
  <c r="L122" i="5"/>
  <c r="O122" i="5" s="1"/>
  <c r="N121" i="5"/>
  <c r="Q121" i="5" s="1"/>
  <c r="M121" i="5"/>
  <c r="P121" i="5" s="1"/>
  <c r="L121" i="5"/>
  <c r="O121" i="5" s="1"/>
  <c r="N120" i="5"/>
  <c r="Q120" i="5" s="1"/>
  <c r="M120" i="5"/>
  <c r="P120" i="5" s="1"/>
  <c r="L120" i="5"/>
  <c r="O120" i="5" s="1"/>
  <c r="N119" i="5"/>
  <c r="Q119" i="5" s="1"/>
  <c r="M119" i="5"/>
  <c r="P119" i="5" s="1"/>
  <c r="L119" i="5"/>
  <c r="O119" i="5" s="1"/>
  <c r="N118" i="5"/>
  <c r="Q118" i="5" s="1"/>
  <c r="M118" i="5"/>
  <c r="P118" i="5" s="1"/>
  <c r="L118" i="5"/>
  <c r="O118" i="5" s="1"/>
  <c r="N117" i="5"/>
  <c r="Q117" i="5" s="1"/>
  <c r="M117" i="5"/>
  <c r="P117" i="5" s="1"/>
  <c r="L117" i="5"/>
  <c r="O117" i="5" s="1"/>
  <c r="N116" i="5"/>
  <c r="Q116" i="5" s="1"/>
  <c r="M116" i="5"/>
  <c r="P116" i="5" s="1"/>
  <c r="L116" i="5"/>
  <c r="O116" i="5" s="1"/>
  <c r="N115" i="5"/>
  <c r="Q115" i="5" s="1"/>
  <c r="M115" i="5"/>
  <c r="P115" i="5" s="1"/>
  <c r="L115" i="5"/>
  <c r="O115" i="5" s="1"/>
  <c r="N114" i="5"/>
  <c r="Q114" i="5" s="1"/>
  <c r="M114" i="5"/>
  <c r="P114" i="5" s="1"/>
  <c r="L114" i="5"/>
  <c r="O114" i="5" s="1"/>
  <c r="N113" i="5"/>
  <c r="Q113" i="5" s="1"/>
  <c r="M113" i="5"/>
  <c r="P113" i="5" s="1"/>
  <c r="L113" i="5"/>
  <c r="O113" i="5" s="1"/>
  <c r="N112" i="5"/>
  <c r="Q112" i="5" s="1"/>
  <c r="M112" i="5"/>
  <c r="P112" i="5" s="1"/>
  <c r="L112" i="5"/>
  <c r="O112" i="5" s="1"/>
  <c r="N111" i="5"/>
  <c r="Q111" i="5" s="1"/>
  <c r="M111" i="5"/>
  <c r="P111" i="5" s="1"/>
  <c r="L111" i="5"/>
  <c r="O111" i="5" s="1"/>
  <c r="N110" i="5"/>
  <c r="Q110" i="5" s="1"/>
  <c r="M110" i="5"/>
  <c r="P110" i="5" s="1"/>
  <c r="L110" i="5"/>
  <c r="O110" i="5" s="1"/>
  <c r="N109" i="5"/>
  <c r="Q109" i="5" s="1"/>
  <c r="M109" i="5"/>
  <c r="P109" i="5" s="1"/>
  <c r="L109" i="5"/>
  <c r="O109" i="5" s="1"/>
  <c r="N108" i="5"/>
  <c r="Q108" i="5" s="1"/>
  <c r="M108" i="5"/>
  <c r="P108" i="5" s="1"/>
  <c r="L108" i="5"/>
  <c r="O108" i="5" s="1"/>
  <c r="N107" i="5"/>
  <c r="Q107" i="5" s="1"/>
  <c r="M107" i="5"/>
  <c r="P107" i="5" s="1"/>
  <c r="L107" i="5"/>
  <c r="O107" i="5" s="1"/>
  <c r="N105" i="5"/>
  <c r="Q105" i="5" s="1"/>
  <c r="M105" i="5"/>
  <c r="P105" i="5" s="1"/>
  <c r="L105" i="5"/>
  <c r="O105" i="5" s="1"/>
  <c r="N104" i="5"/>
  <c r="Q104" i="5" s="1"/>
  <c r="M104" i="5"/>
  <c r="P104" i="5" s="1"/>
  <c r="L104" i="5"/>
  <c r="O104" i="5" s="1"/>
  <c r="N103" i="5"/>
  <c r="Q103" i="5" s="1"/>
  <c r="M103" i="5"/>
  <c r="P103" i="5" s="1"/>
  <c r="L103" i="5"/>
  <c r="O103" i="5" s="1"/>
  <c r="N102" i="5"/>
  <c r="Q102" i="5" s="1"/>
  <c r="M102" i="5"/>
  <c r="P102" i="5" s="1"/>
  <c r="L102" i="5"/>
  <c r="O102" i="5" s="1"/>
  <c r="N101" i="5"/>
  <c r="Q101" i="5" s="1"/>
  <c r="M101" i="5"/>
  <c r="P101" i="5" s="1"/>
  <c r="L101" i="5"/>
  <c r="O101" i="5" s="1"/>
  <c r="N100" i="5"/>
  <c r="Q100" i="5" s="1"/>
  <c r="M100" i="5"/>
  <c r="P100" i="5" s="1"/>
  <c r="L100" i="5"/>
  <c r="O100" i="5" s="1"/>
  <c r="N99" i="5"/>
  <c r="Q99" i="5" s="1"/>
  <c r="M99" i="5"/>
  <c r="P99" i="5" s="1"/>
  <c r="L99" i="5"/>
  <c r="O99" i="5" s="1"/>
  <c r="N98" i="5"/>
  <c r="Q98" i="5" s="1"/>
  <c r="M98" i="5"/>
  <c r="P98" i="5" s="1"/>
  <c r="N97" i="5"/>
  <c r="Q97" i="5" s="1"/>
  <c r="M97" i="5"/>
  <c r="P97" i="5" s="1"/>
  <c r="L97" i="5"/>
  <c r="O97" i="5" s="1"/>
  <c r="N96" i="5"/>
  <c r="Q96" i="5" s="1"/>
  <c r="M96" i="5"/>
  <c r="P96" i="5" s="1"/>
  <c r="L96" i="5"/>
  <c r="O96" i="5" s="1"/>
  <c r="N95" i="5"/>
  <c r="Q95" i="5" s="1"/>
  <c r="M95" i="5"/>
  <c r="P95" i="5" s="1"/>
  <c r="L95" i="5"/>
  <c r="O95" i="5" s="1"/>
  <c r="N94" i="5"/>
  <c r="Q94" i="5" s="1"/>
  <c r="M94" i="5"/>
  <c r="P94" i="5" s="1"/>
  <c r="L94" i="5"/>
  <c r="O94" i="5" s="1"/>
  <c r="N93" i="5"/>
  <c r="Q93" i="5" s="1"/>
  <c r="M93" i="5"/>
  <c r="P93" i="5" s="1"/>
  <c r="L93" i="5"/>
  <c r="O93" i="5" s="1"/>
  <c r="N92" i="5"/>
  <c r="Q92" i="5" s="1"/>
  <c r="M92" i="5"/>
  <c r="P92" i="5" s="1"/>
  <c r="L92" i="5"/>
  <c r="O92" i="5" s="1"/>
  <c r="N91" i="5"/>
  <c r="Q91" i="5" s="1"/>
  <c r="M91" i="5"/>
  <c r="P91" i="5" s="1"/>
  <c r="L91" i="5"/>
  <c r="O91" i="5" s="1"/>
  <c r="L74" i="5"/>
  <c r="I74" i="5" s="1"/>
  <c r="I73" i="5"/>
  <c r="O73" i="5"/>
  <c r="I72" i="5"/>
  <c r="O72" i="5"/>
  <c r="L70" i="5"/>
  <c r="I70" i="5" s="1"/>
  <c r="I69" i="5"/>
  <c r="O69" i="5"/>
  <c r="I68" i="5"/>
  <c r="O68" i="5"/>
  <c r="N64" i="5"/>
  <c r="Q64" i="5" s="1"/>
  <c r="M64" i="5"/>
  <c r="P64" i="5" s="1"/>
  <c r="L64" i="5"/>
  <c r="O64" i="5" s="1"/>
  <c r="N63" i="5"/>
  <c r="Q63" i="5" s="1"/>
  <c r="M63" i="5"/>
  <c r="P63" i="5" s="1"/>
  <c r="L63" i="5"/>
  <c r="O63" i="5" s="1"/>
  <c r="N62" i="5"/>
  <c r="Q62" i="5" s="1"/>
  <c r="M62" i="5"/>
  <c r="P62" i="5" s="1"/>
  <c r="L62" i="5"/>
  <c r="O62" i="5" s="1"/>
  <c r="N61" i="5"/>
  <c r="Q61" i="5" s="1"/>
  <c r="M61" i="5"/>
  <c r="P61" i="5" s="1"/>
  <c r="L61" i="5"/>
  <c r="O61" i="5" s="1"/>
  <c r="N60" i="5"/>
  <c r="Q60" i="5" s="1"/>
  <c r="M60" i="5"/>
  <c r="P60" i="5" s="1"/>
  <c r="L60" i="5"/>
  <c r="O60" i="5" s="1"/>
  <c r="N59" i="5"/>
  <c r="Q59" i="5" s="1"/>
  <c r="M59" i="5"/>
  <c r="P59" i="5" s="1"/>
  <c r="L59" i="5"/>
  <c r="O59" i="5" s="1"/>
  <c r="N58" i="5"/>
  <c r="Q58" i="5" s="1"/>
  <c r="M58" i="5"/>
  <c r="P58" i="5" s="1"/>
  <c r="L58" i="5"/>
  <c r="O58" i="5" s="1"/>
  <c r="N57" i="5"/>
  <c r="Q57" i="5" s="1"/>
  <c r="M57" i="5"/>
  <c r="P57" i="5" s="1"/>
  <c r="L57" i="5"/>
  <c r="O57" i="5" s="1"/>
  <c r="N56" i="5"/>
  <c r="Q56" i="5" s="1"/>
  <c r="M56" i="5"/>
  <c r="P56" i="5" s="1"/>
  <c r="L56" i="5"/>
  <c r="O56" i="5" s="1"/>
  <c r="N54" i="5"/>
  <c r="Q54" i="5" s="1"/>
  <c r="M54" i="5"/>
  <c r="P54" i="5" s="1"/>
  <c r="L54" i="5"/>
  <c r="N53" i="5"/>
  <c r="Q53" i="5" s="1"/>
  <c r="M53" i="5"/>
  <c r="P53" i="5" s="1"/>
  <c r="L53" i="5"/>
  <c r="O53" i="5" s="1"/>
  <c r="N52" i="5"/>
  <c r="Q52" i="5" s="1"/>
  <c r="M52" i="5"/>
  <c r="P52" i="5" s="1"/>
  <c r="L52" i="5"/>
  <c r="O52" i="5" s="1"/>
  <c r="N51" i="5"/>
  <c r="Q51" i="5" s="1"/>
  <c r="M51" i="5"/>
  <c r="P51" i="5" s="1"/>
  <c r="L51" i="5"/>
  <c r="O51" i="5" s="1"/>
  <c r="N50" i="5"/>
  <c r="Q50" i="5" s="1"/>
  <c r="M50" i="5"/>
  <c r="P50" i="5" s="1"/>
  <c r="L50" i="5"/>
  <c r="O50" i="5" s="1"/>
  <c r="N49" i="5"/>
  <c r="Q49" i="5" s="1"/>
  <c r="M49" i="5"/>
  <c r="P49" i="5" s="1"/>
  <c r="L49" i="5"/>
  <c r="O49" i="5" s="1"/>
  <c r="N48" i="5"/>
  <c r="Q48" i="5" s="1"/>
  <c r="M48" i="5"/>
  <c r="P48" i="5" s="1"/>
  <c r="L48" i="5"/>
  <c r="O48" i="5" s="1"/>
  <c r="N46" i="5"/>
  <c r="Q46" i="5" s="1"/>
  <c r="M46" i="5"/>
  <c r="P46" i="5" s="1"/>
  <c r="L46" i="5"/>
  <c r="O46" i="5" s="1"/>
  <c r="N45" i="5"/>
  <c r="Q45" i="5" s="1"/>
  <c r="M45" i="5"/>
  <c r="P45" i="5" s="1"/>
  <c r="L45" i="5"/>
  <c r="O45" i="5" s="1"/>
  <c r="N44" i="5"/>
  <c r="Q44" i="5" s="1"/>
  <c r="M44" i="5"/>
  <c r="P44" i="5" s="1"/>
  <c r="L44" i="5"/>
  <c r="O44" i="5" s="1"/>
  <c r="N43" i="5"/>
  <c r="Q43" i="5" s="1"/>
  <c r="M43" i="5"/>
  <c r="P43" i="5" s="1"/>
  <c r="L43" i="5"/>
  <c r="O43" i="5" s="1"/>
  <c r="N42" i="5"/>
  <c r="Q42" i="5" s="1"/>
  <c r="M42" i="5"/>
  <c r="P42" i="5" s="1"/>
  <c r="L42" i="5"/>
  <c r="O42" i="5" s="1"/>
  <c r="N40" i="5"/>
  <c r="Q40" i="5" s="1"/>
  <c r="M40" i="5"/>
  <c r="P40" i="5" s="1"/>
  <c r="L40" i="5"/>
  <c r="N39" i="5"/>
  <c r="Q39" i="5" s="1"/>
  <c r="M39" i="5"/>
  <c r="P39" i="5" s="1"/>
  <c r="L39" i="5"/>
  <c r="O39" i="5" s="1"/>
  <c r="N38" i="5"/>
  <c r="Q38" i="5" s="1"/>
  <c r="M38" i="5"/>
  <c r="P38" i="5" s="1"/>
  <c r="L38" i="5"/>
  <c r="O38" i="5" s="1"/>
  <c r="N37" i="5"/>
  <c r="Q37" i="5" s="1"/>
  <c r="M37" i="5"/>
  <c r="P37" i="5" s="1"/>
  <c r="L37" i="5"/>
  <c r="O37" i="5" s="1"/>
  <c r="N36" i="5"/>
  <c r="Q36" i="5" s="1"/>
  <c r="M36" i="5"/>
  <c r="P36" i="5" s="1"/>
  <c r="L36" i="5"/>
  <c r="O36" i="5" s="1"/>
  <c r="N35" i="5"/>
  <c r="Q35" i="5" s="1"/>
  <c r="M35" i="5"/>
  <c r="P35" i="5" s="1"/>
  <c r="L35" i="5"/>
  <c r="O35" i="5" s="1"/>
  <c r="N34" i="5"/>
  <c r="Q34" i="5" s="1"/>
  <c r="M34" i="5"/>
  <c r="P34" i="5" s="1"/>
  <c r="L34" i="5"/>
  <c r="O34" i="5" s="1"/>
  <c r="N33" i="5"/>
  <c r="Q33" i="5" s="1"/>
  <c r="M33" i="5"/>
  <c r="P33" i="5" s="1"/>
  <c r="L33" i="5"/>
  <c r="O33" i="5" s="1"/>
  <c r="N31" i="5"/>
  <c r="Q31" i="5" s="1"/>
  <c r="M31" i="5"/>
  <c r="P31" i="5" s="1"/>
  <c r="L31" i="5"/>
  <c r="O31" i="5" s="1"/>
  <c r="N30" i="5"/>
  <c r="Q30" i="5" s="1"/>
  <c r="M30" i="5"/>
  <c r="P30" i="5" s="1"/>
  <c r="L30" i="5"/>
  <c r="O30" i="5" s="1"/>
  <c r="N29" i="5"/>
  <c r="Q29" i="5" s="1"/>
  <c r="M29" i="5"/>
  <c r="P29" i="5" s="1"/>
  <c r="L29" i="5"/>
  <c r="O29" i="5" s="1"/>
  <c r="N28" i="5"/>
  <c r="Q28" i="5" s="1"/>
  <c r="M28" i="5"/>
  <c r="P28" i="5" s="1"/>
  <c r="L28" i="5"/>
  <c r="O28" i="5" s="1"/>
  <c r="O40" i="5"/>
  <c r="O54" i="5"/>
  <c r="C5" i="26"/>
  <c r="C4" i="26"/>
  <c r="I12" i="26"/>
  <c r="I13" i="26"/>
  <c r="I16" i="26"/>
  <c r="I17" i="26"/>
  <c r="I18" i="26"/>
  <c r="I19" i="26"/>
  <c r="I20" i="26"/>
  <c r="I35" i="26"/>
  <c r="G11" i="26"/>
  <c r="H11" i="26" s="1"/>
  <c r="H465" i="31"/>
  <c r="H461" i="31"/>
  <c r="H459" i="31"/>
  <c r="H449" i="31"/>
  <c r="H448" i="31"/>
  <c r="H447" i="31"/>
  <c r="H446" i="31"/>
  <c r="H445" i="31"/>
  <c r="H444" i="31"/>
  <c r="H465" i="32"/>
  <c r="H461" i="32"/>
  <c r="H459" i="32"/>
  <c r="H449" i="32"/>
  <c r="H448" i="32"/>
  <c r="H447" i="32"/>
  <c r="H446" i="32"/>
  <c r="H445" i="32"/>
  <c r="H444" i="32"/>
  <c r="H465" i="33"/>
  <c r="H461" i="33"/>
  <c r="H459" i="33"/>
  <c r="H449" i="33"/>
  <c r="H448" i="33"/>
  <c r="H447" i="33"/>
  <c r="H446" i="33"/>
  <c r="H445" i="33"/>
  <c r="H444" i="33"/>
  <c r="H465" i="30"/>
  <c r="H461" i="30"/>
  <c r="H459" i="30"/>
  <c r="H449" i="30"/>
  <c r="H448" i="30"/>
  <c r="H447" i="30"/>
  <c r="H446" i="30"/>
  <c r="H445" i="30"/>
  <c r="H444" i="30"/>
  <c r="F53" i="17"/>
  <c r="F51" i="17"/>
  <c r="F37" i="17"/>
  <c r="F38" i="17"/>
  <c r="F39" i="17"/>
  <c r="F36" i="17"/>
  <c r="U36" i="17" s="1"/>
  <c r="F35" i="17"/>
  <c r="F34" i="17"/>
  <c r="H444" i="3"/>
  <c r="H465" i="3"/>
  <c r="H461" i="3"/>
  <c r="H459" i="3"/>
  <c r="H448" i="3"/>
  <c r="H449" i="3"/>
  <c r="H447" i="3"/>
  <c r="H446" i="3"/>
  <c r="H445" i="3"/>
  <c r="I34" i="26"/>
  <c r="C6" i="26"/>
  <c r="I46" i="26"/>
  <c r="I47" i="26"/>
  <c r="I48" i="26"/>
  <c r="I10" i="16"/>
  <c r="I11" i="16"/>
  <c r="F9" i="16"/>
  <c r="G9" i="16" s="1"/>
  <c r="O8" i="26"/>
  <c r="F8" i="13"/>
  <c r="G8" i="13" s="1"/>
  <c r="I9" i="13"/>
  <c r="I12" i="13"/>
  <c r="I10" i="13"/>
  <c r="E12" i="2"/>
  <c r="E8" i="10" s="1"/>
  <c r="D41" i="37"/>
  <c r="D41" i="36"/>
  <c r="D41" i="35"/>
  <c r="D41" i="34"/>
  <c r="D41" i="2"/>
  <c r="E154" i="13"/>
  <c r="F154" i="13"/>
  <c r="G154" i="13"/>
  <c r="H154" i="13"/>
  <c r="D12" i="2"/>
  <c r="D100" i="37"/>
  <c r="D101" i="37"/>
  <c r="D102" i="37"/>
  <c r="D100" i="36"/>
  <c r="D101" i="36"/>
  <c r="D102" i="36"/>
  <c r="D100" i="35"/>
  <c r="D101" i="35"/>
  <c r="D102" i="35"/>
  <c r="D100" i="34"/>
  <c r="D101" i="34"/>
  <c r="D102" i="34"/>
  <c r="D100" i="2"/>
  <c r="D101" i="2"/>
  <c r="D102" i="2"/>
  <c r="E27" i="13"/>
  <c r="D11" i="2" s="1"/>
  <c r="E29" i="13"/>
  <c r="D13" i="2" s="1"/>
  <c r="D15" i="2"/>
  <c r="D16" i="2"/>
  <c r="D17" i="2"/>
  <c r="D18" i="2"/>
  <c r="E43" i="13"/>
  <c r="D27" i="2" s="1"/>
  <c r="E44" i="13"/>
  <c r="D28" i="2" s="1"/>
  <c r="D24" i="10" s="1"/>
  <c r="E26" i="13"/>
  <c r="D10" i="2" s="1"/>
  <c r="D11" i="3"/>
  <c r="E8" i="17" s="1"/>
  <c r="D12" i="3"/>
  <c r="E9" i="17" s="1"/>
  <c r="D13" i="3"/>
  <c r="D19" i="3"/>
  <c r="E16" i="17" s="1"/>
  <c r="D10" i="3"/>
  <c r="E7" i="17" s="1"/>
  <c r="B10" i="16"/>
  <c r="B11" i="16"/>
  <c r="B12" i="16"/>
  <c r="B13" i="16"/>
  <c r="B9" i="16"/>
  <c r="I52" i="26"/>
  <c r="I53" i="26"/>
  <c r="I54" i="26"/>
  <c r="I55" i="26"/>
  <c r="I56" i="26"/>
  <c r="I57" i="26"/>
  <c r="I58" i="26"/>
  <c r="I51" i="26"/>
  <c r="I45" i="26"/>
  <c r="I44" i="26"/>
  <c r="I43" i="26"/>
  <c r="I42" i="26"/>
  <c r="I40" i="26"/>
  <c r="I38" i="26"/>
  <c r="I39" i="26"/>
  <c r="I37" i="26"/>
  <c r="I33" i="26"/>
  <c r="I32" i="26"/>
  <c r="I30" i="26"/>
  <c r="I28" i="26"/>
  <c r="I11" i="26"/>
  <c r="B8" i="13"/>
  <c r="B9" i="13"/>
  <c r="B10" i="13"/>
  <c r="B11" i="13"/>
  <c r="B12" i="13"/>
  <c r="E49" i="37"/>
  <c r="E49" i="36"/>
  <c r="E49" i="35"/>
  <c r="E49" i="34"/>
  <c r="O24" i="10"/>
  <c r="D99" i="37"/>
  <c r="D98" i="37"/>
  <c r="D97" i="37"/>
  <c r="D96" i="37"/>
  <c r="D95" i="37"/>
  <c r="D94" i="37"/>
  <c r="D93" i="37"/>
  <c r="D85" i="37"/>
  <c r="D68" i="37"/>
  <c r="D42" i="37"/>
  <c r="D46" i="37"/>
  <c r="D45" i="37"/>
  <c r="D44" i="37"/>
  <c r="D40" i="37"/>
  <c r="D39" i="37"/>
  <c r="E28" i="37"/>
  <c r="C4" i="37"/>
  <c r="H158" i="37"/>
  <c r="F158" i="37"/>
  <c r="N24" i="10"/>
  <c r="D158" i="37"/>
  <c r="H157" i="37"/>
  <c r="D99" i="36"/>
  <c r="D98" i="36"/>
  <c r="D97" i="36"/>
  <c r="D96" i="36"/>
  <c r="D95" i="36"/>
  <c r="D94" i="36"/>
  <c r="D93" i="36"/>
  <c r="D85" i="36"/>
  <c r="D68" i="36"/>
  <c r="D42" i="36"/>
  <c r="D46" i="36"/>
  <c r="D45" i="36"/>
  <c r="D44" i="36"/>
  <c r="D40" i="36"/>
  <c r="D39" i="36"/>
  <c r="E39" i="36" s="1"/>
  <c r="AD181" i="36" s="1"/>
  <c r="E28" i="36"/>
  <c r="K24" i="10" s="1"/>
  <c r="C4" i="36"/>
  <c r="H158" i="36"/>
  <c r="F158" i="36"/>
  <c r="D158" i="36"/>
  <c r="H157" i="36"/>
  <c r="D99" i="35"/>
  <c r="D98" i="35"/>
  <c r="D97" i="35"/>
  <c r="D96" i="35"/>
  <c r="D95" i="35"/>
  <c r="D94" i="35"/>
  <c r="D93" i="35"/>
  <c r="D85" i="35"/>
  <c r="D68" i="35"/>
  <c r="D42" i="35"/>
  <c r="D46" i="35"/>
  <c r="D45" i="35"/>
  <c r="D44" i="35"/>
  <c r="D40" i="35"/>
  <c r="D39" i="35"/>
  <c r="E28" i="35"/>
  <c r="I24" i="10" s="1"/>
  <c r="C4" i="35"/>
  <c r="H158" i="35"/>
  <c r="F158" i="35"/>
  <c r="D158" i="35"/>
  <c r="H157" i="35"/>
  <c r="D99" i="34"/>
  <c r="D98" i="34"/>
  <c r="D97" i="34"/>
  <c r="D96" i="34"/>
  <c r="D95" i="34"/>
  <c r="D94" i="34"/>
  <c r="D93" i="34"/>
  <c r="D85" i="34"/>
  <c r="D68" i="34"/>
  <c r="D42" i="34"/>
  <c r="D46" i="34"/>
  <c r="E46" i="34" s="1"/>
  <c r="AD189" i="34" s="1"/>
  <c r="D45" i="34"/>
  <c r="D44" i="34"/>
  <c r="D40" i="34"/>
  <c r="D39" i="34"/>
  <c r="E39" i="34" s="1"/>
  <c r="D53" i="34" s="1"/>
  <c r="E28" i="34"/>
  <c r="G24" i="10" s="1"/>
  <c r="C4" i="34"/>
  <c r="H158" i="34"/>
  <c r="F158" i="34"/>
  <c r="D158" i="34"/>
  <c r="H157" i="34"/>
  <c r="F158" i="2"/>
  <c r="H158" i="2"/>
  <c r="H157" i="2"/>
  <c r="C4" i="2"/>
  <c r="D32" i="33"/>
  <c r="D30" i="33"/>
  <c r="D29" i="33"/>
  <c r="D28" i="33"/>
  <c r="D27" i="33"/>
  <c r="D48" i="33"/>
  <c r="C56" i="33"/>
  <c r="C4" i="33"/>
  <c r="E157" i="33"/>
  <c r="H148" i="33"/>
  <c r="I442" i="33" s="1"/>
  <c r="H147" i="33"/>
  <c r="I441" i="33" s="1"/>
  <c r="H146" i="33"/>
  <c r="I440" i="33" s="1"/>
  <c r="H145" i="33"/>
  <c r="I439" i="33" s="1"/>
  <c r="H144" i="33"/>
  <c r="I438" i="33" s="1"/>
  <c r="H143" i="33"/>
  <c r="I437" i="33" s="1"/>
  <c r="H142" i="33"/>
  <c r="I436" i="33" s="1"/>
  <c r="H141" i="33"/>
  <c r="I435" i="33" s="1"/>
  <c r="F63" i="33"/>
  <c r="E63" i="33"/>
  <c r="C4" i="32"/>
  <c r="E169" i="32"/>
  <c r="E155" i="32"/>
  <c r="G155" i="32" s="1"/>
  <c r="D226" i="32" s="1"/>
  <c r="H148" i="32"/>
  <c r="I442" i="32" s="1"/>
  <c r="H147" i="32"/>
  <c r="I441" i="32" s="1"/>
  <c r="H146" i="32"/>
  <c r="I440" i="32" s="1"/>
  <c r="H145" i="32"/>
  <c r="I439" i="32" s="1"/>
  <c r="H144" i="32"/>
  <c r="H143" i="32"/>
  <c r="I437" i="32" s="1"/>
  <c r="H142" i="32"/>
  <c r="I436" i="32" s="1"/>
  <c r="H141" i="32"/>
  <c r="I435" i="32" s="1"/>
  <c r="F63" i="32"/>
  <c r="E63" i="32"/>
  <c r="D63" i="32"/>
  <c r="C4" i="31"/>
  <c r="E160" i="31"/>
  <c r="G160" i="31" s="1"/>
  <c r="D231" i="31" s="1"/>
  <c r="H148" i="31"/>
  <c r="I442" i="31" s="1"/>
  <c r="H147" i="31"/>
  <c r="I441" i="31" s="1"/>
  <c r="H146" i="31"/>
  <c r="I440" i="31" s="1"/>
  <c r="H145" i="31"/>
  <c r="I439" i="31" s="1"/>
  <c r="H144" i="31"/>
  <c r="I438" i="31" s="1"/>
  <c r="H143" i="31"/>
  <c r="I437" i="31" s="1"/>
  <c r="H142" i="31"/>
  <c r="I436" i="31" s="1"/>
  <c r="H141" i="31"/>
  <c r="I435" i="31" s="1"/>
  <c r="F63" i="31"/>
  <c r="C4" i="30"/>
  <c r="E159" i="30"/>
  <c r="H148" i="30"/>
  <c r="I442" i="30" s="1"/>
  <c r="H147" i="30"/>
  <c r="I441" i="30" s="1"/>
  <c r="H146" i="30"/>
  <c r="I440" i="30" s="1"/>
  <c r="H145" i="30"/>
  <c r="I439" i="30" s="1"/>
  <c r="H144" i="30"/>
  <c r="I438" i="30" s="1"/>
  <c r="H143" i="30"/>
  <c r="I437" i="30" s="1"/>
  <c r="H142" i="30"/>
  <c r="I436" i="30" s="1"/>
  <c r="H141" i="30"/>
  <c r="I435" i="30" s="1"/>
  <c r="E169" i="3"/>
  <c r="C4" i="3"/>
  <c r="E61" i="16"/>
  <c r="F61" i="16"/>
  <c r="G61" i="16"/>
  <c r="H61" i="16"/>
  <c r="D61" i="16"/>
  <c r="H141" i="3"/>
  <c r="I435" i="3" s="1"/>
  <c r="H142" i="3"/>
  <c r="I436" i="3" s="1"/>
  <c r="H143" i="3"/>
  <c r="I437" i="3" s="1"/>
  <c r="H144" i="3"/>
  <c r="I438" i="3" s="1"/>
  <c r="H145" i="3"/>
  <c r="I439" i="3" s="1"/>
  <c r="H146" i="3"/>
  <c r="I440" i="3" s="1"/>
  <c r="H147" i="3"/>
  <c r="I441" i="3" s="1"/>
  <c r="H148" i="3"/>
  <c r="I442" i="3" s="1"/>
  <c r="H435" i="3"/>
  <c r="H437" i="30"/>
  <c r="H439" i="31"/>
  <c r="I438" i="32"/>
  <c r="H440" i="32"/>
  <c r="L24" i="10"/>
  <c r="M24" i="10"/>
  <c r="I361" i="33"/>
  <c r="I397" i="33"/>
  <c r="D38" i="32"/>
  <c r="I399" i="32"/>
  <c r="I398" i="32"/>
  <c r="I402" i="32"/>
  <c r="I402" i="33"/>
  <c r="I399" i="33"/>
  <c r="I398" i="33"/>
  <c r="I361" i="32"/>
  <c r="I361" i="31"/>
  <c r="I397" i="32"/>
  <c r="I397" i="31"/>
  <c r="I397" i="30"/>
  <c r="I361" i="30"/>
  <c r="F25" i="17"/>
  <c r="G51" i="26" s="1"/>
  <c r="H51" i="26" s="1"/>
  <c r="G25" i="17"/>
  <c r="V25" i="17" s="1"/>
  <c r="F26" i="17"/>
  <c r="G26" i="17"/>
  <c r="V26" i="17" s="1"/>
  <c r="F27" i="17"/>
  <c r="G27" i="17"/>
  <c r="V27" i="17" s="1"/>
  <c r="F28" i="17"/>
  <c r="G28" i="17"/>
  <c r="V28" i="17" s="1"/>
  <c r="F29" i="17"/>
  <c r="G29" i="17"/>
  <c r="V29" i="17" s="1"/>
  <c r="F30" i="17"/>
  <c r="G30" i="17"/>
  <c r="V30" i="17" s="1"/>
  <c r="F31" i="17"/>
  <c r="G31" i="17"/>
  <c r="V31" i="17" s="1"/>
  <c r="F32" i="17"/>
  <c r="G32" i="17"/>
  <c r="V32" i="17" s="1"/>
  <c r="U31" i="17"/>
  <c r="F63" i="3"/>
  <c r="D63" i="3"/>
  <c r="C17" i="17"/>
  <c r="E6" i="17"/>
  <c r="D39" i="2"/>
  <c r="D40" i="2"/>
  <c r="D44" i="2"/>
  <c r="D45" i="2"/>
  <c r="D46" i="2"/>
  <c r="D42" i="2"/>
  <c r="D68" i="2"/>
  <c r="D85" i="2"/>
  <c r="D93" i="2"/>
  <c r="D94" i="2"/>
  <c r="D95" i="2"/>
  <c r="D96" i="2"/>
  <c r="D97" i="2"/>
  <c r="D98" i="2"/>
  <c r="D99" i="2"/>
  <c r="D158" i="2"/>
  <c r="C6" i="10"/>
  <c r="C25" i="10"/>
  <c r="D36" i="16"/>
  <c r="I361" i="3"/>
  <c r="I397" i="3"/>
  <c r="E28" i="2"/>
  <c r="E24" i="10" s="1"/>
  <c r="E10" i="2"/>
  <c r="E17" i="2"/>
  <c r="E13" i="10" s="1"/>
  <c r="E18" i="2"/>
  <c r="E14" i="10" s="1"/>
  <c r="E16" i="2"/>
  <c r="E12" i="10" s="1"/>
  <c r="E11" i="2"/>
  <c r="E7" i="10" s="1"/>
  <c r="E27" i="2"/>
  <c r="E23" i="10" s="1"/>
  <c r="E15" i="2"/>
  <c r="E11" i="10" s="1"/>
  <c r="E13" i="2"/>
  <c r="E9" i="10" s="1"/>
  <c r="E6" i="10"/>
  <c r="O34" i="26"/>
  <c r="P34" i="26"/>
  <c r="T34" i="26"/>
  <c r="U34" i="26"/>
  <c r="M8" i="10"/>
  <c r="X20" i="26"/>
  <c r="M16" i="10"/>
  <c r="M15" i="10"/>
  <c r="M18" i="10"/>
  <c r="L19" i="10"/>
  <c r="M19" i="10"/>
  <c r="L17" i="10"/>
  <c r="M17" i="10"/>
  <c r="X47" i="26"/>
  <c r="X42" i="26"/>
  <c r="X45" i="26"/>
  <c r="X32" i="26"/>
  <c r="X38" i="26"/>
  <c r="X43" i="26"/>
  <c r="L8" i="10"/>
  <c r="M23" i="10"/>
  <c r="M14" i="10"/>
  <c r="M12" i="10"/>
  <c r="M11" i="10"/>
  <c r="M13" i="10"/>
  <c r="M7" i="10"/>
  <c r="M9" i="10"/>
  <c r="L25" i="10"/>
  <c r="M25" i="10"/>
  <c r="Y32" i="26"/>
  <c r="Y48" i="26"/>
  <c r="Y45" i="26"/>
  <c r="Y42" i="26"/>
  <c r="Y30" i="26"/>
  <c r="X34" i="26"/>
  <c r="L18" i="10"/>
  <c r="L15" i="10"/>
  <c r="L16" i="10"/>
  <c r="Y43" i="26"/>
  <c r="Y44" i="26"/>
  <c r="Y28" i="26"/>
  <c r="Y46" i="26"/>
  <c r="Y20" i="26"/>
  <c r="Y47" i="26"/>
  <c r="M6" i="10"/>
  <c r="Y38" i="26"/>
  <c r="L9" i="10"/>
  <c r="L7" i="10"/>
  <c r="L13" i="10"/>
  <c r="L11" i="10"/>
  <c r="L12" i="10"/>
  <c r="L14" i="10"/>
  <c r="L23" i="10"/>
  <c r="Y33" i="26"/>
  <c r="Y34" i="26"/>
  <c r="L6" i="10"/>
  <c r="N19" i="10"/>
  <c r="N17" i="10"/>
  <c r="N23" i="10"/>
  <c r="N18" i="10"/>
  <c r="N9" i="10"/>
  <c r="N16" i="10"/>
  <c r="N15" i="10"/>
  <c r="N13" i="10"/>
  <c r="N7" i="10"/>
  <c r="N8" i="10"/>
  <c r="N14" i="10"/>
  <c r="N12" i="10"/>
  <c r="N11" i="10"/>
  <c r="N6" i="10"/>
  <c r="O8" i="10"/>
  <c r="O15" i="10"/>
  <c r="O19" i="10"/>
  <c r="O17" i="10"/>
  <c r="O18" i="10"/>
  <c r="O16" i="10"/>
  <c r="N25" i="10"/>
  <c r="O23" i="10"/>
  <c r="O12" i="10"/>
  <c r="O13" i="10"/>
  <c r="O9" i="10"/>
  <c r="O11" i="10"/>
  <c r="O14" i="10"/>
  <c r="O7" i="10"/>
  <c r="AB47" i="26"/>
  <c r="AB20" i="26"/>
  <c r="AB42" i="26"/>
  <c r="AB46" i="26"/>
  <c r="AB28" i="26"/>
  <c r="AB44" i="26"/>
  <c r="AB48" i="26"/>
  <c r="AB38" i="26"/>
  <c r="AB43" i="26"/>
  <c r="O25" i="10"/>
  <c r="O6" i="10"/>
  <c r="AB32" i="26"/>
  <c r="AC32" i="26"/>
  <c r="AB34" i="26"/>
  <c r="AC48" i="26"/>
  <c r="AC45" i="26"/>
  <c r="AC42" i="26"/>
  <c r="AC30" i="26"/>
  <c r="AC43" i="26"/>
  <c r="AC44" i="26"/>
  <c r="AC28" i="26"/>
  <c r="AC46" i="26"/>
  <c r="AC47" i="26"/>
  <c r="AC33" i="26"/>
  <c r="AC34" i="26"/>
  <c r="X29" i="26"/>
  <c r="X30" i="26"/>
  <c r="Z29" i="26"/>
  <c r="Y56" i="26"/>
  <c r="X33" i="26"/>
  <c r="Y57" i="26"/>
  <c r="Y52" i="26"/>
  <c r="Y58" i="26"/>
  <c r="Y55" i="26"/>
  <c r="Y16" i="26"/>
  <c r="Y23" i="26"/>
  <c r="X36" i="26"/>
  <c r="Y22" i="26"/>
  <c r="Y12" i="26"/>
  <c r="Y19" i="26"/>
  <c r="Y17" i="26"/>
  <c r="Y51" i="26"/>
  <c r="X19" i="26"/>
  <c r="X14" i="26"/>
  <c r="X12" i="26"/>
  <c r="X13" i="26"/>
  <c r="X41" i="26"/>
  <c r="X22" i="26"/>
  <c r="X23" i="26"/>
  <c r="X16" i="26"/>
  <c r="X17" i="26"/>
  <c r="Y14" i="26"/>
  <c r="Z14" i="26"/>
  <c r="Z17" i="26"/>
  <c r="Z23" i="26"/>
  <c r="Z41" i="26"/>
  <c r="Z19" i="26"/>
  <c r="Z56" i="26"/>
  <c r="X53" i="26"/>
  <c r="Z53" i="26"/>
  <c r="X54" i="26"/>
  <c r="Z54" i="26"/>
  <c r="Z52" i="26"/>
  <c r="Z51" i="26"/>
  <c r="Z58" i="26"/>
  <c r="Z12" i="26"/>
  <c r="X55" i="26"/>
  <c r="Z55" i="26"/>
  <c r="X57" i="26"/>
  <c r="Z57" i="26"/>
  <c r="X56" i="26"/>
  <c r="X52" i="26"/>
  <c r="X51" i="26"/>
  <c r="X58" i="26"/>
  <c r="Y54" i="26"/>
  <c r="Y53" i="26"/>
  <c r="Z36" i="26"/>
  <c r="Y36" i="26"/>
  <c r="Y41" i="26"/>
  <c r="N7" i="17"/>
  <c r="O7" i="17"/>
  <c r="AB17" i="26"/>
  <c r="AB12" i="26"/>
  <c r="AB23" i="26"/>
  <c r="AB19" i="26"/>
  <c r="AB14" i="26"/>
  <c r="AB36" i="26"/>
  <c r="AB29" i="26"/>
  <c r="AB55" i="26"/>
  <c r="AB57" i="26"/>
  <c r="AB52" i="26"/>
  <c r="AB56" i="26"/>
  <c r="AB58" i="26"/>
  <c r="AB54" i="26"/>
  <c r="AB22" i="26"/>
  <c r="AB53" i="26"/>
  <c r="AB16" i="26"/>
  <c r="AB18" i="26"/>
  <c r="AB41" i="26"/>
  <c r="AD29" i="26"/>
  <c r="AB37" i="26"/>
  <c r="AB51" i="26"/>
  <c r="AD56" i="26"/>
  <c r="AD14" i="26"/>
  <c r="AC51" i="26"/>
  <c r="AC23" i="26"/>
  <c r="AC17" i="26"/>
  <c r="AC54" i="26"/>
  <c r="AC36" i="26"/>
  <c r="AC55" i="26"/>
  <c r="AC57" i="26"/>
  <c r="AC14" i="26"/>
  <c r="AC58" i="26"/>
  <c r="AD58" i="26"/>
  <c r="AC19" i="26"/>
  <c r="AD19" i="26"/>
  <c r="AC56" i="26"/>
  <c r="AD23" i="26"/>
  <c r="AD51" i="26"/>
  <c r="AD55" i="26"/>
  <c r="AD57" i="26"/>
  <c r="AC12" i="26"/>
  <c r="AD12" i="26"/>
  <c r="AD36" i="26"/>
  <c r="AD17" i="26"/>
  <c r="AD54" i="26"/>
  <c r="AC41" i="26"/>
  <c r="AD41" i="26"/>
  <c r="AC52" i="26"/>
  <c r="AD52" i="26"/>
  <c r="AC53" i="26"/>
  <c r="AD53" i="26"/>
  <c r="L141" i="50"/>
  <c r="G227" i="16" l="1"/>
  <c r="G173" i="33"/>
  <c r="E231" i="33" s="1"/>
  <c r="G223" i="16"/>
  <c r="E44" i="2"/>
  <c r="AD186" i="2" s="1"/>
  <c r="H226" i="2"/>
  <c r="B46" i="30"/>
  <c r="E68" i="34"/>
  <c r="B92" i="34"/>
  <c r="G69" i="37"/>
  <c r="I52" i="37"/>
  <c r="C72" i="36"/>
  <c r="E29" i="33"/>
  <c r="H235" i="2"/>
  <c r="H228" i="37"/>
  <c r="C199" i="34"/>
  <c r="I52" i="35"/>
  <c r="I92" i="35"/>
  <c r="B46" i="3"/>
  <c r="I52" i="34"/>
  <c r="B215" i="34"/>
  <c r="A106" i="35"/>
  <c r="C177" i="37"/>
  <c r="F92" i="36"/>
  <c r="B46" i="32"/>
  <c r="D16" i="10"/>
  <c r="I12" i="2"/>
  <c r="H184" i="31"/>
  <c r="I184" i="31" s="1"/>
  <c r="E47" i="34"/>
  <c r="E48" i="34"/>
  <c r="E48" i="37"/>
  <c r="E47" i="37"/>
  <c r="E47" i="36"/>
  <c r="E48" i="36"/>
  <c r="E47" i="35"/>
  <c r="E48" i="35"/>
  <c r="E48" i="2"/>
  <c r="E47" i="2"/>
  <c r="H153" i="31"/>
  <c r="I153" i="31" s="1"/>
  <c r="H166" i="31"/>
  <c r="I166" i="31" s="1"/>
  <c r="H170" i="32"/>
  <c r="I170" i="32" s="1"/>
  <c r="G180" i="31"/>
  <c r="F225" i="31" s="1"/>
  <c r="AD277" i="33"/>
  <c r="C258" i="37"/>
  <c r="P224" i="35"/>
  <c r="B222" i="35"/>
  <c r="C258" i="36"/>
  <c r="G166" i="33"/>
  <c r="E224" i="33" s="1"/>
  <c r="H182" i="33"/>
  <c r="I182" i="33" s="1"/>
  <c r="G184" i="3"/>
  <c r="F229" i="3" s="1"/>
  <c r="Z302" i="31"/>
  <c r="H228" i="2"/>
  <c r="H233" i="36"/>
  <c r="H245" i="37"/>
  <c r="H227" i="2"/>
  <c r="H228" i="34"/>
  <c r="E43" i="2"/>
  <c r="AD185" i="2" s="1"/>
  <c r="E39" i="2"/>
  <c r="D53" i="2" s="1"/>
  <c r="E46" i="36"/>
  <c r="AD189" i="36" s="1"/>
  <c r="E46" i="2"/>
  <c r="AD189" i="2" s="1"/>
  <c r="K232" i="13"/>
  <c r="H230" i="36"/>
  <c r="D92" i="2"/>
  <c r="D92" i="37"/>
  <c r="G10" i="2"/>
  <c r="G10" i="34"/>
  <c r="W35" i="10"/>
  <c r="H35" i="10"/>
  <c r="F10" i="33"/>
  <c r="F10" i="31"/>
  <c r="F10" i="32"/>
  <c r="F10" i="3"/>
  <c r="G26" i="3"/>
  <c r="G26" i="30"/>
  <c r="G26" i="31"/>
  <c r="G26" i="32"/>
  <c r="G49" i="33"/>
  <c r="G49" i="3"/>
  <c r="G49" i="31"/>
  <c r="G49" i="30"/>
  <c r="B65" i="3"/>
  <c r="B65" i="31"/>
  <c r="B65" i="32"/>
  <c r="B123" i="3"/>
  <c r="B123" i="33"/>
  <c r="B123" i="30"/>
  <c r="E140" i="33"/>
  <c r="E443" i="30"/>
  <c r="E443" i="3"/>
  <c r="E434" i="31"/>
  <c r="E434" i="3"/>
  <c r="E140" i="3"/>
  <c r="D360" i="31"/>
  <c r="D360" i="30"/>
  <c r="E140" i="30"/>
  <c r="F178" i="3"/>
  <c r="F152" i="31"/>
  <c r="F165" i="31"/>
  <c r="F152" i="30"/>
  <c r="F165" i="32"/>
  <c r="F152" i="33"/>
  <c r="F178" i="31"/>
  <c r="D191" i="3"/>
  <c r="D191" i="31"/>
  <c r="E359" i="31"/>
  <c r="E395" i="30"/>
  <c r="D221" i="33"/>
  <c r="E395" i="31"/>
  <c r="E359" i="3"/>
  <c r="C360" i="33"/>
  <c r="C286" i="3"/>
  <c r="C310" i="3"/>
  <c r="C360" i="31"/>
  <c r="C286" i="31"/>
  <c r="C396" i="30"/>
  <c r="C286" i="30"/>
  <c r="C262" i="3"/>
  <c r="C396" i="3"/>
  <c r="C334" i="31"/>
  <c r="C310" i="33"/>
  <c r="C262" i="31"/>
  <c r="C310" i="31"/>
  <c r="C334" i="3"/>
  <c r="C334" i="32"/>
  <c r="C352" i="33"/>
  <c r="C352" i="30"/>
  <c r="C304" i="30"/>
  <c r="C304" i="31"/>
  <c r="C328" i="3"/>
  <c r="C328" i="31"/>
  <c r="D471" i="32"/>
  <c r="D471" i="31"/>
  <c r="D471" i="33"/>
  <c r="D471" i="30"/>
  <c r="J434" i="33"/>
  <c r="J443" i="30"/>
  <c r="J434" i="31"/>
  <c r="J434" i="30"/>
  <c r="J443" i="31"/>
  <c r="J434" i="32"/>
  <c r="E7" i="30"/>
  <c r="E7" i="3"/>
  <c r="E6" i="30"/>
  <c r="K396" i="30"/>
  <c r="K396" i="33"/>
  <c r="K396" i="31"/>
  <c r="AF173" i="2"/>
  <c r="AF173" i="35"/>
  <c r="AF9" i="26"/>
  <c r="AF50" i="26"/>
  <c r="H223" i="16"/>
  <c r="H159" i="32"/>
  <c r="I159" i="32" s="1"/>
  <c r="G102" i="30"/>
  <c r="D221" i="30"/>
  <c r="B123" i="31"/>
  <c r="C396" i="31"/>
  <c r="J443" i="32"/>
  <c r="G24" i="17"/>
  <c r="L90" i="5"/>
  <c r="I26" i="5"/>
  <c r="O26" i="5"/>
  <c r="L26" i="5"/>
  <c r="I90" i="5"/>
  <c r="H250" i="35"/>
  <c r="K252" i="13"/>
  <c r="I250" i="2" s="1"/>
  <c r="D6" i="30"/>
  <c r="I6" i="30" s="1"/>
  <c r="F10" i="16"/>
  <c r="D6" i="34"/>
  <c r="J213" i="34" s="1"/>
  <c r="M23" i="17"/>
  <c r="A27" i="5"/>
  <c r="F165" i="3"/>
  <c r="D191" i="30"/>
  <c r="F178" i="30"/>
  <c r="C334" i="30"/>
  <c r="C352" i="31"/>
  <c r="C337" i="32"/>
  <c r="C289" i="33"/>
  <c r="H157" i="33"/>
  <c r="I157" i="33" s="1"/>
  <c r="H230" i="34"/>
  <c r="C328" i="30"/>
  <c r="D396" i="31"/>
  <c r="H180" i="31"/>
  <c r="I180" i="31" s="1"/>
  <c r="H167" i="33"/>
  <c r="I167" i="33" s="1"/>
  <c r="AA301" i="31"/>
  <c r="F165" i="30"/>
  <c r="B65" i="30"/>
  <c r="C310" i="30"/>
  <c r="E434" i="30"/>
  <c r="C280" i="31"/>
  <c r="E443" i="31"/>
  <c r="C352" i="32"/>
  <c r="M34" i="10"/>
  <c r="K243" i="13"/>
  <c r="I241" i="35" s="1"/>
  <c r="H241" i="35"/>
  <c r="D6" i="3"/>
  <c r="C69" i="3" s="1"/>
  <c r="D6" i="2"/>
  <c r="J213" i="2" s="1"/>
  <c r="D221" i="3"/>
  <c r="E359" i="30"/>
  <c r="C280" i="30"/>
  <c r="I178" i="33"/>
  <c r="B52" i="2"/>
  <c r="D26" i="5"/>
  <c r="AE35" i="10"/>
  <c r="D140" i="3"/>
  <c r="G178" i="3"/>
  <c r="B232" i="3"/>
  <c r="L285" i="3"/>
  <c r="B405" i="3"/>
  <c r="G7" i="30"/>
  <c r="B189" i="30"/>
  <c r="I52" i="30"/>
  <c r="C193" i="30"/>
  <c r="L333" i="30"/>
  <c r="C326" i="30"/>
  <c r="B232" i="30"/>
  <c r="D454" i="3"/>
  <c r="D462" i="3"/>
  <c r="D396" i="30"/>
  <c r="D441" i="30"/>
  <c r="D465" i="30"/>
  <c r="D446" i="30"/>
  <c r="D451" i="30"/>
  <c r="G50" i="31"/>
  <c r="B485" i="30"/>
  <c r="F471" i="30"/>
  <c r="D447" i="31"/>
  <c r="F443" i="31"/>
  <c r="D144" i="31"/>
  <c r="C103" i="31"/>
  <c r="D450" i="31"/>
  <c r="AI313" i="31"/>
  <c r="C278" i="31"/>
  <c r="B163" i="31"/>
  <c r="D145" i="32"/>
  <c r="C103" i="32"/>
  <c r="I35" i="32"/>
  <c r="F471" i="31"/>
  <c r="AI289" i="3"/>
  <c r="C335" i="33"/>
  <c r="E106" i="32"/>
  <c r="D438" i="32"/>
  <c r="D84" i="33"/>
  <c r="B66" i="35"/>
  <c r="C177" i="35"/>
  <c r="B163" i="34"/>
  <c r="C127" i="34"/>
  <c r="S50" i="26"/>
  <c r="H160" i="3"/>
  <c r="I160" i="3" s="1"/>
  <c r="H157" i="31"/>
  <c r="I157" i="31" s="1"/>
  <c r="H173" i="3"/>
  <c r="I173" i="3" s="1"/>
  <c r="G170" i="33"/>
  <c r="E228" i="33" s="1"/>
  <c r="H173" i="30"/>
  <c r="I173" i="30" s="1"/>
  <c r="A46" i="5"/>
  <c r="L35" i="10"/>
  <c r="D84" i="3"/>
  <c r="D152" i="3"/>
  <c r="D147" i="3"/>
  <c r="C311" i="3"/>
  <c r="D443" i="3"/>
  <c r="D165" i="30"/>
  <c r="D84" i="30"/>
  <c r="I35" i="30"/>
  <c r="B163" i="30"/>
  <c r="B35" i="30"/>
  <c r="L285" i="30"/>
  <c r="C302" i="30"/>
  <c r="D448" i="3"/>
  <c r="D453" i="3"/>
  <c r="D435" i="30"/>
  <c r="D459" i="30"/>
  <c r="D464" i="30"/>
  <c r="D445" i="30"/>
  <c r="D84" i="31"/>
  <c r="D460" i="31"/>
  <c r="D440" i="31"/>
  <c r="D434" i="31"/>
  <c r="L333" i="31"/>
  <c r="D140" i="31"/>
  <c r="D463" i="31"/>
  <c r="D444" i="31"/>
  <c r="L309" i="31"/>
  <c r="B232" i="31"/>
  <c r="D143" i="31"/>
  <c r="C106" i="31"/>
  <c r="D140" i="32"/>
  <c r="L443" i="30"/>
  <c r="C335" i="3"/>
  <c r="G165" i="33"/>
  <c r="G50" i="33"/>
  <c r="C472" i="32"/>
  <c r="D439" i="33"/>
  <c r="C302" i="32"/>
  <c r="D446" i="32"/>
  <c r="D434" i="32"/>
  <c r="E85" i="34"/>
  <c r="E85" i="35"/>
  <c r="C109" i="35"/>
  <c r="B127" i="37"/>
  <c r="B92" i="36"/>
  <c r="F222" i="16"/>
  <c r="G184" i="31"/>
  <c r="F229" i="31" s="1"/>
  <c r="G225" i="16"/>
  <c r="G229" i="16"/>
  <c r="H185" i="33"/>
  <c r="I185" i="33" s="1"/>
  <c r="E31" i="30"/>
  <c r="D40" i="30" s="1"/>
  <c r="F54" i="29"/>
  <c r="K5" i="10"/>
  <c r="B62" i="3"/>
  <c r="D144" i="3"/>
  <c r="D143" i="3"/>
  <c r="D360" i="3"/>
  <c r="B397" i="3"/>
  <c r="F12" i="30"/>
  <c r="D140" i="30"/>
  <c r="C83" i="30"/>
  <c r="B81" i="30"/>
  <c r="B24" i="30"/>
  <c r="A257" i="30"/>
  <c r="L261" i="30"/>
  <c r="C278" i="30"/>
  <c r="D463" i="3"/>
  <c r="D444" i="3"/>
  <c r="D449" i="3"/>
  <c r="H443" i="30"/>
  <c r="D440" i="30"/>
  <c r="D452" i="30"/>
  <c r="D460" i="30"/>
  <c r="F12" i="31"/>
  <c r="D453" i="31"/>
  <c r="D436" i="31"/>
  <c r="L285" i="31"/>
  <c r="D459" i="31"/>
  <c r="D439" i="31"/>
  <c r="C350" i="31"/>
  <c r="AI289" i="31"/>
  <c r="B189" i="31"/>
  <c r="D165" i="32"/>
  <c r="B52" i="32"/>
  <c r="G6" i="32"/>
  <c r="AI289" i="33"/>
  <c r="C223" i="32"/>
  <c r="F434" i="32"/>
  <c r="G26" i="33"/>
  <c r="G6" i="33"/>
  <c r="B361" i="32"/>
  <c r="B331" i="32"/>
  <c r="D447" i="33"/>
  <c r="I140" i="33"/>
  <c r="C103" i="33"/>
  <c r="G69" i="34"/>
  <c r="G69" i="35"/>
  <c r="H52" i="36"/>
  <c r="AF33" i="17"/>
  <c r="E42" i="2"/>
  <c r="AD184" i="2" s="1"/>
  <c r="E40" i="2"/>
  <c r="D54" i="2" s="1"/>
  <c r="H155" i="3"/>
  <c r="I155" i="3" s="1"/>
  <c r="E30" i="33"/>
  <c r="D39" i="33" s="1"/>
  <c r="AD190" i="2"/>
  <c r="S203" i="34"/>
  <c r="S203" i="36"/>
  <c r="H227" i="16"/>
  <c r="G156" i="31"/>
  <c r="D227" i="31" s="1"/>
  <c r="H167" i="30"/>
  <c r="I167" i="30" s="1"/>
  <c r="G183" i="3"/>
  <c r="F228" i="3" s="1"/>
  <c r="N225" i="2"/>
  <c r="D67" i="5"/>
  <c r="AD35" i="10"/>
  <c r="G35" i="10"/>
  <c r="I5" i="10"/>
  <c r="C67" i="3"/>
  <c r="G152" i="3"/>
  <c r="C263" i="3"/>
  <c r="AI337" i="3"/>
  <c r="AI311" i="3"/>
  <c r="C287" i="3"/>
  <c r="I52" i="3"/>
  <c r="B7" i="30"/>
  <c r="G152" i="30"/>
  <c r="F102" i="30"/>
  <c r="G165" i="30"/>
  <c r="B126" i="30"/>
  <c r="E52" i="30"/>
  <c r="C311" i="30"/>
  <c r="AI289" i="30"/>
  <c r="C466" i="3"/>
  <c r="E35" i="31"/>
  <c r="C486" i="30"/>
  <c r="AI311" i="31"/>
  <c r="G178" i="31"/>
  <c r="G152" i="31"/>
  <c r="L443" i="31"/>
  <c r="L434" i="31"/>
  <c r="AI335" i="31"/>
  <c r="C311" i="31"/>
  <c r="C301" i="31"/>
  <c r="C277" i="31"/>
  <c r="G165" i="31"/>
  <c r="B126" i="31"/>
  <c r="G152" i="32"/>
  <c r="I52" i="32"/>
  <c r="L443" i="33"/>
  <c r="K443" i="32"/>
  <c r="C486" i="33"/>
  <c r="F471" i="3"/>
  <c r="AI335" i="32"/>
  <c r="AI335" i="3"/>
  <c r="AI265" i="32"/>
  <c r="AI337" i="33"/>
  <c r="C277" i="33"/>
  <c r="C277" i="32"/>
  <c r="C287" i="32"/>
  <c r="C311" i="33"/>
  <c r="D360" i="32"/>
  <c r="C466" i="32"/>
  <c r="C193" i="33"/>
  <c r="B176" i="32"/>
  <c r="G178" i="32"/>
  <c r="G165" i="3"/>
  <c r="F140" i="33"/>
  <c r="F140" i="3"/>
  <c r="D106" i="33"/>
  <c r="F12" i="33"/>
  <c r="E52" i="34"/>
  <c r="C217" i="34"/>
  <c r="B31" i="35"/>
  <c r="B68" i="35"/>
  <c r="F72" i="35"/>
  <c r="C133" i="35"/>
  <c r="B38" i="36"/>
  <c r="G92" i="37"/>
  <c r="C27" i="37"/>
  <c r="G86" i="36"/>
  <c r="D9" i="37"/>
  <c r="D109" i="36"/>
  <c r="Q50" i="26"/>
  <c r="J6" i="17"/>
  <c r="J33" i="17"/>
  <c r="F350" i="30"/>
  <c r="L277" i="31"/>
  <c r="N278" i="30"/>
  <c r="G184" i="30"/>
  <c r="F229" i="30" s="1"/>
  <c r="F302" i="30"/>
  <c r="Z278" i="31"/>
  <c r="E45" i="2"/>
  <c r="D59" i="2" s="1"/>
  <c r="H59" i="2" s="1"/>
  <c r="E28" i="33"/>
  <c r="E41" i="2"/>
  <c r="AD183" i="2" s="1"/>
  <c r="E203" i="2" s="1"/>
  <c r="S203" i="37"/>
  <c r="S203" i="35"/>
  <c r="H89" i="5"/>
  <c r="O35" i="10"/>
  <c r="M5" i="10"/>
  <c r="E5" i="10"/>
  <c r="B369" i="3"/>
  <c r="C325" i="3"/>
  <c r="AI265" i="3"/>
  <c r="L443" i="3"/>
  <c r="F140" i="30"/>
  <c r="F101" i="30"/>
  <c r="E68" i="30"/>
  <c r="C67" i="30"/>
  <c r="AI337" i="30"/>
  <c r="AI265" i="30"/>
  <c r="C301" i="30"/>
  <c r="C263" i="30"/>
  <c r="AI313" i="30"/>
  <c r="C349" i="30"/>
  <c r="C287" i="30"/>
  <c r="L434" i="30"/>
  <c r="C83" i="31"/>
  <c r="E52" i="31"/>
  <c r="C349" i="31"/>
  <c r="AI337" i="31"/>
  <c r="AI265" i="31"/>
  <c r="F140" i="31"/>
  <c r="G443" i="31"/>
  <c r="C335" i="31"/>
  <c r="F140" i="32"/>
  <c r="L396" i="32"/>
  <c r="AI265" i="33"/>
  <c r="C301" i="32"/>
  <c r="C325" i="33"/>
  <c r="C263" i="33"/>
  <c r="C263" i="32"/>
  <c r="C193" i="32"/>
  <c r="G178" i="33"/>
  <c r="C129" i="3"/>
  <c r="E84" i="33"/>
  <c r="L225" i="34"/>
  <c r="B27" i="35"/>
  <c r="G86" i="35"/>
  <c r="D109" i="37"/>
  <c r="B66" i="37"/>
  <c r="F138" i="36"/>
  <c r="K9" i="26"/>
  <c r="I326" i="30"/>
  <c r="E302" i="30"/>
  <c r="J277" i="30"/>
  <c r="E27" i="33"/>
  <c r="G27" i="33" s="1"/>
  <c r="H134" i="33" s="1"/>
  <c r="I411" i="33" s="1"/>
  <c r="E32" i="33"/>
  <c r="G32" i="33" s="1"/>
  <c r="D28" i="34"/>
  <c r="F24" i="10" s="1"/>
  <c r="F10" i="13"/>
  <c r="R203" i="34"/>
  <c r="R203" i="36"/>
  <c r="H153" i="30"/>
  <c r="I153" i="30" s="1"/>
  <c r="H157" i="3"/>
  <c r="I157" i="3" s="1"/>
  <c r="H160" i="33"/>
  <c r="I160" i="33" s="1"/>
  <c r="G156" i="33"/>
  <c r="D227" i="33" s="1"/>
  <c r="G158" i="31"/>
  <c r="D229" i="31" s="1"/>
  <c r="G157" i="30"/>
  <c r="D228" i="30" s="1"/>
  <c r="H166" i="30"/>
  <c r="I166" i="30" s="1"/>
  <c r="G171" i="33"/>
  <c r="E229" i="33" s="1"/>
  <c r="G171" i="31"/>
  <c r="E229" i="31" s="1"/>
  <c r="H167" i="31"/>
  <c r="I167" i="31" s="1"/>
  <c r="G181" i="32"/>
  <c r="F226" i="32" s="1"/>
  <c r="H181" i="31"/>
  <c r="I181" i="31" s="1"/>
  <c r="H185" i="3"/>
  <c r="I185" i="3" s="1"/>
  <c r="G181" i="3"/>
  <c r="F226" i="3" s="1"/>
  <c r="H184" i="33"/>
  <c r="I184" i="33" s="1"/>
  <c r="G180" i="33"/>
  <c r="F225" i="33" s="1"/>
  <c r="H181" i="30"/>
  <c r="I181" i="30" s="1"/>
  <c r="J350" i="31"/>
  <c r="F349" i="31"/>
  <c r="F27" i="38"/>
  <c r="L225" i="2"/>
  <c r="C303" i="30"/>
  <c r="I152" i="32"/>
  <c r="B10" i="34"/>
  <c r="H72" i="34"/>
  <c r="I92" i="34"/>
  <c r="C52" i="34"/>
  <c r="U225" i="34"/>
  <c r="B38" i="35"/>
  <c r="B198" i="35"/>
  <c r="B203" i="35"/>
  <c r="B135" i="37"/>
  <c r="C200" i="37"/>
  <c r="B52" i="37"/>
  <c r="X9" i="26"/>
  <c r="H24" i="17"/>
  <c r="X50" i="26"/>
  <c r="AA24" i="17"/>
  <c r="X34" i="10"/>
  <c r="H169" i="33"/>
  <c r="I169" i="33" s="1"/>
  <c r="D6" i="35"/>
  <c r="D7" i="35" s="1"/>
  <c r="G184" i="32"/>
  <c r="F229" i="32" s="1"/>
  <c r="H23" i="38"/>
  <c r="I34" i="10" s="1"/>
  <c r="F134" i="3"/>
  <c r="C32" i="34"/>
  <c r="B181" i="34"/>
  <c r="G7" i="36"/>
  <c r="C215" i="37"/>
  <c r="K50" i="26"/>
  <c r="R50" i="26"/>
  <c r="G169" i="30"/>
  <c r="E227" i="30" s="1"/>
  <c r="G169" i="3"/>
  <c r="E227" i="3" s="1"/>
  <c r="F11" i="16"/>
  <c r="R203" i="37"/>
  <c r="R203" i="35"/>
  <c r="F109" i="34"/>
  <c r="B181" i="2"/>
  <c r="B110" i="34"/>
  <c r="F92" i="35"/>
  <c r="B140" i="35"/>
  <c r="B10" i="36"/>
  <c r="G6" i="36"/>
  <c r="G6" i="37"/>
  <c r="C66" i="16"/>
  <c r="H34" i="17"/>
  <c r="H36" i="10"/>
  <c r="H56" i="10"/>
  <c r="H57" i="17"/>
  <c r="E27" i="26"/>
  <c r="C48" i="17"/>
  <c r="R48" i="17" s="1"/>
  <c r="H41" i="10"/>
  <c r="H38" i="17"/>
  <c r="H39" i="10"/>
  <c r="H36" i="17"/>
  <c r="E24" i="26"/>
  <c r="C45" i="17"/>
  <c r="R45" i="17" s="1"/>
  <c r="H231" i="35"/>
  <c r="H168" i="33"/>
  <c r="I168" i="33" s="1"/>
  <c r="H168" i="31"/>
  <c r="I168" i="31" s="1"/>
  <c r="D309" i="30"/>
  <c r="B259" i="30"/>
  <c r="K434" i="30"/>
  <c r="F26" i="31"/>
  <c r="K434" i="33"/>
  <c r="A60" i="32"/>
  <c r="H35" i="3"/>
  <c r="C38" i="34"/>
  <c r="B83" i="34"/>
  <c r="C38" i="35"/>
  <c r="G87" i="35"/>
  <c r="B89" i="2"/>
  <c r="B253" i="2"/>
  <c r="B66" i="16"/>
  <c r="C95" i="16"/>
  <c r="L24" i="17"/>
  <c r="L33" i="17"/>
  <c r="AE24" i="17"/>
  <c r="B153" i="16"/>
  <c r="H155" i="33"/>
  <c r="I155" i="33" s="1"/>
  <c r="F29" i="33"/>
  <c r="T8" i="26"/>
  <c r="F12" i="13"/>
  <c r="X23" i="17"/>
  <c r="I250" i="37"/>
  <c r="H243" i="2"/>
  <c r="AD278" i="33"/>
  <c r="H228" i="36"/>
  <c r="K230" i="13"/>
  <c r="F177" i="36" s="1"/>
  <c r="F205" i="36" s="1"/>
  <c r="C38" i="2"/>
  <c r="E12" i="29"/>
  <c r="AC35" i="10"/>
  <c r="L5" i="10"/>
  <c r="D5" i="10"/>
  <c r="F67" i="3"/>
  <c r="B26" i="3"/>
  <c r="H165" i="3"/>
  <c r="E152" i="3"/>
  <c r="B337" i="3"/>
  <c r="C278" i="3"/>
  <c r="H434" i="3"/>
  <c r="H165" i="30"/>
  <c r="F131" i="30"/>
  <c r="B48" i="30"/>
  <c r="H178" i="30"/>
  <c r="F130" i="30"/>
  <c r="C106" i="30"/>
  <c r="F83" i="30"/>
  <c r="AJ313" i="30"/>
  <c r="C337" i="30"/>
  <c r="B313" i="30"/>
  <c r="B289" i="30"/>
  <c r="A430" i="30"/>
  <c r="B84" i="31"/>
  <c r="B62" i="31"/>
  <c r="D35" i="31"/>
  <c r="C472" i="30"/>
  <c r="K443" i="31"/>
  <c r="K434" i="31"/>
  <c r="L396" i="31"/>
  <c r="D309" i="31"/>
  <c r="C288" i="31"/>
  <c r="A257" i="31"/>
  <c r="F129" i="31"/>
  <c r="C434" i="31"/>
  <c r="B265" i="31"/>
  <c r="C265" i="31"/>
  <c r="D178" i="31"/>
  <c r="F130" i="31"/>
  <c r="B138" i="32"/>
  <c r="C84" i="32"/>
  <c r="I48" i="32"/>
  <c r="F35" i="32"/>
  <c r="B26" i="32"/>
  <c r="L396" i="33"/>
  <c r="L396" i="30"/>
  <c r="C351" i="33"/>
  <c r="D261" i="32"/>
  <c r="E26" i="33"/>
  <c r="J396" i="3"/>
  <c r="B265" i="33"/>
  <c r="B337" i="33"/>
  <c r="C487" i="3"/>
  <c r="A430" i="32"/>
  <c r="AJ289" i="32"/>
  <c r="C326" i="33"/>
  <c r="C288" i="33"/>
  <c r="A257" i="33"/>
  <c r="H178" i="33"/>
  <c r="B138" i="3"/>
  <c r="C102" i="3"/>
  <c r="F83" i="3"/>
  <c r="B48" i="3"/>
  <c r="E9" i="34"/>
  <c r="F92" i="34"/>
  <c r="D92" i="34"/>
  <c r="C133" i="34"/>
  <c r="B199" i="34"/>
  <c r="C211" i="34"/>
  <c r="G7" i="35"/>
  <c r="B89" i="35"/>
  <c r="J87" i="35"/>
  <c r="J70" i="35"/>
  <c r="B163" i="2"/>
  <c r="F109" i="35"/>
  <c r="C160" i="35"/>
  <c r="G10" i="36"/>
  <c r="E225" i="35"/>
  <c r="B68" i="36"/>
  <c r="E9" i="37"/>
  <c r="L225" i="37"/>
  <c r="B83" i="37"/>
  <c r="B135" i="2"/>
  <c r="B181" i="36"/>
  <c r="G87" i="36"/>
  <c r="B47" i="16"/>
  <c r="C104" i="16"/>
  <c r="AE33" i="17"/>
  <c r="P24" i="17"/>
  <c r="AD50" i="26"/>
  <c r="P33" i="17"/>
  <c r="AI24" i="17"/>
  <c r="M24" i="17"/>
  <c r="A141" i="5"/>
  <c r="B135" i="16"/>
  <c r="H46" i="10"/>
  <c r="H48" i="17"/>
  <c r="H44" i="10"/>
  <c r="H46" i="17"/>
  <c r="H37" i="10"/>
  <c r="H41" i="17"/>
  <c r="H55" i="10"/>
  <c r="H49" i="17"/>
  <c r="H53" i="10"/>
  <c r="H53" i="17"/>
  <c r="H52" i="10"/>
  <c r="H51" i="17"/>
  <c r="H50" i="10"/>
  <c r="H50" i="17"/>
  <c r="H54" i="17"/>
  <c r="H48" i="10"/>
  <c r="H45" i="10"/>
  <c r="H47" i="17"/>
  <c r="H43" i="10"/>
  <c r="H45" i="17"/>
  <c r="H40" i="10"/>
  <c r="H43" i="17"/>
  <c r="A60" i="30"/>
  <c r="K443" i="30"/>
  <c r="A60" i="31"/>
  <c r="E152" i="31"/>
  <c r="C337" i="31"/>
  <c r="C289" i="31"/>
  <c r="H140" i="32"/>
  <c r="B163" i="35"/>
  <c r="E9" i="36"/>
  <c r="B83" i="36"/>
  <c r="AA33" i="17"/>
  <c r="G166" i="32"/>
  <c r="E224" i="32" s="1"/>
  <c r="G159" i="3"/>
  <c r="H171" i="30"/>
  <c r="I171" i="30" s="1"/>
  <c r="H171" i="32"/>
  <c r="I171" i="32" s="1"/>
  <c r="G158" i="33"/>
  <c r="D229" i="33" s="1"/>
  <c r="G154" i="33"/>
  <c r="D225" i="33" s="1"/>
  <c r="G167" i="32"/>
  <c r="E225" i="32" s="1"/>
  <c r="H239" i="34"/>
  <c r="G158" i="32"/>
  <c r="D229" i="32" s="1"/>
  <c r="H154" i="32"/>
  <c r="I154" i="32" s="1"/>
  <c r="G168" i="3"/>
  <c r="E226" i="3" s="1"/>
  <c r="H168" i="30"/>
  <c r="I168" i="30" s="1"/>
  <c r="G182" i="3"/>
  <c r="F227" i="3" s="1"/>
  <c r="H186" i="3"/>
  <c r="I186" i="3" s="1"/>
  <c r="B26" i="13"/>
  <c r="G7" i="2"/>
  <c r="C206" i="2"/>
  <c r="I12" i="29"/>
  <c r="F68" i="5"/>
  <c r="F5" i="10"/>
  <c r="B84" i="3"/>
  <c r="E26" i="3"/>
  <c r="F130" i="3"/>
  <c r="H152" i="3"/>
  <c r="B265" i="3"/>
  <c r="C350" i="3"/>
  <c r="C312" i="3"/>
  <c r="C303" i="3"/>
  <c r="AJ265" i="3"/>
  <c r="D52" i="3"/>
  <c r="B9" i="30"/>
  <c r="B138" i="30"/>
  <c r="F128" i="30"/>
  <c r="B62" i="30"/>
  <c r="I48" i="30"/>
  <c r="D35" i="30"/>
  <c r="D152" i="30"/>
  <c r="F132" i="30"/>
  <c r="E106" i="30"/>
  <c r="B68" i="30"/>
  <c r="AJ265" i="30"/>
  <c r="C336" i="30"/>
  <c r="C312" i="30"/>
  <c r="C264" i="30"/>
  <c r="B81" i="31"/>
  <c r="D52" i="31"/>
  <c r="B35" i="31"/>
  <c r="B26" i="31"/>
  <c r="C487" i="30"/>
  <c r="F35" i="31"/>
  <c r="D165" i="31"/>
  <c r="F131" i="31"/>
  <c r="B138" i="31"/>
  <c r="B337" i="31"/>
  <c r="AJ265" i="31"/>
  <c r="B219" i="31"/>
  <c r="H152" i="31"/>
  <c r="F132" i="31"/>
  <c r="C102" i="31"/>
  <c r="B62" i="32"/>
  <c r="E26" i="32"/>
  <c r="C472" i="31"/>
  <c r="K434" i="32"/>
  <c r="D309" i="32"/>
  <c r="F35" i="33"/>
  <c r="J396" i="32"/>
  <c r="B35" i="33"/>
  <c r="B84" i="33"/>
  <c r="H152" i="32"/>
  <c r="C102" i="32"/>
  <c r="C487" i="32"/>
  <c r="H443" i="33"/>
  <c r="AJ289" i="33"/>
  <c r="C278" i="33"/>
  <c r="C312" i="32"/>
  <c r="H178" i="32"/>
  <c r="D178" i="33"/>
  <c r="E106" i="33"/>
  <c r="F67" i="33"/>
  <c r="B31" i="34"/>
  <c r="G7" i="34"/>
  <c r="B68" i="34"/>
  <c r="G87" i="34"/>
  <c r="C202" i="34"/>
  <c r="E225" i="34"/>
  <c r="G10" i="35"/>
  <c r="C52" i="35"/>
  <c r="E9" i="35"/>
  <c r="B83" i="35"/>
  <c r="B131" i="35"/>
  <c r="B110" i="35"/>
  <c r="B199" i="35"/>
  <c r="C175" i="35"/>
  <c r="B31" i="36"/>
  <c r="B253" i="34"/>
  <c r="C32" i="36"/>
  <c r="B253" i="35"/>
  <c r="B135" i="36"/>
  <c r="B131" i="2"/>
  <c r="B181" i="37"/>
  <c r="G87" i="37"/>
  <c r="B199" i="36"/>
  <c r="C103" i="16"/>
  <c r="AD9" i="26"/>
  <c r="G50" i="26"/>
  <c r="AB24" i="17"/>
  <c r="C24" i="17"/>
  <c r="X33" i="17"/>
  <c r="H33" i="17"/>
  <c r="W24" i="17"/>
  <c r="B171" i="16"/>
  <c r="R325" i="30"/>
  <c r="H125" i="13"/>
  <c r="C124" i="13"/>
  <c r="H124" i="13"/>
  <c r="D16" i="17"/>
  <c r="C126" i="13"/>
  <c r="B120" i="13"/>
  <c r="B118" i="13"/>
  <c r="B116" i="13"/>
  <c r="B86" i="16"/>
  <c r="H159" i="3"/>
  <c r="I159" i="3" s="1"/>
  <c r="D7" i="17"/>
  <c r="N17" i="17"/>
  <c r="C15" i="3"/>
  <c r="C13" i="3"/>
  <c r="C14" i="3"/>
  <c r="D11" i="17" s="1"/>
  <c r="C12" i="3"/>
  <c r="D9" i="17" s="1"/>
  <c r="D336" i="3" a="1"/>
  <c r="D336" i="32" a="1"/>
  <c r="D336" i="30" a="1"/>
  <c r="D336" i="33"/>
  <c r="E336" i="33"/>
  <c r="I336" i="33"/>
  <c r="M336" i="33"/>
  <c r="Q336" i="33"/>
  <c r="U336" i="33"/>
  <c r="Y336" i="33"/>
  <c r="AC336" i="33"/>
  <c r="AG336" i="33"/>
  <c r="G336" i="33"/>
  <c r="K336" i="33"/>
  <c r="O336" i="33"/>
  <c r="S336" i="33"/>
  <c r="W336" i="33"/>
  <c r="AA336" i="33"/>
  <c r="AE336" i="33"/>
  <c r="AH336" i="33"/>
  <c r="AD336" i="33"/>
  <c r="Z336" i="33"/>
  <c r="V336" i="33"/>
  <c r="R336" i="33"/>
  <c r="N336" i="33"/>
  <c r="J336" i="33"/>
  <c r="F336" i="33"/>
  <c r="AF336" i="33"/>
  <c r="AB336" i="33"/>
  <c r="X336" i="33"/>
  <c r="T336" i="33"/>
  <c r="P336" i="33"/>
  <c r="L336" i="33"/>
  <c r="H336" i="33"/>
  <c r="D336" i="31"/>
  <c r="E336" i="31"/>
  <c r="I336" i="31"/>
  <c r="M336" i="31"/>
  <c r="Q336" i="31"/>
  <c r="U336" i="31"/>
  <c r="Y336" i="31"/>
  <c r="AC336" i="31"/>
  <c r="AG336" i="31"/>
  <c r="G336" i="31"/>
  <c r="K336" i="31"/>
  <c r="O336" i="31"/>
  <c r="S336" i="31"/>
  <c r="W336" i="31"/>
  <c r="AA336" i="31"/>
  <c r="AE336" i="31"/>
  <c r="AH336" i="31"/>
  <c r="AD336" i="31"/>
  <c r="Z336" i="31"/>
  <c r="V336" i="31"/>
  <c r="R336" i="31"/>
  <c r="N336" i="31"/>
  <c r="J336" i="31"/>
  <c r="F336" i="31"/>
  <c r="AF336" i="31"/>
  <c r="AB336" i="31"/>
  <c r="X336" i="31"/>
  <c r="T336" i="31"/>
  <c r="P336" i="31"/>
  <c r="L336" i="31"/>
  <c r="H336" i="31"/>
  <c r="H200" i="16"/>
  <c r="H202" i="16"/>
  <c r="G181" i="33"/>
  <c r="F226" i="33" s="1"/>
  <c r="G185" i="31"/>
  <c r="F230" i="31" s="1"/>
  <c r="H183" i="31"/>
  <c r="I183" i="31" s="1"/>
  <c r="AB350" i="30"/>
  <c r="AC326" i="3"/>
  <c r="AD301" i="30"/>
  <c r="G184" i="33"/>
  <c r="F229" i="33" s="1"/>
  <c r="H183" i="32"/>
  <c r="I183" i="32" s="1"/>
  <c r="G183" i="30"/>
  <c r="F228" i="30" s="1"/>
  <c r="H182" i="3"/>
  <c r="I182" i="3" s="1"/>
  <c r="H184" i="32"/>
  <c r="I184" i="32" s="1"/>
  <c r="G182" i="32"/>
  <c r="F227" i="32" s="1"/>
  <c r="H180" i="32"/>
  <c r="I180" i="32" s="1"/>
  <c r="G349" i="30"/>
  <c r="U325" i="3"/>
  <c r="I325" i="33"/>
  <c r="I326" i="32"/>
  <c r="U326" i="31"/>
  <c r="AD301" i="33"/>
  <c r="L301" i="32"/>
  <c r="G302" i="31"/>
  <c r="AC302" i="30"/>
  <c r="AF278" i="3"/>
  <c r="AA277" i="3"/>
  <c r="AD278" i="32"/>
  <c r="AH278" i="31"/>
  <c r="L278" i="30"/>
  <c r="AA278" i="30"/>
  <c r="L277" i="30"/>
  <c r="H155" i="31"/>
  <c r="I155" i="31" s="1"/>
  <c r="G155" i="31"/>
  <c r="D226" i="31" s="1"/>
  <c r="H158" i="30"/>
  <c r="I158" i="30" s="1"/>
  <c r="G158" i="30"/>
  <c r="D229" i="30" s="1"/>
  <c r="G154" i="3"/>
  <c r="D225" i="3" s="1"/>
  <c r="G153" i="31"/>
  <c r="D224" i="31" s="1"/>
  <c r="H229" i="16"/>
  <c r="H225" i="16"/>
  <c r="G157" i="33"/>
  <c r="D228" i="33" s="1"/>
  <c r="H173" i="33"/>
  <c r="I173" i="33" s="1"/>
  <c r="G166" i="30"/>
  <c r="E224" i="30" s="1"/>
  <c r="H158" i="31"/>
  <c r="I158" i="31" s="1"/>
  <c r="H169" i="30"/>
  <c r="I169" i="30" s="1"/>
  <c r="H181" i="33"/>
  <c r="I181" i="33" s="1"/>
  <c r="G183" i="33"/>
  <c r="F228" i="33" s="1"/>
  <c r="G185" i="33"/>
  <c r="F230" i="33" s="1"/>
  <c r="F349" i="33"/>
  <c r="F351" i="33" s="1"/>
  <c r="G170" i="3"/>
  <c r="E228" i="3" s="1"/>
  <c r="H170" i="3"/>
  <c r="I170" i="3" s="1"/>
  <c r="G155" i="3"/>
  <c r="D226" i="3" s="1"/>
  <c r="G155" i="33"/>
  <c r="D226" i="33" s="1"/>
  <c r="G171" i="3"/>
  <c r="E229" i="3" s="1"/>
  <c r="G167" i="33"/>
  <c r="E225" i="33" s="1"/>
  <c r="G167" i="31"/>
  <c r="E225" i="31" s="1"/>
  <c r="H157" i="32"/>
  <c r="I157" i="32" s="1"/>
  <c r="D38" i="33"/>
  <c r="G168" i="30"/>
  <c r="E226" i="30" s="1"/>
  <c r="H166" i="33"/>
  <c r="I166" i="33" s="1"/>
  <c r="H171" i="33"/>
  <c r="I171" i="33" s="1"/>
  <c r="G202" i="16"/>
  <c r="J349" i="33"/>
  <c r="L302" i="33"/>
  <c r="H179" i="30"/>
  <c r="I179" i="30" s="1"/>
  <c r="G179" i="30"/>
  <c r="F224" i="30" s="1"/>
  <c r="D277" i="33"/>
  <c r="D277" i="30"/>
  <c r="H180" i="33"/>
  <c r="I180" i="33" s="1"/>
  <c r="K325" i="3"/>
  <c r="U326" i="3"/>
  <c r="AA277" i="30"/>
  <c r="U29" i="17"/>
  <c r="E39" i="37"/>
  <c r="D53" i="37" s="1"/>
  <c r="C344" i="3"/>
  <c r="C320" i="32"/>
  <c r="C320" i="33"/>
  <c r="C272" i="33"/>
  <c r="C344" i="30"/>
  <c r="C296" i="32"/>
  <c r="C272" i="32"/>
  <c r="C344" i="31"/>
  <c r="C344" i="32"/>
  <c r="C344" i="33"/>
  <c r="C320" i="31"/>
  <c r="C296" i="31"/>
  <c r="C272" i="31"/>
  <c r="C320" i="30"/>
  <c r="C320" i="3"/>
  <c r="C296" i="30"/>
  <c r="C296" i="33"/>
  <c r="C296" i="3"/>
  <c r="C272" i="30"/>
  <c r="C272" i="3"/>
  <c r="D277" i="32"/>
  <c r="E30" i="32"/>
  <c r="G30" i="32" s="1"/>
  <c r="H215" i="16"/>
  <c r="H350" i="30"/>
  <c r="I325" i="3"/>
  <c r="Z301" i="30"/>
  <c r="F301" i="30"/>
  <c r="AG278" i="33"/>
  <c r="H230" i="2"/>
  <c r="E44" i="36"/>
  <c r="AD186" i="36" s="1"/>
  <c r="K203" i="36" s="1"/>
  <c r="H233" i="2"/>
  <c r="H241" i="2"/>
  <c r="H249" i="2"/>
  <c r="K229" i="13"/>
  <c r="I227" i="2" s="1"/>
  <c r="H237" i="37"/>
  <c r="H243" i="36"/>
  <c r="H249" i="35"/>
  <c r="G159" i="32"/>
  <c r="H231" i="2"/>
  <c r="H239" i="2"/>
  <c r="H247" i="2"/>
  <c r="H235" i="36"/>
  <c r="K249" i="13"/>
  <c r="I247" i="34" s="1"/>
  <c r="H217" i="16"/>
  <c r="G160" i="32"/>
  <c r="D231" i="32" s="1"/>
  <c r="J350" i="3"/>
  <c r="AA302" i="31"/>
  <c r="G301" i="31"/>
  <c r="AC301" i="30"/>
  <c r="AF277" i="3"/>
  <c r="AA278" i="3"/>
  <c r="G278" i="3"/>
  <c r="G278" i="30"/>
  <c r="K241" i="13"/>
  <c r="I239" i="2" s="1"/>
  <c r="H247" i="34"/>
  <c r="G197" i="16"/>
  <c r="G201" i="16"/>
  <c r="G212" i="16"/>
  <c r="G216" i="16"/>
  <c r="G226" i="16"/>
  <c r="G228" i="16"/>
  <c r="F42" i="29"/>
  <c r="E53" i="10" s="1"/>
  <c r="T53" i="10" s="1"/>
  <c r="C254" i="34"/>
  <c r="M225" i="35"/>
  <c r="B215" i="37"/>
  <c r="C208" i="37"/>
  <c r="D17" i="38"/>
  <c r="G103" i="56" s="1"/>
  <c r="A83" i="56"/>
  <c r="S4" i="56"/>
  <c r="D15" i="38"/>
  <c r="E103" i="56" s="1"/>
  <c r="O4" i="56"/>
  <c r="A51" i="56"/>
  <c r="D13" i="38"/>
  <c r="C103" i="56" s="1"/>
  <c r="A19" i="56"/>
  <c r="K4" i="56"/>
  <c r="D16" i="38"/>
  <c r="F103" i="56" s="1"/>
  <c r="A67" i="56"/>
  <c r="Q4" i="56"/>
  <c r="D14" i="38"/>
  <c r="D103" i="56" s="1"/>
  <c r="A35" i="56"/>
  <c r="M4" i="56"/>
  <c r="H72" i="2"/>
  <c r="I92" i="2"/>
  <c r="E7" i="35"/>
  <c r="E7" i="37"/>
  <c r="E6" i="35"/>
  <c r="E6" i="37"/>
  <c r="E6" i="2"/>
  <c r="E7" i="36"/>
  <c r="E7" i="34"/>
  <c r="E6" i="36"/>
  <c r="E6" i="34"/>
  <c r="G72" i="2"/>
  <c r="H92" i="36"/>
  <c r="H92" i="34"/>
  <c r="H92" i="35"/>
  <c r="H92" i="37"/>
  <c r="H92" i="2"/>
  <c r="G7" i="13"/>
  <c r="B103" i="56"/>
  <c r="R203" i="2"/>
  <c r="AA203" i="2"/>
  <c r="Y203" i="2"/>
  <c r="W203" i="2"/>
  <c r="Q203" i="2"/>
  <c r="O203" i="2"/>
  <c r="O208" i="2"/>
  <c r="O199" i="2"/>
  <c r="M208" i="2"/>
  <c r="K208" i="2"/>
  <c r="I203" i="2"/>
  <c r="I208" i="2"/>
  <c r="E208" i="2"/>
  <c r="AA203" i="37"/>
  <c r="Y203" i="37"/>
  <c r="W203" i="37"/>
  <c r="Q203" i="37"/>
  <c r="O208" i="37"/>
  <c r="O199" i="37"/>
  <c r="O203" i="37"/>
  <c r="M208" i="37"/>
  <c r="K208" i="37"/>
  <c r="I208" i="37"/>
  <c r="E208" i="37"/>
  <c r="AA203" i="36"/>
  <c r="Y203" i="36"/>
  <c r="W203" i="36"/>
  <c r="Q203" i="36"/>
  <c r="O208" i="36"/>
  <c r="O203" i="36"/>
  <c r="O199" i="36"/>
  <c r="M208" i="36"/>
  <c r="K208" i="36"/>
  <c r="I208" i="36"/>
  <c r="I203" i="36"/>
  <c r="E208" i="36"/>
  <c r="AA203" i="35"/>
  <c r="Y203" i="35"/>
  <c r="W203" i="35"/>
  <c r="Q203" i="35"/>
  <c r="O208" i="35"/>
  <c r="O199" i="35"/>
  <c r="O203" i="35"/>
  <c r="M208" i="35"/>
  <c r="K208" i="35"/>
  <c r="I208" i="35"/>
  <c r="E208" i="35"/>
  <c r="AA203" i="34"/>
  <c r="Y203" i="34"/>
  <c r="W203" i="34"/>
  <c r="Q203" i="34"/>
  <c r="O203" i="34"/>
  <c r="O199" i="34"/>
  <c r="O208" i="34"/>
  <c r="M208" i="34"/>
  <c r="K208" i="34"/>
  <c r="I208" i="34"/>
  <c r="E208" i="34"/>
  <c r="D208" i="2"/>
  <c r="S203" i="2"/>
  <c r="D208" i="34"/>
  <c r="D208" i="37"/>
  <c r="D208" i="36"/>
  <c r="D203" i="36"/>
  <c r="AB203" i="2"/>
  <c r="Z203" i="2"/>
  <c r="X203" i="2"/>
  <c r="V203" i="2"/>
  <c r="T203" i="2"/>
  <c r="P203" i="2"/>
  <c r="N208" i="2"/>
  <c r="J208" i="2"/>
  <c r="H208" i="2"/>
  <c r="H203" i="2"/>
  <c r="F208" i="2"/>
  <c r="F199" i="2"/>
  <c r="F203" i="2"/>
  <c r="AB203" i="37"/>
  <c r="Z203" i="37"/>
  <c r="X203" i="37"/>
  <c r="V203" i="37"/>
  <c r="T203" i="37"/>
  <c r="P203" i="37"/>
  <c r="N208" i="37"/>
  <c r="J208" i="37"/>
  <c r="H208" i="37"/>
  <c r="F203" i="37"/>
  <c r="F208" i="37"/>
  <c r="F199" i="37"/>
  <c r="AB203" i="36"/>
  <c r="Z203" i="36"/>
  <c r="X203" i="36"/>
  <c r="V203" i="36"/>
  <c r="T203" i="36"/>
  <c r="P203" i="36"/>
  <c r="N208" i="36"/>
  <c r="J208" i="36"/>
  <c r="H208" i="36"/>
  <c r="F208" i="36"/>
  <c r="F203" i="36"/>
  <c r="F199" i="36"/>
  <c r="AB203" i="35"/>
  <c r="Z203" i="35"/>
  <c r="X203" i="35"/>
  <c r="V203" i="35"/>
  <c r="T203" i="35"/>
  <c r="P203" i="35"/>
  <c r="N208" i="35"/>
  <c r="J208" i="35"/>
  <c r="H208" i="35"/>
  <c r="F203" i="35"/>
  <c r="F208" i="35"/>
  <c r="F199" i="35"/>
  <c r="AB203" i="34"/>
  <c r="Z203" i="34"/>
  <c r="X203" i="34"/>
  <c r="V203" i="34"/>
  <c r="T203" i="34"/>
  <c r="P203" i="34"/>
  <c r="N208" i="34"/>
  <c r="J208" i="34"/>
  <c r="H208" i="34"/>
  <c r="F208" i="34"/>
  <c r="F203" i="34"/>
  <c r="F199" i="34"/>
  <c r="D208" i="35"/>
  <c r="D28" i="35"/>
  <c r="H24" i="10" s="1"/>
  <c r="I6" i="2"/>
  <c r="F215" i="2" s="1"/>
  <c r="D28" i="37"/>
  <c r="H238" i="36"/>
  <c r="I227" i="37"/>
  <c r="H232" i="37"/>
  <c r="H244" i="35"/>
  <c r="AB177" i="34"/>
  <c r="K236" i="13"/>
  <c r="I234" i="35" s="1"/>
  <c r="H242" i="34"/>
  <c r="H248" i="37"/>
  <c r="AB177" i="35"/>
  <c r="I250" i="35"/>
  <c r="H229" i="36"/>
  <c r="H234" i="34"/>
  <c r="H236" i="35"/>
  <c r="H240" i="37"/>
  <c r="K244" i="13"/>
  <c r="T177" i="37" s="1"/>
  <c r="H246" i="36"/>
  <c r="H250" i="34"/>
  <c r="E41" i="36"/>
  <c r="AD183" i="36" s="1"/>
  <c r="E203" i="36" s="1"/>
  <c r="AB177" i="36"/>
  <c r="AB177" i="37"/>
  <c r="I250" i="34"/>
  <c r="I250" i="36"/>
  <c r="AB177" i="2"/>
  <c r="E177" i="2"/>
  <c r="E210" i="2" s="1"/>
  <c r="H229" i="2"/>
  <c r="H232" i="2"/>
  <c r="H234" i="2"/>
  <c r="H236" i="2"/>
  <c r="H238" i="2"/>
  <c r="H240" i="2"/>
  <c r="H242" i="2"/>
  <c r="H244" i="2"/>
  <c r="H246" i="2"/>
  <c r="H248" i="2"/>
  <c r="H250" i="2"/>
  <c r="H229" i="34"/>
  <c r="K231" i="13"/>
  <c r="H232" i="35"/>
  <c r="H234" i="36"/>
  <c r="H236" i="37"/>
  <c r="H238" i="34"/>
  <c r="K240" i="13"/>
  <c r="H240" i="35"/>
  <c r="H242" i="36"/>
  <c r="H244" i="37"/>
  <c r="H246" i="34"/>
  <c r="K248" i="13"/>
  <c r="H248" i="35"/>
  <c r="H250" i="36"/>
  <c r="AC184" i="2"/>
  <c r="AC190" i="2"/>
  <c r="B105" i="13"/>
  <c r="C103" i="13"/>
  <c r="B86" i="13"/>
  <c r="I248" i="2"/>
  <c r="Z177" i="36"/>
  <c r="I248" i="37"/>
  <c r="I244" i="2"/>
  <c r="V177" i="2"/>
  <c r="V177" i="36"/>
  <c r="I244" i="34"/>
  <c r="I240" i="2"/>
  <c r="I240" i="35"/>
  <c r="R177" i="35"/>
  <c r="I236" i="2"/>
  <c r="I236" i="36"/>
  <c r="N177" i="37"/>
  <c r="N205" i="37" s="1"/>
  <c r="I232" i="2"/>
  <c r="I232" i="37"/>
  <c r="J177" i="36"/>
  <c r="J210" i="36" s="1"/>
  <c r="H229" i="37"/>
  <c r="H232" i="34"/>
  <c r="H232" i="36"/>
  <c r="H234" i="37"/>
  <c r="H236" i="34"/>
  <c r="H236" i="36"/>
  <c r="H238" i="37"/>
  <c r="H240" i="34"/>
  <c r="H240" i="36"/>
  <c r="H242" i="37"/>
  <c r="H244" i="34"/>
  <c r="H244" i="36"/>
  <c r="H246" i="37"/>
  <c r="H248" i="34"/>
  <c r="H248" i="36"/>
  <c r="H250" i="37"/>
  <c r="E43" i="35"/>
  <c r="AD185" i="35" s="1"/>
  <c r="H203" i="35" s="1"/>
  <c r="E43" i="37"/>
  <c r="D53" i="36"/>
  <c r="Z177" i="35"/>
  <c r="I248" i="35"/>
  <c r="V177" i="37"/>
  <c r="I244" i="36"/>
  <c r="R177" i="34"/>
  <c r="I240" i="37"/>
  <c r="N177" i="34"/>
  <c r="N205" i="34" s="1"/>
  <c r="I236" i="34"/>
  <c r="N177" i="2"/>
  <c r="N205" i="2" s="1"/>
  <c r="J177" i="35"/>
  <c r="J205" i="35" s="1"/>
  <c r="I232" i="35"/>
  <c r="E177" i="34"/>
  <c r="E210" i="34" s="1"/>
  <c r="H227" i="36"/>
  <c r="H231" i="37"/>
  <c r="H233" i="34"/>
  <c r="H235" i="34"/>
  <c r="K237" i="13"/>
  <c r="M177" i="35" s="1"/>
  <c r="H237" i="35"/>
  <c r="H239" i="36"/>
  <c r="H241" i="37"/>
  <c r="H243" i="34"/>
  <c r="K245" i="13"/>
  <c r="U177" i="35" s="1"/>
  <c r="H245" i="35"/>
  <c r="H247" i="36"/>
  <c r="H249" i="37"/>
  <c r="K251" i="13"/>
  <c r="AA177" i="35" s="1"/>
  <c r="H226" i="35"/>
  <c r="I226" i="35"/>
  <c r="I226" i="37"/>
  <c r="D177" i="35"/>
  <c r="D205" i="35" s="1"/>
  <c r="D177" i="36"/>
  <c r="D210" i="36" s="1"/>
  <c r="I226" i="2"/>
  <c r="D177" i="2"/>
  <c r="D210" i="2" s="1"/>
  <c r="I226" i="36"/>
  <c r="I226" i="34"/>
  <c r="D177" i="37"/>
  <c r="D210" i="37" s="1"/>
  <c r="D177" i="34"/>
  <c r="I245" i="2"/>
  <c r="W177" i="2"/>
  <c r="I245" i="36"/>
  <c r="I245" i="34"/>
  <c r="W177" i="34"/>
  <c r="W215" i="34" s="1"/>
  <c r="W177" i="37"/>
  <c r="I245" i="35"/>
  <c r="W177" i="36"/>
  <c r="I245" i="37"/>
  <c r="W177" i="35"/>
  <c r="I241" i="36"/>
  <c r="I237" i="2"/>
  <c r="O177" i="2"/>
  <c r="O210" i="2" s="1"/>
  <c r="I237" i="36"/>
  <c r="I237" i="34"/>
  <c r="O177" i="34"/>
  <c r="O210" i="34" s="1"/>
  <c r="O177" i="37"/>
  <c r="O210" i="37" s="1"/>
  <c r="I237" i="37"/>
  <c r="O177" i="35"/>
  <c r="O205" i="35" s="1"/>
  <c r="I237" i="35"/>
  <c r="O177" i="36"/>
  <c r="O210" i="36" s="1"/>
  <c r="I233" i="35"/>
  <c r="I233" i="37"/>
  <c r="K177" i="36"/>
  <c r="K205" i="36" s="1"/>
  <c r="K177" i="35"/>
  <c r="K177" i="2"/>
  <c r="K210" i="2" s="1"/>
  <c r="I233" i="34"/>
  <c r="K177" i="37"/>
  <c r="K205" i="37" s="1"/>
  <c r="I233" i="2"/>
  <c r="I233" i="36"/>
  <c r="K177" i="34"/>
  <c r="K210" i="34" s="1"/>
  <c r="I231" i="2"/>
  <c r="I177" i="2"/>
  <c r="I210" i="2" s="1"/>
  <c r="I231" i="36"/>
  <c r="I231" i="34"/>
  <c r="I177" i="34"/>
  <c r="I177" i="37"/>
  <c r="I210" i="37" s="1"/>
  <c r="I231" i="35"/>
  <c r="I177" i="36"/>
  <c r="I210" i="36" s="1"/>
  <c r="I231" i="37"/>
  <c r="I177" i="35"/>
  <c r="I205" i="35" s="1"/>
  <c r="D103" i="36"/>
  <c r="E40" i="37"/>
  <c r="AD182" i="37" s="1"/>
  <c r="E45" i="37"/>
  <c r="D59" i="37" s="1"/>
  <c r="E42" i="37"/>
  <c r="AD184" i="37" s="1"/>
  <c r="AA177" i="36"/>
  <c r="I249" i="35"/>
  <c r="Z177" i="34"/>
  <c r="Z177" i="37"/>
  <c r="I248" i="34"/>
  <c r="I248" i="36"/>
  <c r="Z177" i="2"/>
  <c r="V177" i="34"/>
  <c r="V215" i="34" s="1"/>
  <c r="V177" i="35"/>
  <c r="I244" i="37"/>
  <c r="I244" i="35"/>
  <c r="R177" i="36"/>
  <c r="R177" i="37"/>
  <c r="I240" i="34"/>
  <c r="I240" i="36"/>
  <c r="R177" i="2"/>
  <c r="R215" i="2" s="1"/>
  <c r="N177" i="36"/>
  <c r="N205" i="36" s="1"/>
  <c r="N177" i="35"/>
  <c r="N205" i="35" s="1"/>
  <c r="I236" i="37"/>
  <c r="I236" i="35"/>
  <c r="J177" i="34"/>
  <c r="J205" i="34" s="1"/>
  <c r="J177" i="37"/>
  <c r="I232" i="34"/>
  <c r="I232" i="36"/>
  <c r="J177" i="2"/>
  <c r="J210" i="2" s="1"/>
  <c r="Y177" i="37"/>
  <c r="U177" i="36"/>
  <c r="E177" i="36"/>
  <c r="E210" i="36" s="1"/>
  <c r="H227" i="37"/>
  <c r="H231" i="34"/>
  <c r="H231" i="36"/>
  <c r="H233" i="37"/>
  <c r="H233" i="35"/>
  <c r="H235" i="37"/>
  <c r="H237" i="34"/>
  <c r="H237" i="36"/>
  <c r="H239" i="37"/>
  <c r="H241" i="34"/>
  <c r="H241" i="36"/>
  <c r="H243" i="37"/>
  <c r="H245" i="34"/>
  <c r="H245" i="36"/>
  <c r="H247" i="37"/>
  <c r="H249" i="34"/>
  <c r="H226" i="34"/>
  <c r="H226" i="36"/>
  <c r="W179" i="34"/>
  <c r="H177" i="35"/>
  <c r="I230" i="2"/>
  <c r="I230" i="36"/>
  <c r="I230" i="34"/>
  <c r="H177" i="2"/>
  <c r="H210" i="2" s="1"/>
  <c r="H177" i="34"/>
  <c r="H210" i="34" s="1"/>
  <c r="I230" i="37"/>
  <c r="I230" i="35"/>
  <c r="H177" i="36"/>
  <c r="H210" i="36" s="1"/>
  <c r="H177" i="37"/>
  <c r="H230" i="35"/>
  <c r="H230" i="37"/>
  <c r="C25" i="13"/>
  <c r="E42" i="34"/>
  <c r="D56" i="34" s="1"/>
  <c r="E45" i="36"/>
  <c r="D59" i="36" s="1"/>
  <c r="G57" i="26"/>
  <c r="H57" i="26" s="1"/>
  <c r="G53" i="26"/>
  <c r="H53" i="26" s="1"/>
  <c r="U27" i="17"/>
  <c r="G167" i="30"/>
  <c r="E225" i="30" s="1"/>
  <c r="H154" i="33"/>
  <c r="I154" i="33" s="1"/>
  <c r="G215" i="16"/>
  <c r="G200" i="16"/>
  <c r="U52" i="17"/>
  <c r="U43" i="17"/>
  <c r="D277" i="31"/>
  <c r="H183" i="30"/>
  <c r="I183" i="30" s="1"/>
  <c r="H185" i="30"/>
  <c r="I185" i="30" s="1"/>
  <c r="U225" i="35"/>
  <c r="J225" i="35"/>
  <c r="C215" i="36"/>
  <c r="C257" i="37"/>
  <c r="C255" i="36"/>
  <c r="G109" i="34"/>
  <c r="C207" i="34"/>
  <c r="C212" i="35"/>
  <c r="B66" i="36"/>
  <c r="C258" i="35"/>
  <c r="M225" i="37"/>
  <c r="B157" i="37"/>
  <c r="F38" i="37"/>
  <c r="C157" i="2"/>
  <c r="C23" i="10" s="1"/>
  <c r="B127" i="34"/>
  <c r="D138" i="36"/>
  <c r="G109" i="36"/>
  <c r="D139" i="37"/>
  <c r="B27" i="37"/>
  <c r="B7" i="37"/>
  <c r="B127" i="36"/>
  <c r="I35" i="33"/>
  <c r="F35" i="3"/>
  <c r="D52" i="33"/>
  <c r="D35" i="3"/>
  <c r="B24" i="3"/>
  <c r="B289" i="32"/>
  <c r="B26" i="33"/>
  <c r="B68" i="33"/>
  <c r="B313" i="33"/>
  <c r="B337" i="32"/>
  <c r="B9" i="33"/>
  <c r="B289" i="33"/>
  <c r="C472" i="33"/>
  <c r="G7" i="33"/>
  <c r="G7" i="3"/>
  <c r="D152" i="32"/>
  <c r="D146" i="32"/>
  <c r="G140" i="32"/>
  <c r="C106" i="32"/>
  <c r="D84" i="32"/>
  <c r="H471" i="31"/>
  <c r="K396" i="32"/>
  <c r="J443" i="33"/>
  <c r="B219" i="32"/>
  <c r="D437" i="33"/>
  <c r="D435" i="32"/>
  <c r="D439" i="32"/>
  <c r="B397" i="32"/>
  <c r="D438" i="33"/>
  <c r="D442" i="33"/>
  <c r="D440" i="32"/>
  <c r="G102" i="33"/>
  <c r="H471" i="32"/>
  <c r="H443" i="32"/>
  <c r="B331" i="33"/>
  <c r="AJ265" i="32"/>
  <c r="AJ337" i="32"/>
  <c r="AJ337" i="33"/>
  <c r="AJ265" i="33"/>
  <c r="C304" i="33"/>
  <c r="C350" i="32"/>
  <c r="C326" i="32"/>
  <c r="C302" i="33"/>
  <c r="C264" i="32"/>
  <c r="C288" i="32"/>
  <c r="C264" i="33"/>
  <c r="C312" i="33"/>
  <c r="C286" i="32"/>
  <c r="A257" i="32"/>
  <c r="C460" i="33"/>
  <c r="C460" i="32"/>
  <c r="L333" i="32"/>
  <c r="B444" i="33"/>
  <c r="D461" i="33"/>
  <c r="D454" i="32"/>
  <c r="B444" i="32"/>
  <c r="D458" i="33"/>
  <c r="D453" i="32"/>
  <c r="E359" i="33"/>
  <c r="B189" i="32"/>
  <c r="H165" i="32"/>
  <c r="H152" i="33"/>
  <c r="D165" i="33"/>
  <c r="D152" i="33"/>
  <c r="H434" i="32"/>
  <c r="E443" i="33"/>
  <c r="H128" i="3"/>
  <c r="D140" i="33"/>
  <c r="D443" i="32"/>
  <c r="D68" i="33"/>
  <c r="G6" i="34"/>
  <c r="B27" i="34"/>
  <c r="D9" i="34"/>
  <c r="B7" i="34"/>
  <c r="F38" i="34"/>
  <c r="B38" i="34"/>
  <c r="A106" i="34"/>
  <c r="C92" i="34"/>
  <c r="G86" i="34"/>
  <c r="B52" i="34"/>
  <c r="B66" i="34"/>
  <c r="C160" i="34"/>
  <c r="D138" i="34"/>
  <c r="C203" i="34"/>
  <c r="B198" i="2"/>
  <c r="B198" i="34"/>
  <c r="C177" i="34"/>
  <c r="S225" i="34"/>
  <c r="P224" i="34"/>
  <c r="C258" i="34"/>
  <c r="C212" i="34"/>
  <c r="F38" i="35"/>
  <c r="C32" i="35"/>
  <c r="B10" i="35"/>
  <c r="D9" i="35"/>
  <c r="B7" i="35"/>
  <c r="G6" i="35"/>
  <c r="C72" i="35"/>
  <c r="C92" i="35"/>
  <c r="B127" i="35"/>
  <c r="B215" i="35"/>
  <c r="C208" i="35"/>
  <c r="C207" i="35"/>
  <c r="B181" i="35"/>
  <c r="B157" i="35"/>
  <c r="C199" i="35"/>
  <c r="G70" i="36"/>
  <c r="B52" i="36"/>
  <c r="B27" i="36"/>
  <c r="D9" i="36"/>
  <c r="B7" i="36"/>
  <c r="C254" i="35"/>
  <c r="AF173" i="34"/>
  <c r="F38" i="36"/>
  <c r="C27" i="36"/>
  <c r="F225" i="35"/>
  <c r="AC173" i="34"/>
  <c r="F225" i="36"/>
  <c r="AF173" i="37"/>
  <c r="B222" i="37"/>
  <c r="C160" i="37"/>
  <c r="B140" i="37"/>
  <c r="G109" i="37"/>
  <c r="C32" i="37"/>
  <c r="C157" i="36"/>
  <c r="P224" i="36"/>
  <c r="B215" i="36"/>
  <c r="C208" i="36"/>
  <c r="C177" i="36"/>
  <c r="C92" i="36"/>
  <c r="C207" i="37"/>
  <c r="B198" i="37"/>
  <c r="C157" i="37"/>
  <c r="C133" i="37"/>
  <c r="B110" i="37"/>
  <c r="A106" i="37"/>
  <c r="B38" i="37"/>
  <c r="B10" i="37"/>
  <c r="G7" i="37"/>
  <c r="C157" i="34"/>
  <c r="C133" i="36"/>
  <c r="AF173" i="36"/>
  <c r="C212" i="36"/>
  <c r="B198" i="36"/>
  <c r="C173" i="36"/>
  <c r="B110" i="36"/>
  <c r="Z9" i="26"/>
  <c r="V9" i="26"/>
  <c r="I50" i="26"/>
  <c r="M50" i="26"/>
  <c r="AC50" i="26"/>
  <c r="AC33" i="17"/>
  <c r="Y33" i="17"/>
  <c r="AF24" i="17"/>
  <c r="X24" i="17"/>
  <c r="N24" i="17"/>
  <c r="V50" i="26"/>
  <c r="Z50" i="26"/>
  <c r="AB33" i="17"/>
  <c r="R33" i="17"/>
  <c r="N33" i="17"/>
  <c r="C33" i="17"/>
  <c r="AG24" i="17"/>
  <c r="AC24" i="17"/>
  <c r="Y24" i="17"/>
  <c r="O24" i="17"/>
  <c r="I24" i="17"/>
  <c r="AJ24" i="17"/>
  <c r="C164" i="34"/>
  <c r="F138" i="34"/>
  <c r="C178" i="34"/>
  <c r="C255" i="34"/>
  <c r="T225" i="34"/>
  <c r="D92" i="35"/>
  <c r="B135" i="35"/>
  <c r="D109" i="35"/>
  <c r="B92" i="35"/>
  <c r="C213" i="35"/>
  <c r="C202" i="35"/>
  <c r="E68" i="36"/>
  <c r="I52" i="36"/>
  <c r="G69" i="36"/>
  <c r="C52" i="36"/>
  <c r="C38" i="36"/>
  <c r="C255" i="35"/>
  <c r="R225" i="35"/>
  <c r="G225" i="37"/>
  <c r="B203" i="37"/>
  <c r="C206" i="37"/>
  <c r="F138" i="37"/>
  <c r="C127" i="37"/>
  <c r="I92" i="37"/>
  <c r="J87" i="37"/>
  <c r="J70" i="37"/>
  <c r="B68" i="37"/>
  <c r="C52" i="37"/>
  <c r="C38" i="37"/>
  <c r="R225" i="36"/>
  <c r="I92" i="36"/>
  <c r="J87" i="36"/>
  <c r="H72" i="36"/>
  <c r="J70" i="36"/>
  <c r="T225" i="37"/>
  <c r="C211" i="37"/>
  <c r="C174" i="37"/>
  <c r="F109" i="37"/>
  <c r="F92" i="37"/>
  <c r="B92" i="37"/>
  <c r="E85" i="37"/>
  <c r="G10" i="37"/>
  <c r="B253" i="36"/>
  <c r="C127" i="36"/>
  <c r="B131" i="34"/>
  <c r="B163" i="36"/>
  <c r="G225" i="36"/>
  <c r="B203" i="36"/>
  <c r="C174" i="36"/>
  <c r="F109" i="36"/>
  <c r="D92" i="36"/>
  <c r="B89" i="36"/>
  <c r="E85" i="36"/>
  <c r="F9" i="26"/>
  <c r="F38" i="29"/>
  <c r="E46" i="10"/>
  <c r="T46" i="10" s="1"/>
  <c r="F14" i="29"/>
  <c r="E12" i="26" s="1"/>
  <c r="F22" i="29"/>
  <c r="C38" i="17" s="1"/>
  <c r="R38" i="17" s="1"/>
  <c r="F24" i="29"/>
  <c r="E20" i="26" s="1"/>
  <c r="F21" i="29"/>
  <c r="E23" i="26" s="1"/>
  <c r="F28" i="29"/>
  <c r="C47" i="17" s="1"/>
  <c r="R47" i="17" s="1"/>
  <c r="F32" i="29"/>
  <c r="E28" i="26" s="1"/>
  <c r="F40" i="29"/>
  <c r="E33" i="26" s="1"/>
  <c r="F36" i="29"/>
  <c r="F44" i="29"/>
  <c r="F50" i="29"/>
  <c r="E45" i="26" s="1"/>
  <c r="F52" i="29"/>
  <c r="E47" i="26" s="1"/>
  <c r="G180" i="30"/>
  <c r="F225" i="30" s="1"/>
  <c r="H180" i="30"/>
  <c r="I180" i="30" s="1"/>
  <c r="G171" i="30"/>
  <c r="E229" i="30" s="1"/>
  <c r="G155" i="30"/>
  <c r="D226" i="30" s="1"/>
  <c r="H157" i="30"/>
  <c r="I157" i="30" s="1"/>
  <c r="AC325" i="3"/>
  <c r="G325" i="31"/>
  <c r="G325" i="30"/>
  <c r="L301" i="3"/>
  <c r="E301" i="30"/>
  <c r="AD302" i="30"/>
  <c r="P301" i="30"/>
  <c r="Z278" i="33"/>
  <c r="AA277" i="33"/>
  <c r="AH277" i="31"/>
  <c r="AC278" i="31"/>
  <c r="AD277" i="31"/>
  <c r="AH278" i="30"/>
  <c r="AC278" i="30"/>
  <c r="H216" i="16"/>
  <c r="H212" i="16"/>
  <c r="H201" i="16"/>
  <c r="H197" i="16"/>
  <c r="U56" i="17"/>
  <c r="D278" i="33"/>
  <c r="D301" i="33"/>
  <c r="H182" i="31"/>
  <c r="I182" i="31" s="1"/>
  <c r="H184" i="30"/>
  <c r="I184" i="30" s="1"/>
  <c r="E30" i="31"/>
  <c r="D39" i="31" s="1"/>
  <c r="E28" i="3"/>
  <c r="D37" i="3" s="1"/>
  <c r="G277" i="31"/>
  <c r="G277" i="30"/>
  <c r="G170" i="30"/>
  <c r="E228" i="30" s="1"/>
  <c r="H170" i="30"/>
  <c r="I170" i="30" s="1"/>
  <c r="G172" i="30"/>
  <c r="E230" i="30" s="1"/>
  <c r="H172" i="30"/>
  <c r="I172" i="30" s="1"/>
  <c r="H159" i="31"/>
  <c r="I159" i="31" s="1"/>
  <c r="G159" i="31"/>
  <c r="H159" i="33"/>
  <c r="I159" i="33" s="1"/>
  <c r="G159" i="33"/>
  <c r="H167" i="3"/>
  <c r="I167" i="3" s="1"/>
  <c r="G167" i="3"/>
  <c r="E225" i="3" s="1"/>
  <c r="H154" i="31"/>
  <c r="I154" i="31" s="1"/>
  <c r="G154" i="31"/>
  <c r="D225" i="31" s="1"/>
  <c r="U34" i="17"/>
  <c r="U38" i="17"/>
  <c r="U58" i="17"/>
  <c r="G166" i="3"/>
  <c r="E224" i="3" s="1"/>
  <c r="H166" i="3"/>
  <c r="I166" i="3" s="1"/>
  <c r="G172" i="33"/>
  <c r="E230" i="33" s="1"/>
  <c r="H172" i="33"/>
  <c r="I172" i="33" s="1"/>
  <c r="G185" i="32"/>
  <c r="F230" i="32" s="1"/>
  <c r="H185" i="32"/>
  <c r="I185" i="32" s="1"/>
  <c r="H155" i="32"/>
  <c r="I155" i="32" s="1"/>
  <c r="G185" i="3"/>
  <c r="F230" i="3" s="1"/>
  <c r="H183" i="3"/>
  <c r="I183" i="3" s="1"/>
  <c r="H181" i="3"/>
  <c r="I181" i="3" s="1"/>
  <c r="G183" i="32"/>
  <c r="F228" i="32" s="1"/>
  <c r="I349" i="3"/>
  <c r="G350" i="3"/>
  <c r="AB350" i="32"/>
  <c r="H350" i="32"/>
  <c r="AB349" i="31"/>
  <c r="K349" i="30"/>
  <c r="G350" i="30"/>
  <c r="AB349" i="30"/>
  <c r="F349" i="30"/>
  <c r="E42" i="36"/>
  <c r="D56" i="36" s="1"/>
  <c r="E40" i="36"/>
  <c r="H196" i="16"/>
  <c r="G196" i="16"/>
  <c r="H198" i="16"/>
  <c r="G198" i="16"/>
  <c r="H211" i="16"/>
  <c r="G211" i="16"/>
  <c r="H213" i="16"/>
  <c r="G213" i="16"/>
  <c r="H153" i="33"/>
  <c r="I153" i="33" s="1"/>
  <c r="G153" i="33"/>
  <c r="D224" i="33" s="1"/>
  <c r="H154" i="30"/>
  <c r="I154" i="30" s="1"/>
  <c r="G154" i="30"/>
  <c r="D225" i="30" s="1"/>
  <c r="G168" i="32"/>
  <c r="E226" i="32" s="1"/>
  <c r="H168" i="32"/>
  <c r="I168" i="32" s="1"/>
  <c r="G170" i="31"/>
  <c r="E228" i="31" s="1"/>
  <c r="H170" i="31"/>
  <c r="I170" i="31" s="1"/>
  <c r="D278" i="32"/>
  <c r="D301" i="32"/>
  <c r="D302" i="31"/>
  <c r="D326" i="31"/>
  <c r="D349" i="3"/>
  <c r="H170" i="33"/>
  <c r="I170" i="33" s="1"/>
  <c r="G168" i="33"/>
  <c r="E226" i="33" s="1"/>
  <c r="G170" i="32"/>
  <c r="E228" i="32" s="1"/>
  <c r="H172" i="32"/>
  <c r="I172" i="32" s="1"/>
  <c r="G172" i="3"/>
  <c r="E230" i="3" s="1"/>
  <c r="H181" i="32"/>
  <c r="I181" i="32" s="1"/>
  <c r="H185" i="31"/>
  <c r="I185" i="31" s="1"/>
  <c r="G183" i="31"/>
  <c r="F228" i="31" s="1"/>
  <c r="G181" i="31"/>
  <c r="F226" i="31" s="1"/>
  <c r="G181" i="30"/>
  <c r="F226" i="30" s="1"/>
  <c r="U28" i="17"/>
  <c r="U35" i="17"/>
  <c r="G157" i="3"/>
  <c r="D228" i="3" s="1"/>
  <c r="H155" i="30"/>
  <c r="I155" i="30" s="1"/>
  <c r="H159" i="30"/>
  <c r="I159" i="30" s="1"/>
  <c r="H153" i="32"/>
  <c r="I153" i="32" s="1"/>
  <c r="E45" i="34"/>
  <c r="F45" i="34" s="1"/>
  <c r="E116" i="34" s="1"/>
  <c r="W179" i="35"/>
  <c r="AH277" i="30"/>
  <c r="K350" i="30"/>
  <c r="G277" i="3"/>
  <c r="G185" i="30"/>
  <c r="F230" i="30" s="1"/>
  <c r="H156" i="32"/>
  <c r="I156" i="32" s="1"/>
  <c r="H160" i="32"/>
  <c r="I160" i="32" s="1"/>
  <c r="H156" i="31"/>
  <c r="I156" i="31" s="1"/>
  <c r="H160" i="31"/>
  <c r="I160" i="31" s="1"/>
  <c r="G156" i="30"/>
  <c r="D227" i="30" s="1"/>
  <c r="H160" i="30"/>
  <c r="I160" i="30" s="1"/>
  <c r="H169" i="3"/>
  <c r="I169" i="3" s="1"/>
  <c r="G169" i="33"/>
  <c r="E227" i="33" s="1"/>
  <c r="H169" i="32"/>
  <c r="I169" i="32" s="1"/>
  <c r="G173" i="32"/>
  <c r="E231" i="32" s="1"/>
  <c r="G169" i="31"/>
  <c r="E227" i="31" s="1"/>
  <c r="H173" i="31"/>
  <c r="I173" i="31" s="1"/>
  <c r="G182" i="33"/>
  <c r="F227" i="33" s="1"/>
  <c r="H182" i="32"/>
  <c r="I182" i="32" s="1"/>
  <c r="G186" i="31"/>
  <c r="F231" i="31" s="1"/>
  <c r="H182" i="30"/>
  <c r="I182" i="30" s="1"/>
  <c r="H184" i="3"/>
  <c r="I184" i="3" s="1"/>
  <c r="G180" i="3"/>
  <c r="F225" i="3" s="1"/>
  <c r="H183" i="33"/>
  <c r="I183" i="33" s="1"/>
  <c r="G180" i="32"/>
  <c r="F225" i="32" s="1"/>
  <c r="E27" i="32"/>
  <c r="G27" i="32" s="1"/>
  <c r="U40" i="17"/>
  <c r="R302" i="32"/>
  <c r="J198" i="13"/>
  <c r="C199" i="36"/>
  <c r="F325" i="33"/>
  <c r="G325" i="32"/>
  <c r="P302" i="3"/>
  <c r="L302" i="3"/>
  <c r="P302" i="33"/>
  <c r="G301" i="33"/>
  <c r="P302" i="30"/>
  <c r="L302" i="30"/>
  <c r="AB350" i="3"/>
  <c r="H350" i="3"/>
  <c r="J350" i="33"/>
  <c r="F350" i="33"/>
  <c r="G349" i="33"/>
  <c r="AB350" i="33"/>
  <c r="H349" i="33"/>
  <c r="Z349" i="32"/>
  <c r="J350" i="32"/>
  <c r="F349" i="32"/>
  <c r="AB349" i="32"/>
  <c r="J349" i="31"/>
  <c r="AB350" i="31"/>
  <c r="H350" i="31"/>
  <c r="H352" i="31" s="1"/>
  <c r="E350" i="31"/>
  <c r="E352" i="31" s="1"/>
  <c r="E349" i="30"/>
  <c r="J350" i="30"/>
  <c r="R350" i="3"/>
  <c r="D350" i="3"/>
  <c r="D349" i="33"/>
  <c r="D349" i="32"/>
  <c r="D350" i="31"/>
  <c r="F326" i="3"/>
  <c r="K326" i="3"/>
  <c r="U326" i="33"/>
  <c r="AC326" i="33"/>
  <c r="I326" i="33"/>
  <c r="E325" i="33"/>
  <c r="G326" i="33"/>
  <c r="U325" i="32"/>
  <c r="I325" i="32"/>
  <c r="E325" i="32"/>
  <c r="K325" i="32"/>
  <c r="G326" i="32"/>
  <c r="U325" i="31"/>
  <c r="I325" i="31"/>
  <c r="E325" i="31"/>
  <c r="K325" i="31"/>
  <c r="G326" i="31"/>
  <c r="U326" i="30"/>
  <c r="I325" i="30"/>
  <c r="E325" i="30"/>
  <c r="K325" i="30"/>
  <c r="G326" i="30"/>
  <c r="D325" i="31"/>
  <c r="R326" i="30"/>
  <c r="R325" i="32"/>
  <c r="AC325" i="33"/>
  <c r="G325" i="33"/>
  <c r="D302" i="33"/>
  <c r="G301" i="3"/>
  <c r="AA302" i="33"/>
  <c r="F301" i="33"/>
  <c r="P301" i="33"/>
  <c r="L301" i="33"/>
  <c r="Z302" i="32"/>
  <c r="F302" i="32"/>
  <c r="G301" i="32"/>
  <c r="P302" i="32"/>
  <c r="P301" i="31"/>
  <c r="AG301" i="31"/>
  <c r="F301" i="31"/>
  <c r="E302" i="31"/>
  <c r="AA301" i="30"/>
  <c r="R301" i="30"/>
  <c r="R302" i="33"/>
  <c r="R301" i="32"/>
  <c r="R302" i="31"/>
  <c r="D302" i="32"/>
  <c r="L278" i="3"/>
  <c r="AG277" i="3"/>
  <c r="J277" i="3"/>
  <c r="F277" i="33"/>
  <c r="G278" i="33"/>
  <c r="AH278" i="33"/>
  <c r="AC277" i="33"/>
  <c r="AH278" i="32"/>
  <c r="G278" i="32"/>
  <c r="AF278" i="32"/>
  <c r="R278" i="30"/>
  <c r="D278" i="30"/>
  <c r="S278" i="32"/>
  <c r="E31" i="3"/>
  <c r="E40" i="34"/>
  <c r="AD182" i="34" s="1"/>
  <c r="G29" i="32"/>
  <c r="AB8" i="26"/>
  <c r="F12" i="16"/>
  <c r="D6" i="37"/>
  <c r="I13" i="16"/>
  <c r="F13" i="16"/>
  <c r="D6" i="36"/>
  <c r="AF23" i="17"/>
  <c r="F11" i="13"/>
  <c r="AF34" i="10"/>
  <c r="L17" i="17"/>
  <c r="G31" i="33"/>
  <c r="I6" i="32"/>
  <c r="E38" i="32" s="1"/>
  <c r="D71" i="32" s="1"/>
  <c r="F31" i="33"/>
  <c r="I6" i="33"/>
  <c r="E40" i="33" s="1"/>
  <c r="D73" i="33" s="1"/>
  <c r="F28" i="33"/>
  <c r="G135" i="33" s="1"/>
  <c r="I370" i="33" s="1"/>
  <c r="E61" i="10"/>
  <c r="T61" i="10" s="1"/>
  <c r="D163" i="13"/>
  <c r="F194" i="16"/>
  <c r="B152" i="16"/>
  <c r="F30" i="29"/>
  <c r="C39" i="17"/>
  <c r="R39" i="17" s="1"/>
  <c r="F15" i="29"/>
  <c r="E13" i="26" s="1"/>
  <c r="F19" i="29"/>
  <c r="E17" i="26" s="1"/>
  <c r="F25" i="29"/>
  <c r="E21" i="26" s="1"/>
  <c r="F27" i="29"/>
  <c r="F33" i="29"/>
  <c r="E30" i="26" s="1"/>
  <c r="F35" i="29"/>
  <c r="E35" i="26" s="1"/>
  <c r="F45" i="29"/>
  <c r="E40" i="26" s="1"/>
  <c r="F49" i="29"/>
  <c r="E44" i="26" s="1"/>
  <c r="F53" i="29"/>
  <c r="E48" i="26" s="1"/>
  <c r="X11" i="26"/>
  <c r="Y37" i="26"/>
  <c r="G172" i="31"/>
  <c r="E230" i="31" s="1"/>
  <c r="H172" i="31"/>
  <c r="I172" i="31" s="1"/>
  <c r="D349" i="30"/>
  <c r="D350" i="30"/>
  <c r="H186" i="33"/>
  <c r="I186" i="33" s="1"/>
  <c r="G186" i="33"/>
  <c r="F231" i="33" s="1"/>
  <c r="Z350" i="33"/>
  <c r="Z349" i="33"/>
  <c r="G349" i="32"/>
  <c r="G350" i="32"/>
  <c r="K350" i="31"/>
  <c r="K349" i="31"/>
  <c r="Z325" i="32"/>
  <c r="Z326" i="32"/>
  <c r="F326" i="32"/>
  <c r="F325" i="32"/>
  <c r="F325" i="30"/>
  <c r="F326" i="30"/>
  <c r="E302" i="33"/>
  <c r="E301" i="33"/>
  <c r="G302" i="30"/>
  <c r="G301" i="30"/>
  <c r="AG302" i="30"/>
  <c r="AG301" i="30"/>
  <c r="E278" i="3"/>
  <c r="E277" i="3"/>
  <c r="Z278" i="3"/>
  <c r="Z277" i="3"/>
  <c r="N277" i="3"/>
  <c r="N278" i="3"/>
  <c r="S278" i="33"/>
  <c r="S277" i="33"/>
  <c r="N277" i="33"/>
  <c r="N278" i="33"/>
  <c r="AF278" i="33"/>
  <c r="AF277" i="33"/>
  <c r="P278" i="33"/>
  <c r="P277" i="33"/>
  <c r="E278" i="33"/>
  <c r="E277" i="33"/>
  <c r="AC278" i="32"/>
  <c r="AC277" i="32"/>
  <c r="R301" i="3"/>
  <c r="R302" i="3"/>
  <c r="R325" i="3"/>
  <c r="R326" i="3"/>
  <c r="R349" i="33"/>
  <c r="R350" i="33"/>
  <c r="Q225" i="2"/>
  <c r="Q225" i="36"/>
  <c r="Q225" i="35"/>
  <c r="K225" i="34"/>
  <c r="Q225" i="37"/>
  <c r="C218" i="2"/>
  <c r="C218" i="34"/>
  <c r="C218" i="37"/>
  <c r="C218" i="36"/>
  <c r="C201" i="2"/>
  <c r="C201" i="37"/>
  <c r="C165" i="2"/>
  <c r="C165" i="37"/>
  <c r="C165" i="36"/>
  <c r="F52" i="37"/>
  <c r="F52" i="35"/>
  <c r="F52" i="34"/>
  <c r="F52" i="36"/>
  <c r="F52" i="2"/>
  <c r="D277" i="3"/>
  <c r="D278" i="3"/>
  <c r="D301" i="3"/>
  <c r="D302" i="3"/>
  <c r="D302" i="30"/>
  <c r="D301" i="30"/>
  <c r="D325" i="3"/>
  <c r="D326" i="3"/>
  <c r="D325" i="33"/>
  <c r="D326" i="33"/>
  <c r="D326" i="32"/>
  <c r="D325" i="32"/>
  <c r="D325" i="30"/>
  <c r="D326" i="30"/>
  <c r="G186" i="30"/>
  <c r="F231" i="30" s="1"/>
  <c r="H186" i="30"/>
  <c r="I186" i="30" s="1"/>
  <c r="AC9" i="26"/>
  <c r="Y50" i="26"/>
  <c r="U9" i="26"/>
  <c r="P9" i="26"/>
  <c r="U50" i="26"/>
  <c r="Y9" i="26"/>
  <c r="O9" i="26"/>
  <c r="AB50" i="26"/>
  <c r="T50" i="26"/>
  <c r="J50" i="26"/>
  <c r="O50" i="26"/>
  <c r="T9" i="26"/>
  <c r="AB9" i="26"/>
  <c r="J349" i="3"/>
  <c r="G349" i="3"/>
  <c r="E349" i="33"/>
  <c r="Z350" i="31"/>
  <c r="I350" i="31"/>
  <c r="F326" i="33"/>
  <c r="F326" i="31"/>
  <c r="Z301" i="3"/>
  <c r="AD302" i="33"/>
  <c r="L302" i="32"/>
  <c r="L302" i="31"/>
  <c r="Z301" i="31"/>
  <c r="Z277" i="33"/>
  <c r="AB349" i="33"/>
  <c r="U325" i="33"/>
  <c r="U326" i="32"/>
  <c r="I326" i="31"/>
  <c r="U325" i="30"/>
  <c r="I326" i="3"/>
  <c r="H180" i="3"/>
  <c r="I180" i="3" s="1"/>
  <c r="H168" i="3"/>
  <c r="I168" i="3" s="1"/>
  <c r="U25" i="17"/>
  <c r="G159" i="30"/>
  <c r="G166" i="31"/>
  <c r="E224" i="31" s="1"/>
  <c r="H158" i="32"/>
  <c r="I158" i="32" s="1"/>
  <c r="H156" i="33"/>
  <c r="I156" i="33" s="1"/>
  <c r="H167" i="32"/>
  <c r="I167" i="32" s="1"/>
  <c r="G171" i="32"/>
  <c r="E229" i="32" s="1"/>
  <c r="G153" i="30"/>
  <c r="D224" i="30" s="1"/>
  <c r="G30" i="33"/>
  <c r="G173" i="3"/>
  <c r="E231" i="3" s="1"/>
  <c r="E44" i="34"/>
  <c r="E41" i="34"/>
  <c r="G173" i="30"/>
  <c r="E231" i="30" s="1"/>
  <c r="H171" i="31"/>
  <c r="I171" i="31" s="1"/>
  <c r="H173" i="32"/>
  <c r="I173" i="32" s="1"/>
  <c r="G169" i="32"/>
  <c r="E227" i="32" s="1"/>
  <c r="F30" i="33"/>
  <c r="W179" i="37"/>
  <c r="F302" i="31"/>
  <c r="AH277" i="32"/>
  <c r="H349" i="30"/>
  <c r="H349" i="31"/>
  <c r="G302" i="3"/>
  <c r="G277" i="32"/>
  <c r="Z349" i="31"/>
  <c r="D278" i="31"/>
  <c r="D350" i="32"/>
  <c r="D301" i="31"/>
  <c r="H186" i="31"/>
  <c r="I186" i="31" s="1"/>
  <c r="R326" i="32"/>
  <c r="R349" i="3"/>
  <c r="K225" i="2"/>
  <c r="C165" i="35"/>
  <c r="G230" i="16"/>
  <c r="H230" i="16"/>
  <c r="Z349" i="3"/>
  <c r="Z350" i="3"/>
  <c r="K349" i="33"/>
  <c r="K350" i="33"/>
  <c r="K350" i="32"/>
  <c r="K349" i="32"/>
  <c r="E326" i="3"/>
  <c r="E325" i="3"/>
  <c r="Z325" i="3"/>
  <c r="Z326" i="3"/>
  <c r="G326" i="3"/>
  <c r="G325" i="3"/>
  <c r="Z326" i="33"/>
  <c r="Z325" i="33"/>
  <c r="AC325" i="32"/>
  <c r="AC326" i="32"/>
  <c r="AC325" i="30"/>
  <c r="AC326" i="30"/>
  <c r="Z325" i="30"/>
  <c r="Z326" i="30"/>
  <c r="E302" i="3"/>
  <c r="E301" i="3"/>
  <c r="AC302" i="33"/>
  <c r="AC301" i="33"/>
  <c r="AG302" i="32"/>
  <c r="AG301" i="32"/>
  <c r="AC302" i="31"/>
  <c r="AC301" i="31"/>
  <c r="P277" i="3"/>
  <c r="P278" i="3"/>
  <c r="AH277" i="3"/>
  <c r="AH278" i="3"/>
  <c r="AC278" i="3"/>
  <c r="AC277" i="3"/>
  <c r="AD278" i="3"/>
  <c r="AD277" i="3"/>
  <c r="S278" i="3"/>
  <c r="S277" i="3"/>
  <c r="F278" i="3"/>
  <c r="F277" i="3"/>
  <c r="J277" i="33"/>
  <c r="J278" i="33"/>
  <c r="E278" i="32"/>
  <c r="E277" i="32"/>
  <c r="R277" i="3"/>
  <c r="R278" i="3"/>
  <c r="R278" i="31"/>
  <c r="R277" i="31"/>
  <c r="R325" i="33"/>
  <c r="R326" i="33"/>
  <c r="R325" i="31"/>
  <c r="R326" i="31"/>
  <c r="R349" i="31"/>
  <c r="R350" i="31"/>
  <c r="V225" i="2"/>
  <c r="V225" i="37"/>
  <c r="V225" i="35"/>
  <c r="H225" i="2"/>
  <c r="H225" i="36"/>
  <c r="H139" i="2"/>
  <c r="F139" i="36"/>
  <c r="F139" i="2"/>
  <c r="E50" i="26"/>
  <c r="E9" i="26"/>
  <c r="D24" i="17"/>
  <c r="D33" i="17"/>
  <c r="F72" i="2"/>
  <c r="G92" i="35"/>
  <c r="G92" i="34"/>
  <c r="F72" i="34"/>
  <c r="F72" i="36"/>
  <c r="F72" i="37"/>
  <c r="U50" i="17"/>
  <c r="U44" i="17"/>
  <c r="Z278" i="32"/>
  <c r="Z277" i="32"/>
  <c r="N277" i="32"/>
  <c r="N278" i="32"/>
  <c r="F277" i="32"/>
  <c r="F278" i="32"/>
  <c r="D72" i="2"/>
  <c r="J87" i="2"/>
  <c r="E38" i="2"/>
  <c r="D52" i="2"/>
  <c r="B36" i="2"/>
  <c r="B36" i="36"/>
  <c r="B36" i="34"/>
  <c r="B20" i="2"/>
  <c r="B150" i="35"/>
  <c r="B191" i="35"/>
  <c r="B20" i="35"/>
  <c r="C9" i="2"/>
  <c r="C139" i="36"/>
  <c r="B6" i="2"/>
  <c r="B6" i="36"/>
  <c r="G54" i="29"/>
  <c r="G12" i="29"/>
  <c r="L89" i="5"/>
  <c r="L67" i="5"/>
  <c r="L25" i="5"/>
  <c r="E67" i="5"/>
  <c r="E26" i="5"/>
  <c r="E90" i="5"/>
  <c r="AI66" i="10"/>
  <c r="AI67" i="10"/>
  <c r="AG35" i="10"/>
  <c r="Y35" i="10"/>
  <c r="AF35" i="10"/>
  <c r="I35" i="10"/>
  <c r="X35" i="10"/>
  <c r="M35" i="10"/>
  <c r="AB35" i="10"/>
  <c r="T35" i="10"/>
  <c r="E35" i="10"/>
  <c r="B6" i="31"/>
  <c r="B6" i="30"/>
  <c r="B6" i="3"/>
  <c r="F26" i="3"/>
  <c r="F26" i="30"/>
  <c r="F26" i="33"/>
  <c r="H35" i="32"/>
  <c r="H35" i="31"/>
  <c r="H35" i="33"/>
  <c r="J52" i="31"/>
  <c r="J52" i="32"/>
  <c r="J52" i="30"/>
  <c r="J52" i="3"/>
  <c r="G48" i="32"/>
  <c r="G48" i="3"/>
  <c r="G48" i="30"/>
  <c r="G48" i="31"/>
  <c r="G48" i="33"/>
  <c r="J50" i="32"/>
  <c r="J50" i="33"/>
  <c r="J50" i="3"/>
  <c r="B63" i="3"/>
  <c r="B63" i="32"/>
  <c r="B63" i="30"/>
  <c r="B63" i="31"/>
  <c r="C84" i="33"/>
  <c r="C84" i="3"/>
  <c r="C84" i="31"/>
  <c r="C84" i="30"/>
  <c r="C68" i="30"/>
  <c r="C68" i="3"/>
  <c r="A97" i="32"/>
  <c r="A97" i="31"/>
  <c r="A97" i="3"/>
  <c r="D102" i="3"/>
  <c r="D102" i="31"/>
  <c r="D102" i="30"/>
  <c r="D102" i="33"/>
  <c r="G128" i="32"/>
  <c r="G128" i="3"/>
  <c r="G128" i="33"/>
  <c r="G128" i="31"/>
  <c r="G128" i="30"/>
  <c r="C140" i="32"/>
  <c r="C140" i="3"/>
  <c r="C443" i="33"/>
  <c r="C434" i="32"/>
  <c r="C140" i="31"/>
  <c r="C443" i="31"/>
  <c r="C434" i="30"/>
  <c r="C443" i="30"/>
  <c r="C434" i="33"/>
  <c r="C443" i="32"/>
  <c r="C140" i="30"/>
  <c r="C443" i="3"/>
  <c r="C434" i="3"/>
  <c r="H140" i="3"/>
  <c r="H140" i="31"/>
  <c r="I434" i="32"/>
  <c r="H140" i="30"/>
  <c r="I434" i="3"/>
  <c r="I434" i="33"/>
  <c r="I434" i="31"/>
  <c r="I434" i="30"/>
  <c r="E165" i="32"/>
  <c r="E178" i="33"/>
  <c r="E152" i="32"/>
  <c r="E178" i="30"/>
  <c r="E178" i="3"/>
  <c r="E165" i="33"/>
  <c r="E165" i="31"/>
  <c r="E152" i="33"/>
  <c r="E178" i="31"/>
  <c r="E165" i="30"/>
  <c r="E152" i="30"/>
  <c r="I165" i="3"/>
  <c r="I178" i="32"/>
  <c r="I152" i="31"/>
  <c r="I152" i="3"/>
  <c r="I152" i="33"/>
  <c r="I178" i="31"/>
  <c r="I165" i="30"/>
  <c r="I152" i="30"/>
  <c r="I165" i="33"/>
  <c r="I165" i="32"/>
  <c r="I165" i="31"/>
  <c r="I178" i="30"/>
  <c r="C222" i="32"/>
  <c r="C192" i="31"/>
  <c r="C222" i="30"/>
  <c r="C222" i="3"/>
  <c r="C222" i="33"/>
  <c r="C192" i="30"/>
  <c r="C192" i="3"/>
  <c r="C192" i="32"/>
  <c r="C222" i="31"/>
  <c r="B435" i="33"/>
  <c r="B224" i="33"/>
  <c r="B435" i="32"/>
  <c r="D285" i="31"/>
  <c r="B224" i="31"/>
  <c r="B435" i="30"/>
  <c r="D285" i="30"/>
  <c r="D261" i="30"/>
  <c r="B435" i="3"/>
  <c r="D285" i="3"/>
  <c r="D261" i="33"/>
  <c r="D285" i="33"/>
  <c r="B224" i="32"/>
  <c r="D261" i="31"/>
  <c r="B435" i="31"/>
  <c r="B397" i="30"/>
  <c r="D261" i="3"/>
  <c r="D309" i="33"/>
  <c r="D333" i="32"/>
  <c r="D285" i="32"/>
  <c r="D333" i="31"/>
  <c r="B224" i="30"/>
  <c r="B224" i="3"/>
  <c r="D309" i="3"/>
  <c r="D333" i="3"/>
  <c r="B259" i="32"/>
  <c r="B259" i="31"/>
  <c r="B259" i="33"/>
  <c r="C337" i="33"/>
  <c r="C313" i="32"/>
  <c r="C265" i="3"/>
  <c r="C313" i="3"/>
  <c r="C265" i="32"/>
  <c r="C265" i="33"/>
  <c r="C289" i="3"/>
  <c r="C337" i="3"/>
  <c r="C313" i="33"/>
  <c r="C289" i="32"/>
  <c r="C313" i="31"/>
  <c r="C289" i="30"/>
  <c r="C265" i="30"/>
  <c r="C313" i="30"/>
  <c r="C351" i="32"/>
  <c r="C303" i="33"/>
  <c r="C351" i="31"/>
  <c r="C351" i="30"/>
  <c r="C279" i="30"/>
  <c r="C327" i="30"/>
  <c r="C351" i="3"/>
  <c r="C327" i="33"/>
  <c r="C303" i="32"/>
  <c r="C279" i="31"/>
  <c r="C327" i="31"/>
  <c r="C279" i="3"/>
  <c r="C327" i="3"/>
  <c r="C279" i="32"/>
  <c r="C279" i="33"/>
  <c r="C303" i="31"/>
  <c r="B283" i="33"/>
  <c r="B283" i="3"/>
  <c r="B283" i="30"/>
  <c r="H472" i="31"/>
  <c r="D472" i="31"/>
  <c r="F472" i="32"/>
  <c r="D472" i="32"/>
  <c r="F472" i="33"/>
  <c r="H472" i="32"/>
  <c r="F472" i="31"/>
  <c r="H472" i="33"/>
  <c r="D103" i="32"/>
  <c r="D103" i="3"/>
  <c r="D103" i="30"/>
  <c r="D103" i="31"/>
  <c r="D103" i="33"/>
  <c r="F135" i="3"/>
  <c r="F135" i="31"/>
  <c r="F133" i="31"/>
  <c r="F136" i="3"/>
  <c r="F134" i="31"/>
  <c r="F133" i="3"/>
  <c r="K52" i="3"/>
  <c r="K52" i="31"/>
  <c r="K52" i="30"/>
  <c r="B99" i="31"/>
  <c r="B99" i="32"/>
  <c r="B99" i="33"/>
  <c r="W225" i="34"/>
  <c r="W225" i="36"/>
  <c r="W225" i="35"/>
  <c r="AB172" i="35"/>
  <c r="B250" i="2"/>
  <c r="B250" i="37"/>
  <c r="B250" i="35"/>
  <c r="B250" i="36"/>
  <c r="AB172" i="37"/>
  <c r="AC172" i="34"/>
  <c r="AC173" i="2"/>
  <c r="AC173" i="37"/>
  <c r="AC173" i="35"/>
  <c r="G186" i="32"/>
  <c r="F231" i="32" s="1"/>
  <c r="I350" i="3"/>
  <c r="I349" i="33"/>
  <c r="J349" i="32"/>
  <c r="I349" i="32"/>
  <c r="E349" i="31"/>
  <c r="I350" i="30"/>
  <c r="K326" i="33"/>
  <c r="AC326" i="31"/>
  <c r="P301" i="3"/>
  <c r="Z301" i="33"/>
  <c r="AG301" i="33"/>
  <c r="Z301" i="32"/>
  <c r="G302" i="32"/>
  <c r="AB349" i="3"/>
  <c r="D58" i="2"/>
  <c r="G182" i="31"/>
  <c r="F227" i="31" s="1"/>
  <c r="G182" i="30"/>
  <c r="F227" i="30" s="1"/>
  <c r="H172" i="3"/>
  <c r="I172" i="3" s="1"/>
  <c r="D56" i="37"/>
  <c r="G156" i="32"/>
  <c r="D227" i="32" s="1"/>
  <c r="G160" i="33"/>
  <c r="D231" i="33" s="1"/>
  <c r="H158" i="3"/>
  <c r="I158" i="3" s="1"/>
  <c r="G172" i="32"/>
  <c r="E230" i="32" s="1"/>
  <c r="D37" i="33"/>
  <c r="H37" i="33" s="1"/>
  <c r="D86" i="33" s="1"/>
  <c r="I9" i="16"/>
  <c r="I8" i="13"/>
  <c r="P302" i="31"/>
  <c r="AH277" i="33"/>
  <c r="D349" i="31"/>
  <c r="F350" i="32"/>
  <c r="D350" i="33"/>
  <c r="H350" i="33"/>
  <c r="E326" i="30"/>
  <c r="K326" i="30"/>
  <c r="E326" i="31"/>
  <c r="K326" i="31"/>
  <c r="E326" i="32"/>
  <c r="K326" i="32"/>
  <c r="E326" i="33"/>
  <c r="H226" i="16"/>
  <c r="AC325" i="31"/>
  <c r="E350" i="30"/>
  <c r="I349" i="31"/>
  <c r="AC278" i="33"/>
  <c r="Z302" i="30"/>
  <c r="Z302" i="3"/>
  <c r="AA301" i="33"/>
  <c r="E350" i="33"/>
  <c r="F325" i="31"/>
  <c r="I350" i="33"/>
  <c r="J278" i="3"/>
  <c r="AD277" i="32"/>
  <c r="S277" i="32"/>
  <c r="J278" i="32"/>
  <c r="R301" i="31"/>
  <c r="H225" i="34"/>
  <c r="C218" i="35"/>
  <c r="B432" i="30"/>
  <c r="H224" i="16"/>
  <c r="G224" i="16"/>
  <c r="K350" i="3"/>
  <c r="K349" i="3"/>
  <c r="E350" i="3"/>
  <c r="E349" i="3"/>
  <c r="E350" i="32"/>
  <c r="E349" i="32"/>
  <c r="G349" i="31"/>
  <c r="G350" i="31"/>
  <c r="Z350" i="30"/>
  <c r="Z349" i="30"/>
  <c r="Z326" i="31"/>
  <c r="Z325" i="31"/>
  <c r="AG302" i="3"/>
  <c r="AG301" i="3"/>
  <c r="AC302" i="3"/>
  <c r="AC301" i="3"/>
  <c r="AD302" i="3"/>
  <c r="AD301" i="3"/>
  <c r="AA301" i="3"/>
  <c r="AA302" i="3"/>
  <c r="AD301" i="32"/>
  <c r="AD302" i="32"/>
  <c r="AA302" i="32"/>
  <c r="AA301" i="32"/>
  <c r="AC302" i="32"/>
  <c r="AC301" i="32"/>
  <c r="E302" i="32"/>
  <c r="E301" i="32"/>
  <c r="L277" i="33"/>
  <c r="L278" i="33"/>
  <c r="R278" i="33"/>
  <c r="R277" i="33"/>
  <c r="R277" i="32"/>
  <c r="R278" i="32"/>
  <c r="R349" i="30"/>
  <c r="R350" i="30"/>
  <c r="R349" i="32"/>
  <c r="R350" i="32"/>
  <c r="Z31" i="26"/>
  <c r="O225" i="2"/>
  <c r="O225" i="34"/>
  <c r="D225" i="2"/>
  <c r="C174" i="35"/>
  <c r="D225" i="34"/>
  <c r="C214" i="2"/>
  <c r="C214" i="36"/>
  <c r="C214" i="37"/>
  <c r="C205" i="2"/>
  <c r="C205" i="36"/>
  <c r="C210" i="37"/>
  <c r="C210" i="2"/>
  <c r="C175" i="2"/>
  <c r="C175" i="34"/>
  <c r="H138" i="2"/>
  <c r="H138" i="34"/>
  <c r="C132" i="2"/>
  <c r="C132" i="34"/>
  <c r="H195" i="16"/>
  <c r="G195" i="16"/>
  <c r="H199" i="16"/>
  <c r="G199" i="16"/>
  <c r="H210" i="16"/>
  <c r="G210" i="16"/>
  <c r="H214" i="16"/>
  <c r="G214" i="16"/>
  <c r="AA278" i="32"/>
  <c r="AA277" i="32"/>
  <c r="AG278" i="32"/>
  <c r="AG277" i="32"/>
  <c r="P277" i="32"/>
  <c r="P278" i="32"/>
  <c r="L278" i="32"/>
  <c r="L277" i="32"/>
  <c r="E278" i="31"/>
  <c r="E277" i="31"/>
  <c r="S277" i="31"/>
  <c r="S278" i="31"/>
  <c r="N277" i="31"/>
  <c r="N278" i="31"/>
  <c r="J278" i="31"/>
  <c r="J277" i="31"/>
  <c r="F278" i="31"/>
  <c r="F277" i="31"/>
  <c r="AF278" i="31"/>
  <c r="AF277" i="31"/>
  <c r="AA278" i="31"/>
  <c r="AA277" i="31"/>
  <c r="AG277" i="31"/>
  <c r="AG278" i="31"/>
  <c r="P278" i="31"/>
  <c r="P277" i="31"/>
  <c r="AF278" i="30"/>
  <c r="AF277" i="30"/>
  <c r="P277" i="30"/>
  <c r="P278" i="30"/>
  <c r="E278" i="30"/>
  <c r="E277" i="30"/>
  <c r="Z278" i="30"/>
  <c r="Z277" i="30"/>
  <c r="S277" i="30"/>
  <c r="S278" i="30"/>
  <c r="F278" i="30"/>
  <c r="F277" i="30"/>
  <c r="U33" i="17"/>
  <c r="F33" i="17"/>
  <c r="F24" i="17"/>
  <c r="U24" i="17"/>
  <c r="N6" i="17"/>
  <c r="D6" i="17"/>
  <c r="L6" i="17"/>
  <c r="F6" i="17"/>
  <c r="F349" i="3"/>
  <c r="H349" i="3"/>
  <c r="G350" i="33"/>
  <c r="Z350" i="32"/>
  <c r="H349" i="32"/>
  <c r="F350" i="31"/>
  <c r="F325" i="3"/>
  <c r="F301" i="3"/>
  <c r="F301" i="32"/>
  <c r="P301" i="32"/>
  <c r="AD302" i="31"/>
  <c r="L277" i="3"/>
  <c r="F278" i="33"/>
  <c r="Z22" i="26"/>
  <c r="H156" i="3"/>
  <c r="I156" i="3" s="1"/>
  <c r="G157" i="31"/>
  <c r="D228" i="31" s="1"/>
  <c r="G154" i="32"/>
  <c r="D225" i="32" s="1"/>
  <c r="E45" i="35"/>
  <c r="AD187" i="35" s="1"/>
  <c r="J203" i="35" s="1"/>
  <c r="E44" i="35"/>
  <c r="AD186" i="35" s="1"/>
  <c r="I203" i="35" s="1"/>
  <c r="H169" i="31"/>
  <c r="I169" i="31" s="1"/>
  <c r="G173" i="31"/>
  <c r="E231" i="31" s="1"/>
  <c r="U51" i="17"/>
  <c r="D205" i="36"/>
  <c r="L301" i="31"/>
  <c r="L301" i="30"/>
  <c r="F302" i="33"/>
  <c r="F302" i="3"/>
  <c r="J349" i="30"/>
  <c r="F350" i="3"/>
  <c r="K325" i="33"/>
  <c r="G302" i="33"/>
  <c r="G186" i="3"/>
  <c r="F231" i="3" s="1"/>
  <c r="H228" i="16"/>
  <c r="G277" i="33"/>
  <c r="Z302" i="33"/>
  <c r="I350" i="32"/>
  <c r="AG277" i="33"/>
  <c r="J277" i="32"/>
  <c r="I349" i="30"/>
  <c r="E32" i="32"/>
  <c r="F32" i="32" s="1"/>
  <c r="E28" i="32"/>
  <c r="F28" i="32" s="1"/>
  <c r="AF277" i="32"/>
  <c r="AC277" i="31"/>
  <c r="AD278" i="31"/>
  <c r="Z277" i="31"/>
  <c r="G278" i="31"/>
  <c r="L278" i="31"/>
  <c r="AG277" i="30"/>
  <c r="AC277" i="30"/>
  <c r="AD278" i="30"/>
  <c r="N277" i="30"/>
  <c r="J278" i="30"/>
  <c r="R302" i="30"/>
  <c r="R301" i="33"/>
  <c r="D8" i="29"/>
  <c r="B283" i="32"/>
  <c r="E165" i="3"/>
  <c r="A97" i="33"/>
  <c r="B6" i="33"/>
  <c r="S24" i="17"/>
  <c r="AA302" i="30"/>
  <c r="E32" i="31"/>
  <c r="D41" i="31" s="1"/>
  <c r="E29" i="31"/>
  <c r="D38" i="31" s="1"/>
  <c r="E31" i="32"/>
  <c r="G31" i="32" s="1"/>
  <c r="AD277" i="30"/>
  <c r="AG278" i="30"/>
  <c r="E31" i="31"/>
  <c r="D40" i="31" s="1"/>
  <c r="E28" i="31"/>
  <c r="D37" i="31" s="1"/>
  <c r="E27" i="3"/>
  <c r="D36" i="3" s="1"/>
  <c r="G179" i="33"/>
  <c r="F224" i="33" s="1"/>
  <c r="H179" i="33"/>
  <c r="I179" i="33" s="1"/>
  <c r="G179" i="3"/>
  <c r="F224" i="3" s="1"/>
  <c r="H179" i="3"/>
  <c r="I179" i="3" s="1"/>
  <c r="G179" i="32"/>
  <c r="F224" i="32" s="1"/>
  <c r="H179" i="32"/>
  <c r="I179" i="32" s="1"/>
  <c r="G179" i="31"/>
  <c r="F224" i="31" s="1"/>
  <c r="H179" i="31"/>
  <c r="I179" i="31" s="1"/>
  <c r="D20" i="3"/>
  <c r="O205" i="37"/>
  <c r="R277" i="30"/>
  <c r="F57" i="29"/>
  <c r="E53" i="26" s="1"/>
  <c r="G160" i="3"/>
  <c r="D231" i="3" s="1"/>
  <c r="G56" i="26"/>
  <c r="H56" i="26" s="1"/>
  <c r="G55" i="26"/>
  <c r="H55" i="26" s="1"/>
  <c r="U30" i="17"/>
  <c r="U37" i="17"/>
  <c r="AG302" i="31"/>
  <c r="AG278" i="3"/>
  <c r="AA278" i="33"/>
  <c r="E55" i="10"/>
  <c r="T55" i="10" s="1"/>
  <c r="H40" i="33"/>
  <c r="D103" i="37"/>
  <c r="Z204" i="37"/>
  <c r="E301" i="31"/>
  <c r="D103" i="34"/>
  <c r="W179" i="36"/>
  <c r="AG302" i="33"/>
  <c r="AD301" i="31"/>
  <c r="E27" i="31"/>
  <c r="D36" i="31" s="1"/>
  <c r="E27" i="30"/>
  <c r="D36" i="30" s="1"/>
  <c r="E10" i="17"/>
  <c r="E36" i="16"/>
  <c r="E32" i="30"/>
  <c r="D41" i="30" s="1"/>
  <c r="E28" i="30"/>
  <c r="D37" i="30" s="1"/>
  <c r="E29" i="30"/>
  <c r="F29" i="30" s="1"/>
  <c r="E30" i="30"/>
  <c r="D39" i="30" s="1"/>
  <c r="E30" i="3"/>
  <c r="D39" i="3" s="1"/>
  <c r="E29" i="3"/>
  <c r="D38" i="3" s="1"/>
  <c r="E32" i="3"/>
  <c r="D41" i="3" s="1"/>
  <c r="D8" i="17"/>
  <c r="D13" i="17"/>
  <c r="H12" i="3"/>
  <c r="G10" i="16"/>
  <c r="G11" i="16" s="1"/>
  <c r="X35" i="26"/>
  <c r="Y11" i="26"/>
  <c r="AC22" i="26"/>
  <c r="Y35" i="26"/>
  <c r="AC16" i="26"/>
  <c r="Z16" i="26"/>
  <c r="Y18" i="26"/>
  <c r="X18" i="26"/>
  <c r="X40" i="26"/>
  <c r="X37" i="26"/>
  <c r="AD16" i="26"/>
  <c r="D57" i="2"/>
  <c r="AC186" i="2"/>
  <c r="D11" i="10"/>
  <c r="AB35" i="26"/>
  <c r="E29" i="2"/>
  <c r="AB11" i="26"/>
  <c r="AC188" i="2"/>
  <c r="D13" i="10"/>
  <c r="AC189" i="2"/>
  <c r="D14" i="10"/>
  <c r="D123" i="2"/>
  <c r="D115" i="2"/>
  <c r="D8" i="10"/>
  <c r="AC183" i="2"/>
  <c r="AC35" i="26"/>
  <c r="AB13" i="26"/>
  <c r="AB30" i="26"/>
  <c r="AC191" i="2"/>
  <c r="D19" i="10"/>
  <c r="D118" i="2"/>
  <c r="AD22" i="26"/>
  <c r="AC13" i="26"/>
  <c r="AD181" i="34"/>
  <c r="D203" i="34" s="1"/>
  <c r="AC187" i="2"/>
  <c r="J199" i="2" s="1"/>
  <c r="D12" i="10"/>
  <c r="D116" i="2"/>
  <c r="AC181" i="2"/>
  <c r="D110" i="2"/>
  <c r="D6" i="10"/>
  <c r="AC198" i="2"/>
  <c r="R199" i="2" s="1"/>
  <c r="H86" i="2"/>
  <c r="D23" i="10"/>
  <c r="D127" i="2"/>
  <c r="AC182" i="2"/>
  <c r="D7" i="10"/>
  <c r="D111" i="2"/>
  <c r="D121" i="2"/>
  <c r="D17" i="10"/>
  <c r="AC192" i="2"/>
  <c r="D10" i="10"/>
  <c r="AC185" i="2"/>
  <c r="D114" i="2"/>
  <c r="E45" i="13"/>
  <c r="D29" i="2" s="1"/>
  <c r="D25" i="10" s="1"/>
  <c r="D120" i="2"/>
  <c r="AC40" i="26"/>
  <c r="D117" i="2"/>
  <c r="D9" i="10"/>
  <c r="D112" i="2"/>
  <c r="AC37" i="26"/>
  <c r="AC11" i="26"/>
  <c r="AB33" i="26"/>
  <c r="AB40" i="26"/>
  <c r="Y40" i="26"/>
  <c r="D113" i="2"/>
  <c r="H39" i="33"/>
  <c r="D88" i="33" s="1"/>
  <c r="AC18" i="26"/>
  <c r="Y13" i="26"/>
  <c r="AD15" i="26"/>
  <c r="AD35" i="26"/>
  <c r="Z13" i="26"/>
  <c r="G9" i="13"/>
  <c r="G10" i="13" s="1"/>
  <c r="AD47" i="26"/>
  <c r="D7" i="30"/>
  <c r="I7" i="30" s="1"/>
  <c r="AD18" i="26"/>
  <c r="AD33" i="26"/>
  <c r="Z34" i="26"/>
  <c r="AA34" i="26" s="1"/>
  <c r="Z42" i="26"/>
  <c r="AD34" i="26"/>
  <c r="AE34" i="26" s="1"/>
  <c r="Z30" i="26"/>
  <c r="F29" i="32"/>
  <c r="AD43" i="26"/>
  <c r="Z47" i="26"/>
  <c r="Q34" i="26"/>
  <c r="Z33" i="26"/>
  <c r="Z18" i="26"/>
  <c r="Z40" i="26"/>
  <c r="Z37" i="26"/>
  <c r="H26" i="38"/>
  <c r="X8" i="26" s="1"/>
  <c r="C201" i="34"/>
  <c r="C179" i="34"/>
  <c r="C173" i="34"/>
  <c r="Q225" i="34"/>
  <c r="M225" i="34"/>
  <c r="B222" i="34"/>
  <c r="C214" i="34"/>
  <c r="C208" i="34"/>
  <c r="C256" i="34"/>
  <c r="V225" i="34"/>
  <c r="F225" i="34"/>
  <c r="J224" i="34"/>
  <c r="C210" i="34"/>
  <c r="C205" i="34"/>
  <c r="C208" i="2"/>
  <c r="G109" i="35"/>
  <c r="B208" i="35"/>
  <c r="C216" i="35"/>
  <c r="C214" i="35"/>
  <c r="C201" i="35"/>
  <c r="C205" i="35"/>
  <c r="C179" i="35"/>
  <c r="C210" i="35"/>
  <c r="C176" i="35"/>
  <c r="D138" i="35"/>
  <c r="C256" i="35"/>
  <c r="S225" i="35"/>
  <c r="O225" i="35"/>
  <c r="K225" i="35"/>
  <c r="J224" i="35"/>
  <c r="H225" i="35"/>
  <c r="D225" i="35"/>
  <c r="F225" i="37"/>
  <c r="C256" i="37"/>
  <c r="C254" i="37"/>
  <c r="P224" i="37"/>
  <c r="S225" i="37"/>
  <c r="O225" i="37"/>
  <c r="K225" i="37"/>
  <c r="D225" i="37"/>
  <c r="C216" i="37"/>
  <c r="C212" i="37"/>
  <c r="C203" i="37"/>
  <c r="C199" i="37"/>
  <c r="C175" i="37"/>
  <c r="C179" i="37"/>
  <c r="C92" i="37"/>
  <c r="G86" i="37"/>
  <c r="B222" i="36"/>
  <c r="C160" i="36"/>
  <c r="D139" i="2"/>
  <c r="C132" i="36"/>
  <c r="V225" i="36"/>
  <c r="C256" i="36"/>
  <c r="C254" i="36"/>
  <c r="C203" i="36"/>
  <c r="C175" i="36"/>
  <c r="C179" i="36"/>
  <c r="B131" i="36"/>
  <c r="E109" i="36"/>
  <c r="J70" i="2"/>
  <c r="B253" i="37"/>
  <c r="J224" i="37"/>
  <c r="H225" i="37"/>
  <c r="B199" i="37"/>
  <c r="C205" i="37"/>
  <c r="C173" i="37"/>
  <c r="B163" i="37"/>
  <c r="H139" i="37"/>
  <c r="D138" i="37"/>
  <c r="B131" i="37"/>
  <c r="B89" i="37"/>
  <c r="G70" i="37"/>
  <c r="B31" i="37"/>
  <c r="J224" i="36"/>
  <c r="S225" i="36"/>
  <c r="M225" i="36"/>
  <c r="D225" i="36"/>
  <c r="C216" i="36"/>
  <c r="C210" i="36"/>
  <c r="C207" i="36"/>
  <c r="C201" i="36"/>
  <c r="A106" i="36"/>
  <c r="F25" i="38"/>
  <c r="C177" i="13"/>
  <c r="C42" i="17"/>
  <c r="R42" i="17" s="1"/>
  <c r="F55" i="29"/>
  <c r="E51" i="26" s="1"/>
  <c r="D194" i="16"/>
  <c r="H222" i="16"/>
  <c r="D222" i="16"/>
  <c r="E49" i="10"/>
  <c r="T49" i="10" s="1"/>
  <c r="C44" i="17"/>
  <c r="R44" i="17" s="1"/>
  <c r="D9" i="26"/>
  <c r="B156" i="13"/>
  <c r="B36" i="13"/>
  <c r="C255" i="37"/>
  <c r="C225" i="37"/>
  <c r="O225" i="36"/>
  <c r="K225" i="36"/>
  <c r="C164" i="36"/>
  <c r="H194" i="16"/>
  <c r="G209" i="16"/>
  <c r="G194" i="16"/>
  <c r="B117" i="16"/>
  <c r="E39" i="10"/>
  <c r="T39" i="10" s="1"/>
  <c r="B49" i="10"/>
  <c r="D227" i="13"/>
  <c r="E68" i="33"/>
  <c r="G50" i="3"/>
  <c r="B163" i="32"/>
  <c r="I140" i="32"/>
  <c r="E35" i="32"/>
  <c r="F12" i="32"/>
  <c r="B485" i="32"/>
  <c r="D471" i="3"/>
  <c r="B307" i="3"/>
  <c r="C304" i="32"/>
  <c r="C328" i="33"/>
  <c r="C360" i="32"/>
  <c r="C310" i="32"/>
  <c r="C334" i="33"/>
  <c r="B369" i="32"/>
  <c r="L333" i="33"/>
  <c r="D444" i="33"/>
  <c r="D452" i="33"/>
  <c r="D463" i="33"/>
  <c r="D448" i="32"/>
  <c r="D459" i="32"/>
  <c r="B232" i="32"/>
  <c r="L285" i="33"/>
  <c r="D449" i="33"/>
  <c r="D460" i="33"/>
  <c r="D447" i="32"/>
  <c r="D458" i="32"/>
  <c r="L333" i="3"/>
  <c r="D191" i="32"/>
  <c r="E395" i="33"/>
  <c r="F178" i="33"/>
  <c r="E434" i="32"/>
  <c r="C9" i="34"/>
  <c r="E38" i="34"/>
  <c r="D72" i="34"/>
  <c r="D52" i="34"/>
  <c r="C176" i="34"/>
  <c r="B208" i="34"/>
  <c r="C215" i="34"/>
  <c r="C204" i="34"/>
  <c r="R225" i="34"/>
  <c r="J225" i="34"/>
  <c r="V224" i="34"/>
  <c r="C219" i="34"/>
  <c r="D52" i="35"/>
  <c r="B36" i="35"/>
  <c r="E38" i="35"/>
  <c r="G12" i="35"/>
  <c r="B6" i="35"/>
  <c r="D72" i="35"/>
  <c r="B120" i="35"/>
  <c r="C209" i="35"/>
  <c r="C173" i="35"/>
  <c r="AD173" i="2"/>
  <c r="C215" i="35"/>
  <c r="C204" i="35"/>
  <c r="C178" i="35"/>
  <c r="B169" i="35"/>
  <c r="H139" i="35"/>
  <c r="B72" i="36"/>
  <c r="E38" i="36"/>
  <c r="C225" i="35"/>
  <c r="AD173" i="34"/>
  <c r="C257" i="35"/>
  <c r="V224" i="35"/>
  <c r="P225" i="35"/>
  <c r="AE173" i="35"/>
  <c r="U225" i="37"/>
  <c r="C180" i="37"/>
  <c r="C164" i="37"/>
  <c r="F139" i="37"/>
  <c r="C132" i="37"/>
  <c r="E109" i="37"/>
  <c r="D72" i="37"/>
  <c r="G12" i="37"/>
  <c r="C9" i="37"/>
  <c r="P225" i="36"/>
  <c r="N225" i="36"/>
  <c r="E225" i="36"/>
  <c r="C213" i="36"/>
  <c r="C204" i="36"/>
  <c r="C202" i="36"/>
  <c r="C109" i="36"/>
  <c r="B85" i="36"/>
  <c r="R225" i="37"/>
  <c r="J225" i="37"/>
  <c r="C217" i="37"/>
  <c r="C202" i="37"/>
  <c r="C176" i="37"/>
  <c r="B72" i="37"/>
  <c r="E38" i="37"/>
  <c r="C139" i="2"/>
  <c r="C6" i="17" s="1"/>
  <c r="B213" i="36"/>
  <c r="B208" i="36"/>
  <c r="C176" i="36"/>
  <c r="D72" i="36"/>
  <c r="C76" i="16"/>
  <c r="AA9" i="26"/>
  <c r="S9" i="26"/>
  <c r="AD24" i="17"/>
  <c r="V24" i="17"/>
  <c r="N50" i="26"/>
  <c r="AD33" i="17"/>
  <c r="V33" i="17"/>
  <c r="B24" i="17"/>
  <c r="E209" i="16"/>
  <c r="E43" i="10"/>
  <c r="T43" i="10" s="1"/>
  <c r="E51" i="10"/>
  <c r="T51" i="10" s="1"/>
  <c r="B47" i="10"/>
  <c r="D7" i="13"/>
  <c r="R198" i="13"/>
  <c r="I198" i="13"/>
  <c r="B126" i="3"/>
  <c r="F152" i="32"/>
  <c r="D144" i="32"/>
  <c r="E140" i="32"/>
  <c r="B361" i="33"/>
  <c r="D441" i="33"/>
  <c r="D441" i="32"/>
  <c r="D436" i="33"/>
  <c r="D436" i="32"/>
  <c r="B485" i="3"/>
  <c r="C280" i="32"/>
  <c r="C280" i="33"/>
  <c r="C304" i="3"/>
  <c r="C262" i="32"/>
  <c r="C396" i="33"/>
  <c r="C286" i="33"/>
  <c r="C360" i="3"/>
  <c r="L261" i="32"/>
  <c r="B232" i="33"/>
  <c r="B405" i="33"/>
  <c r="D448" i="33"/>
  <c r="D459" i="33"/>
  <c r="D444" i="32"/>
  <c r="D452" i="32"/>
  <c r="D463" i="32"/>
  <c r="L285" i="32"/>
  <c r="D445" i="33"/>
  <c r="D453" i="33"/>
  <c r="D465" i="33"/>
  <c r="D451" i="32"/>
  <c r="D462" i="32"/>
  <c r="D191" i="33"/>
  <c r="E395" i="32"/>
  <c r="B163" i="3"/>
  <c r="F178" i="32"/>
  <c r="D360" i="33"/>
  <c r="E434" i="33"/>
  <c r="E35" i="3"/>
  <c r="C26" i="3"/>
  <c r="B7" i="3"/>
  <c r="B20" i="34"/>
  <c r="B6" i="34"/>
  <c r="C109" i="34"/>
  <c r="B90" i="34"/>
  <c r="B72" i="34"/>
  <c r="D139" i="34"/>
  <c r="B169" i="34"/>
  <c r="B203" i="34"/>
  <c r="C180" i="34"/>
  <c r="C200" i="34"/>
  <c r="B191" i="2"/>
  <c r="G225" i="34"/>
  <c r="B213" i="34"/>
  <c r="C209" i="34"/>
  <c r="N225" i="34"/>
  <c r="C213" i="34"/>
  <c r="C9" i="35"/>
  <c r="G12" i="34"/>
  <c r="B90" i="35"/>
  <c r="E68" i="35"/>
  <c r="E109" i="35"/>
  <c r="C139" i="35"/>
  <c r="B213" i="35"/>
  <c r="C219" i="35"/>
  <c r="C200" i="35"/>
  <c r="H138" i="35"/>
  <c r="D52" i="36"/>
  <c r="G225" i="35"/>
  <c r="AD173" i="35"/>
  <c r="T225" i="35"/>
  <c r="L225" i="35"/>
  <c r="AE173" i="34"/>
  <c r="I225" i="37"/>
  <c r="B213" i="37"/>
  <c r="C204" i="37"/>
  <c r="B120" i="37"/>
  <c r="B90" i="37"/>
  <c r="E52" i="37"/>
  <c r="B36" i="37"/>
  <c r="B20" i="37"/>
  <c r="B6" i="37"/>
  <c r="T225" i="36"/>
  <c r="J225" i="36"/>
  <c r="AE173" i="36"/>
  <c r="C217" i="36"/>
  <c r="C211" i="36"/>
  <c r="C180" i="36"/>
  <c r="B169" i="36"/>
  <c r="G92" i="36"/>
  <c r="AE173" i="37"/>
  <c r="AD173" i="37"/>
  <c r="N225" i="37"/>
  <c r="E225" i="37"/>
  <c r="C209" i="37"/>
  <c r="B150" i="37"/>
  <c r="E68" i="37"/>
  <c r="D52" i="37"/>
  <c r="I225" i="36"/>
  <c r="AD173" i="36"/>
  <c r="W9" i="26"/>
  <c r="N9" i="26"/>
  <c r="K33" i="17"/>
  <c r="AH24" i="17"/>
  <c r="Z24" i="17"/>
  <c r="AH33" i="17"/>
  <c r="Z33" i="17"/>
  <c r="Q24" i="17"/>
  <c r="U225" i="2"/>
  <c r="T225" i="2"/>
  <c r="R225" i="2"/>
  <c r="J225" i="2"/>
  <c r="I225" i="2"/>
  <c r="C225" i="34"/>
  <c r="C219" i="2"/>
  <c r="C217" i="2"/>
  <c r="B208" i="2"/>
  <c r="C211" i="2"/>
  <c r="C209" i="2"/>
  <c r="C180" i="2"/>
  <c r="C178" i="2"/>
  <c r="C174" i="2"/>
  <c r="C164" i="2"/>
  <c r="B134" i="16"/>
  <c r="B116" i="16"/>
  <c r="C51" i="17"/>
  <c r="R51" i="17" s="1"/>
  <c r="Q198" i="13"/>
  <c r="B7" i="32"/>
  <c r="C328" i="32"/>
  <c r="C396" i="32"/>
  <c r="C262" i="33"/>
  <c r="B405" i="32"/>
  <c r="L309" i="33"/>
  <c r="D446" i="33"/>
  <c r="D454" i="33"/>
  <c r="D466" i="33"/>
  <c r="D450" i="32"/>
  <c r="D461" i="32"/>
  <c r="L309" i="32"/>
  <c r="B369" i="33"/>
  <c r="D451" i="33"/>
  <c r="D462" i="33"/>
  <c r="D449" i="32"/>
  <c r="E359" i="32"/>
  <c r="D221" i="32"/>
  <c r="F165" i="33"/>
  <c r="E443" i="32"/>
  <c r="E109" i="34"/>
  <c r="B85" i="34"/>
  <c r="F139" i="34"/>
  <c r="H139" i="34"/>
  <c r="B191" i="34"/>
  <c r="C257" i="34"/>
  <c r="I225" i="34"/>
  <c r="C206" i="34"/>
  <c r="P225" i="34"/>
  <c r="B52" i="35"/>
  <c r="B120" i="34"/>
  <c r="B72" i="35"/>
  <c r="B85" i="35"/>
  <c r="C132" i="35"/>
  <c r="C211" i="35"/>
  <c r="F139" i="35"/>
  <c r="C206" i="35"/>
  <c r="D139" i="35"/>
  <c r="G12" i="36"/>
  <c r="C9" i="36"/>
  <c r="C139" i="37"/>
  <c r="C109" i="37"/>
  <c r="B85" i="37"/>
  <c r="H138" i="36"/>
  <c r="C219" i="36"/>
  <c r="B191" i="36"/>
  <c r="B120" i="36"/>
  <c r="B90" i="36"/>
  <c r="V224" i="37"/>
  <c r="C178" i="37"/>
  <c r="H138" i="37"/>
  <c r="V224" i="36"/>
  <c r="H139" i="36"/>
  <c r="C257" i="36"/>
  <c r="W50" i="26"/>
  <c r="AE50" i="26"/>
  <c r="B33" i="17"/>
  <c r="H50" i="26"/>
  <c r="K24" i="17"/>
  <c r="G92" i="2"/>
  <c r="S33" i="17"/>
  <c r="E194" i="16"/>
  <c r="E52" i="10"/>
  <c r="T52" i="10" s="1"/>
  <c r="C35" i="17"/>
  <c r="R35" i="17" s="1"/>
  <c r="AD28" i="26"/>
  <c r="AD44" i="26"/>
  <c r="AD42" i="26"/>
  <c r="AD30" i="26"/>
  <c r="AD40" i="26"/>
  <c r="AD13" i="26"/>
  <c r="Z38" i="26"/>
  <c r="Z20" i="26"/>
  <c r="Z43" i="26"/>
  <c r="Z32" i="26"/>
  <c r="Z45" i="26"/>
  <c r="V34" i="26"/>
  <c r="W34" i="26" s="1"/>
  <c r="U32" i="17"/>
  <c r="G58" i="26"/>
  <c r="H58" i="26" s="1"/>
  <c r="G54" i="26"/>
  <c r="H54" i="26" s="1"/>
  <c r="G153" i="3"/>
  <c r="D224" i="3" s="1"/>
  <c r="H153" i="3"/>
  <c r="I153" i="3" s="1"/>
  <c r="AD11" i="26"/>
  <c r="I213" i="2"/>
  <c r="U26" i="17"/>
  <c r="G52" i="26"/>
  <c r="H52" i="26" s="1"/>
  <c r="D103" i="2"/>
  <c r="U53" i="17"/>
  <c r="D18" i="10"/>
  <c r="D122" i="2"/>
  <c r="W179" i="2"/>
  <c r="E43" i="34"/>
  <c r="E43" i="36"/>
  <c r="D15" i="10"/>
  <c r="D119" i="2"/>
  <c r="I205" i="2"/>
  <c r="H158" i="33"/>
  <c r="I158" i="33" s="1"/>
  <c r="D60" i="34"/>
  <c r="F27" i="33"/>
  <c r="G29" i="33"/>
  <c r="G28" i="33"/>
  <c r="I10" i="2"/>
  <c r="E40" i="35"/>
  <c r="D28" i="36"/>
  <c r="J24" i="10" s="1"/>
  <c r="E42" i="35"/>
  <c r="E46" i="37"/>
  <c r="E44" i="37"/>
  <c r="E46" i="35"/>
  <c r="E41" i="37"/>
  <c r="E41" i="35"/>
  <c r="E39" i="35"/>
  <c r="D103" i="35"/>
  <c r="U39" i="17"/>
  <c r="R204" i="37"/>
  <c r="F27" i="32"/>
  <c r="F31" i="31"/>
  <c r="D7" i="31"/>
  <c r="I6" i="31"/>
  <c r="F30" i="30"/>
  <c r="C70" i="3"/>
  <c r="C75" i="3"/>
  <c r="F56" i="29"/>
  <c r="F58" i="29"/>
  <c r="F60" i="29"/>
  <c r="B36" i="10"/>
  <c r="E24" i="17"/>
  <c r="AB45" i="26"/>
  <c r="AD45" i="26"/>
  <c r="X44" i="26"/>
  <c r="Z44" i="26"/>
  <c r="AD46" i="26"/>
  <c r="AD48" i="26"/>
  <c r="AD32" i="26"/>
  <c r="Z35" i="26"/>
  <c r="AC38" i="26"/>
  <c r="AD38" i="26"/>
  <c r="AC20" i="26"/>
  <c r="AD20" i="26"/>
  <c r="X48" i="26"/>
  <c r="Z48" i="26"/>
  <c r="X46" i="26"/>
  <c r="Z46" i="26"/>
  <c r="X28" i="26"/>
  <c r="Z28" i="26"/>
  <c r="AD37" i="26"/>
  <c r="Z11" i="26"/>
  <c r="I7" i="32"/>
  <c r="H38" i="33"/>
  <c r="F30" i="32"/>
  <c r="B157" i="36"/>
  <c r="B157" i="2"/>
  <c r="B23" i="10"/>
  <c r="B157" i="34"/>
  <c r="B179" i="16"/>
  <c r="B161" i="16"/>
  <c r="B143" i="16"/>
  <c r="B125" i="16"/>
  <c r="B479" i="30"/>
  <c r="B479" i="31"/>
  <c r="B479" i="32"/>
  <c r="B479" i="33"/>
  <c r="B479" i="3"/>
  <c r="B13" i="17"/>
  <c r="E57" i="26"/>
  <c r="C31" i="17"/>
  <c r="R31" i="17" s="1"/>
  <c r="B473" i="30"/>
  <c r="B473" i="32"/>
  <c r="B473" i="3"/>
  <c r="B172" i="16"/>
  <c r="B154" i="16"/>
  <c r="B136" i="16"/>
  <c r="B118" i="16"/>
  <c r="B473" i="31"/>
  <c r="B473" i="33"/>
  <c r="B7" i="17"/>
  <c r="E42" i="26"/>
  <c r="E57" i="10"/>
  <c r="T57" i="10" s="1"/>
  <c r="B48" i="26"/>
  <c r="B63" i="10"/>
  <c r="H183" i="13"/>
  <c r="F169" i="13"/>
  <c r="D161" i="13"/>
  <c r="AA198" i="13"/>
  <c r="N198" i="13"/>
  <c r="F198" i="13"/>
  <c r="Z198" i="13"/>
  <c r="M198" i="13"/>
  <c r="D198" i="13"/>
  <c r="E37" i="10"/>
  <c r="T37" i="10" s="1"/>
  <c r="E40" i="10"/>
  <c r="T40" i="10" s="1"/>
  <c r="C43" i="17"/>
  <c r="R43" i="17" s="1"/>
  <c r="C58" i="17"/>
  <c r="R58" i="17" s="1"/>
  <c r="F31" i="29"/>
  <c r="F43" i="29"/>
  <c r="F13" i="29"/>
  <c r="D45" i="29"/>
  <c r="T24" i="17"/>
  <c r="AF61" i="26"/>
  <c r="AF65" i="26"/>
  <c r="C70" i="16"/>
  <c r="G55" i="13"/>
  <c r="F105" i="13"/>
  <c r="G143" i="13"/>
  <c r="C135" i="13"/>
  <c r="F78" i="16"/>
  <c r="G54" i="16"/>
  <c r="C75" i="13"/>
  <c r="C12" i="16"/>
  <c r="C11" i="13"/>
  <c r="B4" i="36"/>
  <c r="B4" i="32"/>
  <c r="E55" i="13"/>
  <c r="D78" i="16"/>
  <c r="E54" i="16"/>
  <c r="C9" i="13"/>
  <c r="H54" i="16"/>
  <c r="B4" i="37"/>
  <c r="C13" i="16"/>
  <c r="F54" i="16"/>
  <c r="E31" i="26"/>
  <c r="C55" i="17"/>
  <c r="R55" i="17" s="1"/>
  <c r="B47" i="26"/>
  <c r="B62" i="10"/>
  <c r="C183" i="13"/>
  <c r="V198" i="13"/>
  <c r="P198" i="13"/>
  <c r="L198" i="13"/>
  <c r="H198" i="13"/>
  <c r="D199" i="13"/>
  <c r="AB198" i="13"/>
  <c r="U198" i="13"/>
  <c r="O198" i="13"/>
  <c r="K198" i="13"/>
  <c r="E198" i="13"/>
  <c r="E15" i="26"/>
  <c r="E38" i="10"/>
  <c r="T38" i="10" s="1"/>
  <c r="E43" i="26"/>
  <c r="E58" i="10"/>
  <c r="T58" i="10" s="1"/>
  <c r="E55" i="26"/>
  <c r="C29" i="17"/>
  <c r="R29" i="17" s="1"/>
  <c r="E58" i="26"/>
  <c r="C32" i="17"/>
  <c r="R32" i="17" s="1"/>
  <c r="C36" i="17"/>
  <c r="R36" i="17" s="1"/>
  <c r="C54" i="17"/>
  <c r="R54" i="17" s="1"/>
  <c r="E33" i="17"/>
  <c r="Y177" i="36" l="1"/>
  <c r="Y177" i="2"/>
  <c r="Y215" i="2" s="1"/>
  <c r="D56" i="2"/>
  <c r="D57" i="35"/>
  <c r="H57" i="35" s="1"/>
  <c r="F48" i="2"/>
  <c r="K16" i="56" s="1"/>
  <c r="F47" i="36"/>
  <c r="F47" i="34"/>
  <c r="F47" i="2"/>
  <c r="K15" i="56" s="1"/>
  <c r="F48" i="36"/>
  <c r="E119" i="36" s="1"/>
  <c r="F48" i="34"/>
  <c r="F47" i="35"/>
  <c r="F48" i="37"/>
  <c r="E119" i="37" s="1"/>
  <c r="F48" i="35"/>
  <c r="E119" i="35" s="1"/>
  <c r="F47" i="37"/>
  <c r="D7" i="2"/>
  <c r="H53" i="2"/>
  <c r="F46" i="34"/>
  <c r="E117" i="34" s="1"/>
  <c r="F44" i="34"/>
  <c r="E115" i="34" s="1"/>
  <c r="F44" i="2"/>
  <c r="E57" i="2"/>
  <c r="F45" i="37"/>
  <c r="E116" i="37" s="1"/>
  <c r="D76" i="35"/>
  <c r="V204" i="35"/>
  <c r="F39" i="34"/>
  <c r="E110" i="34" s="1"/>
  <c r="E59" i="2"/>
  <c r="I59" i="2" s="1"/>
  <c r="H53" i="34"/>
  <c r="C74" i="3"/>
  <c r="AD182" i="2"/>
  <c r="G203" i="2" s="1"/>
  <c r="F31" i="3"/>
  <c r="C76" i="3"/>
  <c r="C72" i="3"/>
  <c r="D54" i="16"/>
  <c r="F43" i="2"/>
  <c r="C78" i="3"/>
  <c r="D7" i="3"/>
  <c r="C92" i="3" s="1"/>
  <c r="F43" i="34"/>
  <c r="E114" i="34" s="1"/>
  <c r="E119" i="2"/>
  <c r="H149" i="2" s="1"/>
  <c r="D205" i="37"/>
  <c r="J351" i="31"/>
  <c r="C77" i="3"/>
  <c r="B4" i="2"/>
  <c r="I6" i="3"/>
  <c r="I351" i="31"/>
  <c r="Z351" i="31"/>
  <c r="F32" i="33"/>
  <c r="I213" i="35"/>
  <c r="AB204" i="35"/>
  <c r="D76" i="34"/>
  <c r="F76" i="34" s="1"/>
  <c r="W204" i="2"/>
  <c r="I228" i="2"/>
  <c r="I228" i="36"/>
  <c r="F177" i="37"/>
  <c r="F210" i="37" s="1"/>
  <c r="D60" i="36"/>
  <c r="E60" i="36" s="1"/>
  <c r="I228" i="34"/>
  <c r="I235" i="37"/>
  <c r="O200" i="2"/>
  <c r="O201" i="2" s="1"/>
  <c r="R204" i="36"/>
  <c r="J205" i="2"/>
  <c r="AD181" i="2"/>
  <c r="D213" i="35" s="1"/>
  <c r="R204" i="35"/>
  <c r="F177" i="35"/>
  <c r="F210" i="35" s="1"/>
  <c r="M177" i="36"/>
  <c r="F39" i="2"/>
  <c r="N210" i="36"/>
  <c r="I228" i="35"/>
  <c r="W204" i="36"/>
  <c r="I234" i="36"/>
  <c r="J210" i="35"/>
  <c r="Y204" i="37"/>
  <c r="D60" i="2"/>
  <c r="H60" i="2" s="1"/>
  <c r="I210" i="35"/>
  <c r="AD187" i="2"/>
  <c r="U203" i="2" s="1"/>
  <c r="AB204" i="34"/>
  <c r="AB204" i="36"/>
  <c r="F27" i="30"/>
  <c r="G134" i="30" s="1"/>
  <c r="I375" i="30" s="1"/>
  <c r="R200" i="2"/>
  <c r="R201" i="2" s="1"/>
  <c r="F31" i="30"/>
  <c r="K205" i="34"/>
  <c r="V204" i="34"/>
  <c r="I241" i="34"/>
  <c r="I241" i="2"/>
  <c r="F143" i="13"/>
  <c r="N213" i="35"/>
  <c r="F30" i="31"/>
  <c r="F41" i="34"/>
  <c r="E112" i="34" s="1"/>
  <c r="E53" i="2"/>
  <c r="C57" i="17"/>
  <c r="R57" i="17" s="1"/>
  <c r="D62" i="2"/>
  <c r="E62" i="2" s="1"/>
  <c r="I227" i="36"/>
  <c r="S177" i="2"/>
  <c r="S204" i="2" s="1"/>
  <c r="I227" i="35"/>
  <c r="I6" i="35"/>
  <c r="B4" i="35"/>
  <c r="J213" i="35"/>
  <c r="F42" i="35"/>
  <c r="E113" i="35" s="1"/>
  <c r="F42" i="34"/>
  <c r="E113" i="34" s="1"/>
  <c r="N213" i="2"/>
  <c r="F40" i="2"/>
  <c r="E53" i="34"/>
  <c r="E177" i="37"/>
  <c r="E205" i="37" s="1"/>
  <c r="I227" i="34"/>
  <c r="S177" i="34"/>
  <c r="S215" i="34" s="1"/>
  <c r="D76" i="2"/>
  <c r="F76" i="2" s="1"/>
  <c r="I204" i="2"/>
  <c r="I206" i="2" s="1"/>
  <c r="F42" i="2"/>
  <c r="S177" i="35"/>
  <c r="S204" i="35" s="1"/>
  <c r="C136" i="13"/>
  <c r="D143" i="13"/>
  <c r="D7" i="34"/>
  <c r="AD187" i="37"/>
  <c r="J203" i="37" s="1"/>
  <c r="J204" i="37" s="1"/>
  <c r="F45" i="2"/>
  <c r="D55" i="2"/>
  <c r="E55" i="2" s="1"/>
  <c r="E205" i="36"/>
  <c r="H56" i="34"/>
  <c r="S177" i="36"/>
  <c r="S204" i="36" s="1"/>
  <c r="I6" i="34"/>
  <c r="F215" i="34" s="1"/>
  <c r="I239" i="34"/>
  <c r="I241" i="37"/>
  <c r="E204" i="2"/>
  <c r="C71" i="16"/>
  <c r="F29" i="31"/>
  <c r="F28" i="30"/>
  <c r="G136" i="30" s="1"/>
  <c r="I372" i="30" s="1"/>
  <c r="I213" i="34"/>
  <c r="F46" i="2"/>
  <c r="E58" i="2"/>
  <c r="S177" i="37"/>
  <c r="S204" i="37" s="1"/>
  <c r="E177" i="35"/>
  <c r="E205" i="35" s="1"/>
  <c r="AB204" i="37"/>
  <c r="O209" i="34"/>
  <c r="I209" i="35"/>
  <c r="Z204" i="2"/>
  <c r="O200" i="35"/>
  <c r="O201" i="35" s="1"/>
  <c r="H55" i="13"/>
  <c r="B4" i="34"/>
  <c r="D105" i="13"/>
  <c r="D36" i="33"/>
  <c r="E36" i="33" s="1"/>
  <c r="F41" i="2"/>
  <c r="H58" i="2"/>
  <c r="J205" i="36"/>
  <c r="Z204" i="36"/>
  <c r="D209" i="2"/>
  <c r="D211" i="2" s="1"/>
  <c r="O204" i="35"/>
  <c r="W204" i="35"/>
  <c r="O200" i="36"/>
  <c r="O201" i="36" s="1"/>
  <c r="I209" i="37"/>
  <c r="O200" i="37"/>
  <c r="O201" i="37" s="1"/>
  <c r="I209" i="2"/>
  <c r="I211" i="2" s="1"/>
  <c r="F28" i="3"/>
  <c r="G136" i="3" s="1"/>
  <c r="I372" i="3" s="1"/>
  <c r="E56" i="10"/>
  <c r="T56" i="10" s="1"/>
  <c r="Y204" i="36"/>
  <c r="R204" i="2"/>
  <c r="C40" i="17"/>
  <c r="R40" i="17" s="1"/>
  <c r="H205" i="34"/>
  <c r="AD181" i="37"/>
  <c r="D203" i="37" s="1"/>
  <c r="D204" i="37" s="1"/>
  <c r="R204" i="34"/>
  <c r="J209" i="35"/>
  <c r="V204" i="36"/>
  <c r="C67" i="16"/>
  <c r="B4" i="3"/>
  <c r="F32" i="31"/>
  <c r="O204" i="37"/>
  <c r="W204" i="37"/>
  <c r="N209" i="36"/>
  <c r="N209" i="37"/>
  <c r="J209" i="2"/>
  <c r="J211" i="2" s="1"/>
  <c r="V204" i="2"/>
  <c r="K209" i="34"/>
  <c r="O209" i="36"/>
  <c r="K209" i="2"/>
  <c r="K211" i="2" s="1"/>
  <c r="O204" i="2"/>
  <c r="D10" i="17"/>
  <c r="C132" i="13"/>
  <c r="W204" i="34"/>
  <c r="C72" i="13"/>
  <c r="D40" i="3"/>
  <c r="D312" i="32" a="1"/>
  <c r="I312" i="32" s="1"/>
  <c r="N210" i="34"/>
  <c r="D41" i="33"/>
  <c r="H41" i="33" s="1"/>
  <c r="F44" i="36"/>
  <c r="E115" i="36" s="1"/>
  <c r="Z204" i="35"/>
  <c r="V204" i="37"/>
  <c r="H209" i="2"/>
  <c r="H211" i="2" s="1"/>
  <c r="AB204" i="2"/>
  <c r="O200" i="34"/>
  <c r="O201" i="34" s="1"/>
  <c r="K209" i="35"/>
  <c r="O204" i="36"/>
  <c r="Y204" i="2"/>
  <c r="AB352" i="31"/>
  <c r="C20" i="3"/>
  <c r="J8" i="26"/>
  <c r="I23" i="17"/>
  <c r="H25" i="17" a="1"/>
  <c r="H27" i="17" s="1"/>
  <c r="E209" i="36"/>
  <c r="C41" i="17"/>
  <c r="R41" i="17" s="1"/>
  <c r="C8" i="13"/>
  <c r="D55" i="13"/>
  <c r="AD187" i="34"/>
  <c r="D54" i="37"/>
  <c r="E54" i="37" s="1"/>
  <c r="E63" i="10"/>
  <c r="T63" i="10" s="1"/>
  <c r="F44" i="35"/>
  <c r="E115" i="35" s="1"/>
  <c r="D39" i="32"/>
  <c r="E39" i="32" s="1"/>
  <c r="D72" i="32" s="1"/>
  <c r="D312" i="33" a="1"/>
  <c r="Y312" i="33" s="1"/>
  <c r="D58" i="36"/>
  <c r="E58" i="36" s="1"/>
  <c r="C9" i="16"/>
  <c r="C78" i="16"/>
  <c r="C105" i="13"/>
  <c r="C73" i="3"/>
  <c r="F27" i="31"/>
  <c r="G134" i="31" s="1"/>
  <c r="I375" i="31" s="1"/>
  <c r="O205" i="34"/>
  <c r="E62" i="10"/>
  <c r="T62" i="10" s="1"/>
  <c r="H10" i="3"/>
  <c r="D210" i="35"/>
  <c r="K210" i="36"/>
  <c r="K210" i="37"/>
  <c r="F43" i="37"/>
  <c r="E114" i="37" s="1"/>
  <c r="M210" i="35"/>
  <c r="M205" i="35"/>
  <c r="B140" i="34"/>
  <c r="B140" i="36"/>
  <c r="B6" i="10"/>
  <c r="B140" i="2"/>
  <c r="W47" i="17"/>
  <c r="AE47" i="17"/>
  <c r="AI47" i="17"/>
  <c r="AA47" i="17"/>
  <c r="P47" i="17"/>
  <c r="W48" i="17"/>
  <c r="AI48" i="17"/>
  <c r="AA48" i="17"/>
  <c r="P48" i="17"/>
  <c r="AE48" i="17"/>
  <c r="E39" i="26"/>
  <c r="C49" i="17"/>
  <c r="R49" i="17" s="1"/>
  <c r="AI45" i="17"/>
  <c r="W45" i="17"/>
  <c r="AA45" i="17"/>
  <c r="AE45" i="17"/>
  <c r="W49" i="17"/>
  <c r="AA49" i="17"/>
  <c r="AE49" i="17"/>
  <c r="AI49" i="17"/>
  <c r="AA46" i="17"/>
  <c r="AE46" i="17"/>
  <c r="W46" i="17"/>
  <c r="AI46" i="17"/>
  <c r="B4" i="31"/>
  <c r="D40" i="32"/>
  <c r="E40" i="32" s="1"/>
  <c r="D73" i="32" s="1"/>
  <c r="E56" i="34"/>
  <c r="E105" i="13"/>
  <c r="C10" i="13"/>
  <c r="E78" i="16"/>
  <c r="H143" i="13"/>
  <c r="C12" i="13"/>
  <c r="G78" i="16"/>
  <c r="C10" i="16"/>
  <c r="C133" i="13"/>
  <c r="C68" i="16"/>
  <c r="E42" i="10"/>
  <c r="T42" i="10" s="1"/>
  <c r="E209" i="34"/>
  <c r="C71" i="3"/>
  <c r="F27" i="3"/>
  <c r="D473" i="3" s="1"/>
  <c r="D36" i="32"/>
  <c r="H36" i="32" s="1"/>
  <c r="I205" i="36"/>
  <c r="D264" i="3" a="1"/>
  <c r="I264" i="3" s="1"/>
  <c r="E48" i="10"/>
  <c r="T48" i="10" s="1"/>
  <c r="E60" i="10"/>
  <c r="T60" i="10" s="1"/>
  <c r="I204" i="36"/>
  <c r="D264" i="32" a="1"/>
  <c r="I264" i="32" s="1"/>
  <c r="D55" i="36"/>
  <c r="H55" i="36" s="1"/>
  <c r="E50" i="10"/>
  <c r="T50" i="10" s="1"/>
  <c r="D352" i="31"/>
  <c r="O210" i="35"/>
  <c r="N210" i="2"/>
  <c r="Q177" i="34"/>
  <c r="I247" i="36"/>
  <c r="I239" i="37"/>
  <c r="E205" i="2"/>
  <c r="T177" i="2"/>
  <c r="T204" i="2" s="1"/>
  <c r="E25" i="26"/>
  <c r="C46" i="17"/>
  <c r="R46" i="17" s="1"/>
  <c r="F177" i="34"/>
  <c r="I228" i="37"/>
  <c r="F177" i="2"/>
  <c r="F209" i="2" s="1"/>
  <c r="C134" i="13"/>
  <c r="C69" i="16"/>
  <c r="F43" i="35"/>
  <c r="E114" i="35" s="1"/>
  <c r="H57" i="2"/>
  <c r="D209" i="37"/>
  <c r="AD184" i="34"/>
  <c r="U203" i="34" s="1"/>
  <c r="E53" i="36"/>
  <c r="F352" i="33"/>
  <c r="H205" i="2"/>
  <c r="I239" i="36"/>
  <c r="Y177" i="34"/>
  <c r="Y204" i="34" s="1"/>
  <c r="I247" i="35"/>
  <c r="Q177" i="36"/>
  <c r="Q204" i="36" s="1"/>
  <c r="C11" i="16"/>
  <c r="F55" i="13"/>
  <c r="C74" i="13"/>
  <c r="B4" i="33"/>
  <c r="G105" i="13"/>
  <c r="C76" i="13"/>
  <c r="B4" i="30"/>
  <c r="C73" i="13"/>
  <c r="E143" i="13"/>
  <c r="C50" i="17"/>
  <c r="R50" i="17" s="1"/>
  <c r="E36" i="3"/>
  <c r="D69" i="3" s="1"/>
  <c r="E69" i="3" s="1"/>
  <c r="F29" i="3"/>
  <c r="H475" i="3" s="1"/>
  <c r="F28" i="31"/>
  <c r="G135" i="31" s="1"/>
  <c r="I370" i="31" s="1"/>
  <c r="F31" i="32"/>
  <c r="F33" i="32" s="1"/>
  <c r="AD184" i="36"/>
  <c r="E44" i="10"/>
  <c r="T44" i="10" s="1"/>
  <c r="F39" i="37"/>
  <c r="E110" i="37" s="1"/>
  <c r="D54" i="34"/>
  <c r="H54" i="34" s="1"/>
  <c r="N209" i="2"/>
  <c r="D312" i="31" a="1"/>
  <c r="E312" i="31" s="1"/>
  <c r="H204" i="2"/>
  <c r="K205" i="2"/>
  <c r="N210" i="35"/>
  <c r="D264" i="30" a="1"/>
  <c r="D264" i="30" s="1"/>
  <c r="N210" i="37"/>
  <c r="Q177" i="2"/>
  <c r="Q204" i="2" s="1"/>
  <c r="Q177" i="37"/>
  <c r="Q177" i="35"/>
  <c r="Q215" i="35" s="1"/>
  <c r="I239" i="35"/>
  <c r="D312" i="3" a="1"/>
  <c r="D312" i="3" s="1"/>
  <c r="E56" i="37"/>
  <c r="D209" i="35"/>
  <c r="N209" i="34"/>
  <c r="H209" i="35"/>
  <c r="N209" i="35"/>
  <c r="H209" i="36"/>
  <c r="M209" i="35"/>
  <c r="I209" i="36"/>
  <c r="K209" i="36"/>
  <c r="J209" i="34"/>
  <c r="F209" i="36"/>
  <c r="J209" i="36"/>
  <c r="J209" i="37"/>
  <c r="D209" i="36"/>
  <c r="D209" i="34"/>
  <c r="I209" i="34"/>
  <c r="O209" i="35"/>
  <c r="O209" i="37"/>
  <c r="O209" i="2"/>
  <c r="O211" i="2" s="1"/>
  <c r="D12" i="17"/>
  <c r="AE31" i="26"/>
  <c r="D7" i="37"/>
  <c r="J214" i="37" s="1"/>
  <c r="F40" i="37"/>
  <c r="E111" i="37" s="1"/>
  <c r="J213" i="37"/>
  <c r="D7" i="36"/>
  <c r="I214" i="36" s="1"/>
  <c r="F42" i="36"/>
  <c r="E113" i="36" s="1"/>
  <c r="E40" i="30"/>
  <c r="D73" i="30" s="1"/>
  <c r="H56" i="36"/>
  <c r="F41" i="36"/>
  <c r="E112" i="36" s="1"/>
  <c r="F39" i="36"/>
  <c r="E110" i="36" s="1"/>
  <c r="G12" i="16"/>
  <c r="G13" i="16" s="1"/>
  <c r="G14" i="16" s="1"/>
  <c r="J213" i="36"/>
  <c r="I213" i="36"/>
  <c r="F40" i="36"/>
  <c r="E111" i="36" s="1"/>
  <c r="I6" i="36"/>
  <c r="Y215" i="36" s="1"/>
  <c r="H53" i="36"/>
  <c r="F45" i="36"/>
  <c r="E116" i="36" s="1"/>
  <c r="E38" i="33"/>
  <c r="D71" i="33" s="1"/>
  <c r="Q215" i="34"/>
  <c r="Z215" i="34"/>
  <c r="W215" i="35"/>
  <c r="W215" i="2"/>
  <c r="AB215" i="35"/>
  <c r="G352" i="31"/>
  <c r="H352" i="33"/>
  <c r="Z351" i="33"/>
  <c r="AI55" i="17"/>
  <c r="AE55" i="17"/>
  <c r="W55" i="17"/>
  <c r="D288" i="32" a="1"/>
  <c r="E288" i="32" s="1"/>
  <c r="D288" i="33" a="1"/>
  <c r="E288" i="33" s="1"/>
  <c r="D264" i="32"/>
  <c r="F264" i="32"/>
  <c r="S264" i="3"/>
  <c r="D336" i="32"/>
  <c r="E336" i="32"/>
  <c r="I336" i="32"/>
  <c r="M336" i="32"/>
  <c r="Q336" i="32"/>
  <c r="U336" i="32"/>
  <c r="Y336" i="32"/>
  <c r="AC336" i="32"/>
  <c r="AG336" i="32"/>
  <c r="G336" i="32"/>
  <c r="K336" i="32"/>
  <c r="O336" i="32"/>
  <c r="S336" i="32"/>
  <c r="W336" i="32"/>
  <c r="AA336" i="32"/>
  <c r="AE336" i="32"/>
  <c r="AF336" i="32"/>
  <c r="AB336" i="32"/>
  <c r="X336" i="32"/>
  <c r="T336" i="32"/>
  <c r="P336" i="32"/>
  <c r="L336" i="32"/>
  <c r="H336" i="32"/>
  <c r="AH336" i="32"/>
  <c r="AD336" i="32"/>
  <c r="Z336" i="32"/>
  <c r="V336" i="32"/>
  <c r="R336" i="32"/>
  <c r="N336" i="32"/>
  <c r="J336" i="32"/>
  <c r="F336" i="32"/>
  <c r="D264" i="33" a="1"/>
  <c r="D288" i="30" a="1"/>
  <c r="AG312" i="32"/>
  <c r="AH312" i="32"/>
  <c r="E312" i="3"/>
  <c r="W312" i="3"/>
  <c r="AB312" i="3"/>
  <c r="I312" i="33"/>
  <c r="X312" i="33"/>
  <c r="V312" i="33"/>
  <c r="D336" i="30"/>
  <c r="D351" i="30" s="1"/>
  <c r="E336" i="30"/>
  <c r="E351" i="30" s="1"/>
  <c r="I336" i="30"/>
  <c r="M336" i="30"/>
  <c r="Q336" i="30"/>
  <c r="U336" i="30"/>
  <c r="Y336" i="30"/>
  <c r="AC336" i="30"/>
  <c r="AG336" i="30"/>
  <c r="G336" i="30"/>
  <c r="G351" i="30" s="1"/>
  <c r="K336" i="30"/>
  <c r="K351" i="30" s="1"/>
  <c r="O336" i="30"/>
  <c r="S336" i="30"/>
  <c r="W336" i="30"/>
  <c r="AA336" i="30"/>
  <c r="AE336" i="30"/>
  <c r="AF336" i="30"/>
  <c r="AB336" i="30"/>
  <c r="AB351" i="30" s="1"/>
  <c r="X336" i="30"/>
  <c r="T336" i="30"/>
  <c r="P336" i="30"/>
  <c r="L336" i="30"/>
  <c r="H336" i="30"/>
  <c r="AH336" i="30"/>
  <c r="AD336" i="30"/>
  <c r="Z336" i="30"/>
  <c r="Z352" i="30" s="1"/>
  <c r="V336" i="30"/>
  <c r="R336" i="30"/>
  <c r="R351" i="30" s="1"/>
  <c r="N336" i="30"/>
  <c r="J336" i="30"/>
  <c r="J351" i="30" s="1"/>
  <c r="F336" i="30"/>
  <c r="F351" i="30" s="1"/>
  <c r="D336" i="3"/>
  <c r="D351" i="3" s="1"/>
  <c r="E336" i="3"/>
  <c r="E352" i="3" s="1"/>
  <c r="I336" i="3"/>
  <c r="I352" i="3" s="1"/>
  <c r="M336" i="3"/>
  <c r="Q336" i="3"/>
  <c r="U336" i="3"/>
  <c r="Y336" i="3"/>
  <c r="AC336" i="3"/>
  <c r="AG336" i="3"/>
  <c r="G336" i="3"/>
  <c r="G351" i="3" s="1"/>
  <c r="K336" i="3"/>
  <c r="K352" i="3" s="1"/>
  <c r="O336" i="3"/>
  <c r="S336" i="3"/>
  <c r="W336" i="3"/>
  <c r="AA336" i="3"/>
  <c r="AE336" i="3"/>
  <c r="AF336" i="3"/>
  <c r="AB336" i="3"/>
  <c r="AB351" i="3" s="1"/>
  <c r="X336" i="3"/>
  <c r="T336" i="3"/>
  <c r="P336" i="3"/>
  <c r="L336" i="3"/>
  <c r="H336" i="3"/>
  <c r="H351" i="3" s="1"/>
  <c r="AH336" i="3"/>
  <c r="AD336" i="3"/>
  <c r="Z336" i="3"/>
  <c r="Z352" i="3" s="1"/>
  <c r="V336" i="3"/>
  <c r="R336" i="3"/>
  <c r="R351" i="3" s="1"/>
  <c r="N336" i="3"/>
  <c r="J336" i="3"/>
  <c r="J351" i="3" s="1"/>
  <c r="F336" i="3"/>
  <c r="F352" i="3" s="1"/>
  <c r="D288" i="31" a="1"/>
  <c r="D288" i="3" a="1"/>
  <c r="D312" i="30" a="1"/>
  <c r="D264" i="31" a="1"/>
  <c r="C94" i="3"/>
  <c r="Y351" i="31"/>
  <c r="Y352" i="31"/>
  <c r="Y351" i="33"/>
  <c r="Y352" i="33"/>
  <c r="E36" i="30"/>
  <c r="D69" i="30" s="1"/>
  <c r="F32" i="3"/>
  <c r="H478" i="3" s="1"/>
  <c r="J352" i="31"/>
  <c r="H351" i="33"/>
  <c r="D38" i="30"/>
  <c r="E38" i="30" s="1"/>
  <c r="D351" i="33"/>
  <c r="E351" i="33"/>
  <c r="J351" i="33"/>
  <c r="G351" i="31"/>
  <c r="L177" i="2"/>
  <c r="L177" i="36"/>
  <c r="E37" i="30"/>
  <c r="D70" i="30" s="1"/>
  <c r="N203" i="2"/>
  <c r="N204" i="2" s="1"/>
  <c r="N206" i="2" s="1"/>
  <c r="AA215" i="36"/>
  <c r="Z215" i="36"/>
  <c r="L177" i="37"/>
  <c r="T177" i="34"/>
  <c r="T204" i="34" s="1"/>
  <c r="L177" i="35"/>
  <c r="H56" i="37"/>
  <c r="I234" i="34"/>
  <c r="I242" i="34"/>
  <c r="E37" i="26"/>
  <c r="C53" i="17"/>
  <c r="R53" i="17" s="1"/>
  <c r="I247" i="2"/>
  <c r="Y177" i="35"/>
  <c r="Y204" i="35" s="1"/>
  <c r="I247" i="37"/>
  <c r="E39" i="30"/>
  <c r="D72" i="30" s="1"/>
  <c r="Q215" i="36"/>
  <c r="H209" i="34"/>
  <c r="H211" i="34" s="1"/>
  <c r="H204" i="35"/>
  <c r="L199" i="2"/>
  <c r="E204" i="36"/>
  <c r="R215" i="34"/>
  <c r="U199" i="2"/>
  <c r="W199" i="2"/>
  <c r="W200" i="2" s="1"/>
  <c r="E118" i="34"/>
  <c r="D59" i="34"/>
  <c r="O204" i="34"/>
  <c r="J210" i="34"/>
  <c r="AD187" i="36"/>
  <c r="K209" i="37"/>
  <c r="E205" i="34"/>
  <c r="K204" i="36"/>
  <c r="F210" i="36"/>
  <c r="X199" i="2"/>
  <c r="AB199" i="2"/>
  <c r="AB200" i="2" s="1"/>
  <c r="AB201" i="2" s="1"/>
  <c r="J203" i="34"/>
  <c r="J204" i="34" s="1"/>
  <c r="J206" i="34" s="1"/>
  <c r="T215" i="34"/>
  <c r="AB215" i="34"/>
  <c r="F215" i="35"/>
  <c r="R215" i="35"/>
  <c r="V215" i="35"/>
  <c r="Z215" i="35"/>
  <c r="F215" i="36"/>
  <c r="N199" i="2"/>
  <c r="N200" i="2" s="1"/>
  <c r="N201" i="2" s="1"/>
  <c r="T215" i="2"/>
  <c r="T199" i="2"/>
  <c r="V215" i="2"/>
  <c r="Z215" i="2"/>
  <c r="AB215" i="2"/>
  <c r="S199" i="2"/>
  <c r="D199" i="2"/>
  <c r="D200" i="2" s="1"/>
  <c r="V199" i="2"/>
  <c r="V200" i="2" s="1"/>
  <c r="V201" i="2" s="1"/>
  <c r="AA199" i="2"/>
  <c r="O215" i="34"/>
  <c r="Y215" i="34"/>
  <c r="S215" i="35"/>
  <c r="AA215" i="35"/>
  <c r="W215" i="36"/>
  <c r="G203" i="37"/>
  <c r="E199" i="2"/>
  <c r="E200" i="2" s="1"/>
  <c r="I199" i="2"/>
  <c r="I200" i="2" s="1"/>
  <c r="M199" i="2"/>
  <c r="O215" i="2"/>
  <c r="Q199" i="2"/>
  <c r="D204" i="34"/>
  <c r="I204" i="35"/>
  <c r="I206" i="35" s="1"/>
  <c r="Z199" i="2"/>
  <c r="Z200" i="2" s="1"/>
  <c r="Z201" i="2" s="1"/>
  <c r="H199" i="2"/>
  <c r="H200" i="2" s="1"/>
  <c r="J203" i="2"/>
  <c r="J204" i="2" s="1"/>
  <c r="J206" i="2" s="1"/>
  <c r="P199" i="2"/>
  <c r="Y199" i="2"/>
  <c r="Y200" i="2" s="1"/>
  <c r="O215" i="35"/>
  <c r="G199" i="2"/>
  <c r="K199" i="2"/>
  <c r="K200" i="2" s="1"/>
  <c r="K203" i="2"/>
  <c r="K204" i="2" s="1"/>
  <c r="Q215" i="2"/>
  <c r="S215" i="2"/>
  <c r="D76" i="37"/>
  <c r="G76" i="37" s="1"/>
  <c r="F46" i="36"/>
  <c r="D76" i="36"/>
  <c r="G76" i="35"/>
  <c r="F76" i="35"/>
  <c r="G76" i="34"/>
  <c r="E59" i="36"/>
  <c r="AA204" i="36"/>
  <c r="H209" i="37"/>
  <c r="I205" i="37"/>
  <c r="O205" i="2"/>
  <c r="D204" i="36"/>
  <c r="E209" i="2"/>
  <c r="E211" i="2" s="1"/>
  <c r="O205" i="36"/>
  <c r="D205" i="2"/>
  <c r="Z204" i="34"/>
  <c r="E56" i="36"/>
  <c r="AA204" i="35"/>
  <c r="U205" i="35"/>
  <c r="U210" i="35"/>
  <c r="I243" i="37"/>
  <c r="I249" i="37"/>
  <c r="B85" i="56"/>
  <c r="B53" i="56"/>
  <c r="B37" i="56"/>
  <c r="B21" i="56"/>
  <c r="B69" i="56"/>
  <c r="B4" i="56"/>
  <c r="T204" i="37"/>
  <c r="I234" i="2"/>
  <c r="I234" i="37"/>
  <c r="L177" i="34"/>
  <c r="I242" i="36"/>
  <c r="I11" i="2"/>
  <c r="F40" i="34"/>
  <c r="E111" i="34" s="1"/>
  <c r="D58" i="35"/>
  <c r="I242" i="2"/>
  <c r="I242" i="37"/>
  <c r="T177" i="36"/>
  <c r="I242" i="35"/>
  <c r="T177" i="35"/>
  <c r="I246" i="2"/>
  <c r="X177" i="2"/>
  <c r="I246" i="36"/>
  <c r="I246" i="34"/>
  <c r="X177" i="37"/>
  <c r="X177" i="36"/>
  <c r="I246" i="35"/>
  <c r="I246" i="37"/>
  <c r="X177" i="35"/>
  <c r="X177" i="34"/>
  <c r="I229" i="2"/>
  <c r="G177" i="2"/>
  <c r="I229" i="36"/>
  <c r="I229" i="34"/>
  <c r="G177" i="37"/>
  <c r="G177" i="36"/>
  <c r="I229" i="35"/>
  <c r="I229" i="37"/>
  <c r="G177" i="35"/>
  <c r="G177" i="34"/>
  <c r="P177" i="2"/>
  <c r="I238" i="36"/>
  <c r="I238" i="34"/>
  <c r="P177" i="37"/>
  <c r="P177" i="36"/>
  <c r="I238" i="2"/>
  <c r="I238" i="35"/>
  <c r="I238" i="37"/>
  <c r="P177" i="35"/>
  <c r="P177" i="34"/>
  <c r="H205" i="36"/>
  <c r="AD185" i="37"/>
  <c r="M203" i="37" s="1"/>
  <c r="D57" i="37"/>
  <c r="I249" i="2"/>
  <c r="AA177" i="2"/>
  <c r="I249" i="34"/>
  <c r="AA177" i="37"/>
  <c r="I249" i="36"/>
  <c r="AA177" i="34"/>
  <c r="I243" i="35"/>
  <c r="I243" i="36"/>
  <c r="U177" i="34"/>
  <c r="I243" i="2"/>
  <c r="U177" i="2"/>
  <c r="I243" i="34"/>
  <c r="U177" i="37"/>
  <c r="I235" i="35"/>
  <c r="I235" i="2"/>
  <c r="M177" i="2"/>
  <c r="I235" i="34"/>
  <c r="M177" i="37"/>
  <c r="I235" i="36"/>
  <c r="M177" i="34"/>
  <c r="U210" i="36"/>
  <c r="U205" i="36"/>
  <c r="J210" i="37"/>
  <c r="J205" i="37"/>
  <c r="I210" i="34"/>
  <c r="I205" i="34"/>
  <c r="K205" i="35"/>
  <c r="K210" i="35"/>
  <c r="D205" i="34"/>
  <c r="D210" i="34"/>
  <c r="H210" i="35"/>
  <c r="H205" i="35"/>
  <c r="H205" i="37"/>
  <c r="H210" i="37"/>
  <c r="E37" i="3"/>
  <c r="D70" i="3" s="1"/>
  <c r="E70" i="3" s="1"/>
  <c r="E59" i="10"/>
  <c r="T59" i="10" s="1"/>
  <c r="C37" i="17"/>
  <c r="R37" i="17" s="1"/>
  <c r="E47" i="10"/>
  <c r="T47" i="10" s="1"/>
  <c r="E36" i="26"/>
  <c r="C52" i="17"/>
  <c r="R52" i="17" s="1"/>
  <c r="E18" i="26"/>
  <c r="E41" i="10"/>
  <c r="T41" i="10" s="1"/>
  <c r="E26" i="26"/>
  <c r="E45" i="10"/>
  <c r="T45" i="10" s="1"/>
  <c r="AA31" i="26"/>
  <c r="G136" i="33"/>
  <c r="I372" i="33" s="1"/>
  <c r="H134" i="32"/>
  <c r="I411" i="32" s="1"/>
  <c r="H133" i="32"/>
  <c r="I410" i="32" s="1"/>
  <c r="E352" i="33"/>
  <c r="D351" i="31"/>
  <c r="D54" i="36"/>
  <c r="H54" i="36" s="1"/>
  <c r="AD182" i="36"/>
  <c r="H133" i="33"/>
  <c r="I410" i="33" s="1"/>
  <c r="AB34" i="10"/>
  <c r="G11" i="13"/>
  <c r="G12" i="13" s="1"/>
  <c r="G13" i="13" s="1"/>
  <c r="E37" i="33"/>
  <c r="E39" i="33"/>
  <c r="D72" i="33" s="1"/>
  <c r="I352" i="31"/>
  <c r="I6" i="37"/>
  <c r="AB215" i="37" s="1"/>
  <c r="H53" i="37"/>
  <c r="I213" i="37"/>
  <c r="E53" i="37"/>
  <c r="F42" i="37"/>
  <c r="E113" i="37" s="1"/>
  <c r="H59" i="36"/>
  <c r="I40" i="33"/>
  <c r="E41" i="3"/>
  <c r="D74" i="3" s="1"/>
  <c r="E74" i="3" s="1"/>
  <c r="H74" i="3" s="1"/>
  <c r="AI319" i="3" s="1"/>
  <c r="G133" i="31"/>
  <c r="I374" i="31" s="1"/>
  <c r="G133" i="32"/>
  <c r="I374" i="32" s="1"/>
  <c r="G134" i="32"/>
  <c r="I375" i="32" s="1"/>
  <c r="H136" i="33"/>
  <c r="I408" i="33" s="1"/>
  <c r="H135" i="33"/>
  <c r="I406" i="33" s="1"/>
  <c r="D37" i="32"/>
  <c r="E37" i="32" s="1"/>
  <c r="D70" i="32" s="1"/>
  <c r="G28" i="32"/>
  <c r="AD183" i="34"/>
  <c r="E203" i="34" s="1"/>
  <c r="D55" i="34"/>
  <c r="AB351" i="33"/>
  <c r="Z352" i="33"/>
  <c r="AB352" i="33"/>
  <c r="G135" i="32"/>
  <c r="G136" i="32"/>
  <c r="I372" i="32" s="1"/>
  <c r="G133" i="30"/>
  <c r="I374" i="30" s="1"/>
  <c r="AD186" i="34"/>
  <c r="K203" i="34" s="1"/>
  <c r="K204" i="34" s="1"/>
  <c r="D58" i="34"/>
  <c r="D89" i="33"/>
  <c r="Z352" i="31"/>
  <c r="C25" i="17"/>
  <c r="R25" i="17" s="1"/>
  <c r="G133" i="33"/>
  <c r="I374" i="33" s="1"/>
  <c r="G134" i="33"/>
  <c r="I375" i="33" s="1"/>
  <c r="D41" i="32"/>
  <c r="E41" i="32" s="1"/>
  <c r="D74" i="32" s="1"/>
  <c r="G32" i="32"/>
  <c r="D59" i="35"/>
  <c r="F45" i="35"/>
  <c r="E116" i="35" s="1"/>
  <c r="E41" i="30"/>
  <c r="D74" i="30" s="1"/>
  <c r="E39" i="3"/>
  <c r="D72" i="3" s="1"/>
  <c r="E72" i="3" s="1"/>
  <c r="F72" i="3" s="1"/>
  <c r="AI269" i="3" s="1"/>
  <c r="T277" i="3" s="1"/>
  <c r="N213" i="37"/>
  <c r="N213" i="36"/>
  <c r="N213" i="34"/>
  <c r="F32" i="30"/>
  <c r="F33" i="30" s="1"/>
  <c r="H62" i="2"/>
  <c r="I62" i="2" s="1"/>
  <c r="E54" i="34"/>
  <c r="I54" i="34" s="1"/>
  <c r="I366" i="31"/>
  <c r="I362" i="31"/>
  <c r="I363" i="31"/>
  <c r="I363" i="32"/>
  <c r="I366" i="32"/>
  <c r="I362" i="32"/>
  <c r="I362" i="33"/>
  <c r="I363" i="33"/>
  <c r="I366" i="33"/>
  <c r="AB23" i="17"/>
  <c r="I11" i="13"/>
  <c r="I12" i="16"/>
  <c r="E25" i="10"/>
  <c r="G25" i="10"/>
  <c r="D352" i="3"/>
  <c r="AB351" i="31"/>
  <c r="C27" i="17"/>
  <c r="R27" i="17" s="1"/>
  <c r="I366" i="3"/>
  <c r="I362" i="3"/>
  <c r="I363" i="3"/>
  <c r="I363" i="30"/>
  <c r="I362" i="30"/>
  <c r="I366" i="30"/>
  <c r="D42" i="31"/>
  <c r="F30" i="3"/>
  <c r="H476" i="3" s="1"/>
  <c r="H49" i="3"/>
  <c r="H13" i="3"/>
  <c r="J200" i="2"/>
  <c r="J201" i="2" s="1"/>
  <c r="G27" i="30"/>
  <c r="G31" i="30"/>
  <c r="G32" i="30"/>
  <c r="G29" i="30"/>
  <c r="G30" i="30"/>
  <c r="G28" i="30"/>
  <c r="G33" i="33"/>
  <c r="E38" i="3"/>
  <c r="D71" i="3" s="1"/>
  <c r="B16" i="10"/>
  <c r="B150" i="34"/>
  <c r="B150" i="36"/>
  <c r="B150" i="2"/>
  <c r="E54" i="26"/>
  <c r="C28" i="17"/>
  <c r="R28" i="17" s="1"/>
  <c r="E36" i="31"/>
  <c r="E37" i="31"/>
  <c r="D70" i="31" s="1"/>
  <c r="E40" i="31"/>
  <c r="D73" i="31" s="1"/>
  <c r="E41" i="31"/>
  <c r="D74" i="31" s="1"/>
  <c r="E38" i="31"/>
  <c r="D71" i="31" s="1"/>
  <c r="E39" i="31"/>
  <c r="D72" i="31" s="1"/>
  <c r="D62" i="37"/>
  <c r="AD190" i="37"/>
  <c r="D53" i="35"/>
  <c r="AD181" i="35"/>
  <c r="I7" i="2"/>
  <c r="F216" i="2" s="1"/>
  <c r="N214" i="2"/>
  <c r="J214" i="2"/>
  <c r="F41" i="35"/>
  <c r="E112" i="35" s="1"/>
  <c r="AD183" i="35"/>
  <c r="E203" i="35" s="1"/>
  <c r="D55" i="35"/>
  <c r="D60" i="35"/>
  <c r="AD189" i="35"/>
  <c r="F46" i="35"/>
  <c r="F46" i="37"/>
  <c r="D60" i="37"/>
  <c r="AD189" i="37"/>
  <c r="F33" i="33"/>
  <c r="J204" i="35"/>
  <c r="J206" i="35" s="1"/>
  <c r="D129" i="2"/>
  <c r="D62" i="36"/>
  <c r="AD190" i="36"/>
  <c r="E119" i="34"/>
  <c r="AD190" i="34"/>
  <c r="D62" i="34"/>
  <c r="K351" i="31"/>
  <c r="K352" i="31"/>
  <c r="R351" i="31"/>
  <c r="R352" i="31"/>
  <c r="J352" i="33"/>
  <c r="H59" i="37"/>
  <c r="E59" i="37"/>
  <c r="H54" i="37"/>
  <c r="G213" i="36"/>
  <c r="G214" i="2"/>
  <c r="D214" i="37"/>
  <c r="D213" i="37"/>
  <c r="E56" i="26"/>
  <c r="C30" i="17"/>
  <c r="R30" i="17" s="1"/>
  <c r="E52" i="26"/>
  <c r="C26" i="17"/>
  <c r="R26" i="17" s="1"/>
  <c r="C91" i="3"/>
  <c r="G29" i="3"/>
  <c r="I7" i="31"/>
  <c r="G28" i="31"/>
  <c r="G32" i="31"/>
  <c r="G31" i="31"/>
  <c r="G30" i="31"/>
  <c r="G29" i="31"/>
  <c r="G27" i="31"/>
  <c r="D478" i="3"/>
  <c r="H477" i="3"/>
  <c r="D477" i="3"/>
  <c r="AD190" i="35"/>
  <c r="D62" i="35"/>
  <c r="H69" i="2"/>
  <c r="I13" i="2"/>
  <c r="H72" i="13" s="1"/>
  <c r="AD183" i="37"/>
  <c r="E203" i="37" s="1"/>
  <c r="F41" i="37"/>
  <c r="D55" i="37"/>
  <c r="F44" i="37"/>
  <c r="E115" i="37" s="1"/>
  <c r="AD186" i="37"/>
  <c r="D58" i="37"/>
  <c r="D56" i="35"/>
  <c r="AD184" i="35"/>
  <c r="U203" i="35" s="1"/>
  <c r="D54" i="35"/>
  <c r="AD182" i="35"/>
  <c r="F40" i="35"/>
  <c r="E111" i="35" s="1"/>
  <c r="H60" i="34"/>
  <c r="E60" i="34"/>
  <c r="R352" i="30"/>
  <c r="F43" i="36"/>
  <c r="D57" i="36"/>
  <c r="AD185" i="36"/>
  <c r="H203" i="36" s="1"/>
  <c r="D57" i="34"/>
  <c r="AD185" i="34"/>
  <c r="H203" i="34" s="1"/>
  <c r="F351" i="31"/>
  <c r="F352" i="31"/>
  <c r="I351" i="33"/>
  <c r="I352" i="33"/>
  <c r="G351" i="33"/>
  <c r="G352" i="33"/>
  <c r="K351" i="33"/>
  <c r="K352" i="33"/>
  <c r="R352" i="33"/>
  <c r="R351" i="33"/>
  <c r="D42" i="30"/>
  <c r="I214" i="2"/>
  <c r="F39" i="35"/>
  <c r="E110" i="35" s="1"/>
  <c r="D352" i="33"/>
  <c r="H351" i="31"/>
  <c r="E351" i="31"/>
  <c r="E54" i="2"/>
  <c r="H54" i="2"/>
  <c r="H56" i="2"/>
  <c r="E56" i="2"/>
  <c r="I370" i="32"/>
  <c r="D87" i="33"/>
  <c r="D90" i="33"/>
  <c r="I7" i="34"/>
  <c r="F216" i="34" s="1"/>
  <c r="N214" i="34"/>
  <c r="I214" i="34"/>
  <c r="H37" i="30"/>
  <c r="H39" i="30"/>
  <c r="H41" i="30"/>
  <c r="H36" i="30"/>
  <c r="H40" i="30"/>
  <c r="J214" i="35"/>
  <c r="I214" i="35"/>
  <c r="D214" i="35"/>
  <c r="I7" i="35"/>
  <c r="Y216" i="35" s="1"/>
  <c r="N214" i="35"/>
  <c r="H39" i="32"/>
  <c r="H40" i="32"/>
  <c r="H38" i="32"/>
  <c r="C34" i="17"/>
  <c r="R34" i="17" s="1"/>
  <c r="E11" i="26"/>
  <c r="E36" i="10"/>
  <c r="T36" i="10" s="1"/>
  <c r="E29" i="26"/>
  <c r="C56" i="17"/>
  <c r="R56" i="17" s="1"/>
  <c r="B56" i="10"/>
  <c r="B40" i="26"/>
  <c r="E38" i="26"/>
  <c r="E54" i="10"/>
  <c r="T54" i="10" s="1"/>
  <c r="W37" i="10"/>
  <c r="AE37" i="10"/>
  <c r="AI37" i="10"/>
  <c r="W41" i="10"/>
  <c r="AI41" i="10"/>
  <c r="AE41" i="10"/>
  <c r="W45" i="10"/>
  <c r="AI45" i="10"/>
  <c r="AE45" i="10"/>
  <c r="W49" i="10"/>
  <c r="AE49" i="10"/>
  <c r="AI49" i="10"/>
  <c r="W53" i="10"/>
  <c r="AI53" i="10"/>
  <c r="AE53" i="10"/>
  <c r="W57" i="10"/>
  <c r="AI57" i="10"/>
  <c r="AE57" i="10"/>
  <c r="W61" i="10"/>
  <c r="AE61" i="10"/>
  <c r="AI61" i="10"/>
  <c r="AE35" i="17"/>
  <c r="W35" i="17"/>
  <c r="AI35" i="17"/>
  <c r="AI39" i="17"/>
  <c r="W39" i="17"/>
  <c r="AE39" i="17"/>
  <c r="W43" i="17"/>
  <c r="AE43" i="17"/>
  <c r="AI43" i="17"/>
  <c r="W52" i="17"/>
  <c r="AE52" i="17"/>
  <c r="AI52" i="17"/>
  <c r="AE57" i="17"/>
  <c r="W57" i="17"/>
  <c r="AI57" i="17"/>
  <c r="AE38" i="10"/>
  <c r="AI38" i="10"/>
  <c r="W38" i="10"/>
  <c r="W42" i="10"/>
  <c r="AE42" i="10"/>
  <c r="AI42" i="10"/>
  <c r="W46" i="10"/>
  <c r="AE46" i="10"/>
  <c r="AI46" i="10"/>
  <c r="W50" i="10"/>
  <c r="AE50" i="10"/>
  <c r="AI50" i="10"/>
  <c r="AE54" i="10"/>
  <c r="W54" i="10"/>
  <c r="AI54" i="10"/>
  <c r="AI58" i="10"/>
  <c r="W58" i="10"/>
  <c r="AE58" i="10"/>
  <c r="W62" i="10"/>
  <c r="AE62" i="10"/>
  <c r="AI62" i="10"/>
  <c r="W36" i="17"/>
  <c r="AE36" i="17"/>
  <c r="AI36" i="17"/>
  <c r="W40" i="17"/>
  <c r="AI40" i="17"/>
  <c r="AE40" i="17"/>
  <c r="W44" i="17"/>
  <c r="AE44" i="17"/>
  <c r="AI44" i="17"/>
  <c r="AI53" i="17"/>
  <c r="W53" i="17"/>
  <c r="AE53" i="17"/>
  <c r="AE58" i="17"/>
  <c r="W58" i="17"/>
  <c r="AI58" i="17"/>
  <c r="W39" i="10"/>
  <c r="AE39" i="10"/>
  <c r="AI39" i="10"/>
  <c r="W43" i="10"/>
  <c r="P43" i="10"/>
  <c r="AA43" i="10"/>
  <c r="AE43" i="10"/>
  <c r="AI43" i="10"/>
  <c r="W47" i="10"/>
  <c r="AE47" i="10"/>
  <c r="AI47" i="10"/>
  <c r="AE51" i="10"/>
  <c r="AI51" i="10"/>
  <c r="W51" i="10"/>
  <c r="P51" i="10"/>
  <c r="AA51" i="10"/>
  <c r="W55" i="10"/>
  <c r="AI55" i="10"/>
  <c r="AE55" i="10"/>
  <c r="W59" i="10"/>
  <c r="AE59" i="10"/>
  <c r="AI59" i="10"/>
  <c r="AE63" i="10"/>
  <c r="W63" i="10"/>
  <c r="AI63" i="10"/>
  <c r="W37" i="17"/>
  <c r="AE37" i="17"/>
  <c r="AI37" i="17"/>
  <c r="W41" i="17"/>
  <c r="AE41" i="17"/>
  <c r="AI41" i="17"/>
  <c r="W50" i="17"/>
  <c r="AE50" i="17"/>
  <c r="AI50" i="17"/>
  <c r="W54" i="17"/>
  <c r="AI54" i="17"/>
  <c r="AE54" i="17"/>
  <c r="W36" i="10"/>
  <c r="AE36" i="10"/>
  <c r="AI36" i="10"/>
  <c r="W40" i="10"/>
  <c r="AI40" i="10"/>
  <c r="AE40" i="10"/>
  <c r="W44" i="10"/>
  <c r="P44" i="10"/>
  <c r="AE44" i="10"/>
  <c r="AA44" i="10"/>
  <c r="AI44" i="10"/>
  <c r="W48" i="10"/>
  <c r="AE48" i="10"/>
  <c r="AI48" i="10"/>
  <c r="AE52" i="10"/>
  <c r="W52" i="10"/>
  <c r="AI52" i="10"/>
  <c r="W56" i="10"/>
  <c r="AE56" i="10"/>
  <c r="AI56" i="10"/>
  <c r="W60" i="10"/>
  <c r="AE60" i="10"/>
  <c r="AI60" i="10"/>
  <c r="W34" i="17"/>
  <c r="AE34" i="17"/>
  <c r="AI34" i="17"/>
  <c r="W38" i="17"/>
  <c r="AE38" i="17"/>
  <c r="AI38" i="17"/>
  <c r="W42" i="17"/>
  <c r="AE42" i="17"/>
  <c r="AI42" i="17"/>
  <c r="W51" i="17"/>
  <c r="AE51" i="17"/>
  <c r="AI51" i="17"/>
  <c r="W56" i="17"/>
  <c r="AI56" i="17"/>
  <c r="AE56" i="17"/>
  <c r="L312" i="3" l="1"/>
  <c r="G312" i="3"/>
  <c r="AH264" i="32"/>
  <c r="AD312" i="3"/>
  <c r="D264" i="3"/>
  <c r="K312" i="33"/>
  <c r="N312" i="3"/>
  <c r="U312" i="3"/>
  <c r="AC312" i="31"/>
  <c r="AG264" i="3"/>
  <c r="AC264" i="32"/>
  <c r="E40" i="3"/>
  <c r="D73" i="3" s="1"/>
  <c r="K211" i="34"/>
  <c r="Z264" i="30"/>
  <c r="Z280" i="30" s="1"/>
  <c r="F204" i="37"/>
  <c r="M203" i="2"/>
  <c r="L203" i="2"/>
  <c r="I57" i="2"/>
  <c r="E57" i="35"/>
  <c r="I57" i="35" s="1"/>
  <c r="E113" i="2"/>
  <c r="D143" i="2" s="1"/>
  <c r="K10" i="56"/>
  <c r="E112" i="2"/>
  <c r="H142" i="2" s="1"/>
  <c r="K9" i="56"/>
  <c r="E111" i="2"/>
  <c r="D141" i="2" s="1"/>
  <c r="K8" i="56"/>
  <c r="E118" i="2"/>
  <c r="H148" i="2" s="1"/>
  <c r="K14" i="56"/>
  <c r="E110" i="2"/>
  <c r="D140" i="2" s="1"/>
  <c r="K7" i="56"/>
  <c r="E115" i="2"/>
  <c r="K12" i="56"/>
  <c r="D149" i="2"/>
  <c r="H60" i="36"/>
  <c r="E114" i="2"/>
  <c r="K11" i="56"/>
  <c r="E116" i="2"/>
  <c r="D146" i="2" s="1"/>
  <c r="K13" i="56"/>
  <c r="E210" i="37"/>
  <c r="I53" i="2"/>
  <c r="H206" i="35"/>
  <c r="O206" i="2"/>
  <c r="O206" i="35"/>
  <c r="I53" i="34"/>
  <c r="H36" i="33"/>
  <c r="I36" i="33" s="1"/>
  <c r="G30" i="3"/>
  <c r="D213" i="2"/>
  <c r="G213" i="35"/>
  <c r="L226" i="35" s="1" a="1"/>
  <c r="L239" i="35" s="1"/>
  <c r="N214" i="37"/>
  <c r="C90" i="3"/>
  <c r="I7" i="3"/>
  <c r="G27" i="3"/>
  <c r="G28" i="3"/>
  <c r="C89" i="3"/>
  <c r="D213" i="34"/>
  <c r="G213" i="34"/>
  <c r="G213" i="37"/>
  <c r="I7" i="37"/>
  <c r="F216" i="37" s="1"/>
  <c r="H474" i="3"/>
  <c r="G135" i="3"/>
  <c r="I370" i="3" s="1"/>
  <c r="G135" i="30"/>
  <c r="I370" i="30" s="1"/>
  <c r="C88" i="3"/>
  <c r="D142" i="2"/>
  <c r="D203" i="2"/>
  <c r="D204" i="2" s="1"/>
  <c r="D207" i="2" s="1"/>
  <c r="C93" i="3"/>
  <c r="J312" i="33"/>
  <c r="L312" i="33"/>
  <c r="W312" i="33"/>
  <c r="U312" i="33"/>
  <c r="U328" i="33" s="1"/>
  <c r="R312" i="32"/>
  <c r="R327" i="32" s="1"/>
  <c r="T312" i="31"/>
  <c r="L264" i="30"/>
  <c r="L279" i="30" s="1"/>
  <c r="AC264" i="30"/>
  <c r="AC280" i="30" s="1"/>
  <c r="J211" i="36"/>
  <c r="I56" i="34"/>
  <c r="F209" i="37"/>
  <c r="F211" i="37" s="1"/>
  <c r="F205" i="37"/>
  <c r="F206" i="37" s="1"/>
  <c r="G214" i="35"/>
  <c r="G31" i="3"/>
  <c r="C85" i="3"/>
  <c r="D214" i="2"/>
  <c r="R226" i="2" s="1" a="1"/>
  <c r="N312" i="33"/>
  <c r="P312" i="33"/>
  <c r="S312" i="33"/>
  <c r="Q312" i="33"/>
  <c r="AE312" i="31"/>
  <c r="F264" i="30"/>
  <c r="I264" i="30"/>
  <c r="G214" i="34"/>
  <c r="I351" i="3"/>
  <c r="I214" i="37"/>
  <c r="D475" i="3"/>
  <c r="G32" i="3"/>
  <c r="C87" i="3"/>
  <c r="G213" i="2"/>
  <c r="L226" i="2" s="1" a="1"/>
  <c r="D213" i="36"/>
  <c r="L226" i="36" s="1" a="1"/>
  <c r="L226" i="36" s="1"/>
  <c r="G214" i="37"/>
  <c r="F351" i="3"/>
  <c r="D474" i="3"/>
  <c r="C86" i="3"/>
  <c r="Z312" i="33"/>
  <c r="AB312" i="33"/>
  <c r="G312" i="33"/>
  <c r="G327" i="33" s="1"/>
  <c r="E312" i="33"/>
  <c r="Q312" i="32"/>
  <c r="W264" i="30"/>
  <c r="D214" i="34"/>
  <c r="J211" i="35"/>
  <c r="D211" i="35"/>
  <c r="G76" i="2"/>
  <c r="M205" i="36"/>
  <c r="M210" i="36"/>
  <c r="O202" i="2"/>
  <c r="E60" i="2"/>
  <c r="I60" i="2" s="1"/>
  <c r="F209" i="35"/>
  <c r="F211" i="35" s="1"/>
  <c r="M209" i="36"/>
  <c r="E209" i="37"/>
  <c r="K206" i="34"/>
  <c r="F205" i="35"/>
  <c r="E209" i="35"/>
  <c r="E210" i="35"/>
  <c r="U203" i="37"/>
  <c r="U204" i="37" s="1"/>
  <c r="D206" i="34"/>
  <c r="S200" i="2"/>
  <c r="S201" i="2" s="1"/>
  <c r="H141" i="2"/>
  <c r="I58" i="2"/>
  <c r="I211" i="35"/>
  <c r="R202" i="2"/>
  <c r="O211" i="35"/>
  <c r="M211" i="35"/>
  <c r="D148" i="2"/>
  <c r="H143" i="2"/>
  <c r="H58" i="36"/>
  <c r="I58" i="36" s="1"/>
  <c r="J211" i="34"/>
  <c r="R264" i="32"/>
  <c r="Q264" i="32"/>
  <c r="J214" i="34"/>
  <c r="D63" i="2"/>
  <c r="R352" i="3"/>
  <c r="F33" i="31"/>
  <c r="H55" i="2"/>
  <c r="I55" i="2" s="1"/>
  <c r="R312" i="33"/>
  <c r="R327" i="33" s="1"/>
  <c r="T312" i="33"/>
  <c r="O312" i="33"/>
  <c r="M312" i="33"/>
  <c r="S312" i="32"/>
  <c r="O312" i="31"/>
  <c r="Q264" i="3"/>
  <c r="V264" i="32"/>
  <c r="M264" i="32"/>
  <c r="E206" i="2"/>
  <c r="H30" i="17"/>
  <c r="W30" i="17" s="1"/>
  <c r="H38" i="30"/>
  <c r="H42" i="30" s="1"/>
  <c r="F352" i="30"/>
  <c r="G74" i="3"/>
  <c r="AI295" i="3" s="1"/>
  <c r="O202" i="36"/>
  <c r="G134" i="3"/>
  <c r="I375" i="3" s="1"/>
  <c r="E117" i="2"/>
  <c r="H147" i="2" s="1"/>
  <c r="AD312" i="33"/>
  <c r="AF312" i="33"/>
  <c r="AG312" i="33"/>
  <c r="D312" i="33"/>
  <c r="D312" i="32"/>
  <c r="D328" i="32" s="1"/>
  <c r="AF264" i="3"/>
  <c r="AF280" i="3" s="1"/>
  <c r="P264" i="32"/>
  <c r="S264" i="32"/>
  <c r="I53" i="36"/>
  <c r="M312" i="31"/>
  <c r="P264" i="3"/>
  <c r="D288" i="33"/>
  <c r="AE264" i="32"/>
  <c r="S204" i="34"/>
  <c r="F49" i="2"/>
  <c r="H146" i="2"/>
  <c r="G133" i="3"/>
  <c r="I374" i="3" s="1"/>
  <c r="AH312" i="33"/>
  <c r="AE312" i="33"/>
  <c r="AC312" i="33"/>
  <c r="AC327" i="33" s="1"/>
  <c r="P312" i="32"/>
  <c r="R312" i="31"/>
  <c r="R264" i="3"/>
  <c r="R280" i="3" s="1"/>
  <c r="T264" i="32"/>
  <c r="O264" i="32"/>
  <c r="E211" i="34"/>
  <c r="E36" i="32"/>
  <c r="D69" i="32" s="1"/>
  <c r="F312" i="33"/>
  <c r="F327" i="33" s="1"/>
  <c r="H312" i="33"/>
  <c r="AA312" i="33"/>
  <c r="AF312" i="32"/>
  <c r="AH312" i="31"/>
  <c r="AH264" i="3"/>
  <c r="AH279" i="3" s="1"/>
  <c r="AF264" i="32"/>
  <c r="AG264" i="32"/>
  <c r="AG280" i="32" s="1"/>
  <c r="O211" i="34"/>
  <c r="O202" i="34"/>
  <c r="E71" i="3"/>
  <c r="G71" i="3" s="1"/>
  <c r="AI292" i="3" s="1"/>
  <c r="G136" i="31"/>
  <c r="I372" i="31" s="1"/>
  <c r="AC279" i="30"/>
  <c r="I211" i="34"/>
  <c r="T312" i="32"/>
  <c r="F312" i="32"/>
  <c r="V312" i="32"/>
  <c r="AE312" i="32"/>
  <c r="O312" i="32"/>
  <c r="AC312" i="32"/>
  <c r="M312" i="32"/>
  <c r="F312" i="31"/>
  <c r="F328" i="31" s="1"/>
  <c r="V312" i="31"/>
  <c r="H312" i="31"/>
  <c r="X312" i="31"/>
  <c r="X328" i="31" s="1"/>
  <c r="AA312" i="31"/>
  <c r="K312" i="31"/>
  <c r="Y312" i="31"/>
  <c r="Y327" i="31" s="1"/>
  <c r="I312" i="31"/>
  <c r="I328" i="31" s="1"/>
  <c r="T264" i="30"/>
  <c r="J264" i="30"/>
  <c r="AD264" i="30"/>
  <c r="O264" i="30"/>
  <c r="Y264" i="30"/>
  <c r="Y279" i="30" s="1"/>
  <c r="E264" i="30"/>
  <c r="E280" i="30" s="1"/>
  <c r="T264" i="3"/>
  <c r="T279" i="3" s="1"/>
  <c r="F264" i="3"/>
  <c r="F280" i="3" s="1"/>
  <c r="V264" i="3"/>
  <c r="AE264" i="3"/>
  <c r="O264" i="3"/>
  <c r="AC264" i="3"/>
  <c r="AC279" i="3" s="1"/>
  <c r="M264" i="3"/>
  <c r="I56" i="37"/>
  <c r="I206" i="36"/>
  <c r="H26" i="17"/>
  <c r="AI26" i="17" s="1"/>
  <c r="H29" i="17"/>
  <c r="AI29" i="17" s="1"/>
  <c r="E73" i="3"/>
  <c r="F73" i="3" s="1"/>
  <c r="AI270" i="3" s="1"/>
  <c r="N211" i="36"/>
  <c r="H211" i="35"/>
  <c r="D206" i="36"/>
  <c r="G203" i="34"/>
  <c r="G204" i="34" s="1"/>
  <c r="T200" i="2"/>
  <c r="T201" i="2" s="1"/>
  <c r="L312" i="32"/>
  <c r="AB312" i="32"/>
  <c r="N312" i="32"/>
  <c r="AD312" i="32"/>
  <c r="W312" i="32"/>
  <c r="G312" i="32"/>
  <c r="U312" i="32"/>
  <c r="E312" i="32"/>
  <c r="N312" i="31"/>
  <c r="AD312" i="31"/>
  <c r="P312" i="31"/>
  <c r="AF312" i="31"/>
  <c r="S312" i="31"/>
  <c r="AG312" i="31"/>
  <c r="Q312" i="31"/>
  <c r="D312" i="31"/>
  <c r="D327" i="31" s="1"/>
  <c r="H264" i="30"/>
  <c r="AB264" i="30"/>
  <c r="V264" i="30"/>
  <c r="AA264" i="30"/>
  <c r="AA279" i="30" s="1"/>
  <c r="G264" i="30"/>
  <c r="G280" i="30" s="1"/>
  <c r="M264" i="30"/>
  <c r="L264" i="3"/>
  <c r="L280" i="3" s="1"/>
  <c r="AB264" i="3"/>
  <c r="N264" i="3"/>
  <c r="AD264" i="3"/>
  <c r="W264" i="3"/>
  <c r="G264" i="3"/>
  <c r="G279" i="3" s="1"/>
  <c r="U264" i="3"/>
  <c r="E264" i="3"/>
  <c r="H28" i="17"/>
  <c r="AI28" i="17" s="1"/>
  <c r="E211" i="36"/>
  <c r="O202" i="37"/>
  <c r="O202" i="35"/>
  <c r="L204" i="2"/>
  <c r="L200" i="2"/>
  <c r="L201" i="2" s="1"/>
  <c r="H312" i="32"/>
  <c r="X312" i="32"/>
  <c r="X328" i="32" s="1"/>
  <c r="J312" i="32"/>
  <c r="Z312" i="32"/>
  <c r="AA312" i="32"/>
  <c r="K312" i="32"/>
  <c r="Y312" i="32"/>
  <c r="Y328" i="32" s="1"/>
  <c r="J312" i="31"/>
  <c r="Z312" i="31"/>
  <c r="L312" i="31"/>
  <c r="AB312" i="31"/>
  <c r="W312" i="31"/>
  <c r="G312" i="31"/>
  <c r="G327" i="31" s="1"/>
  <c r="U312" i="31"/>
  <c r="U328" i="31" s="1"/>
  <c r="X264" i="30"/>
  <c r="X280" i="30" s="1"/>
  <c r="N264" i="30"/>
  <c r="AE264" i="30"/>
  <c r="K264" i="30"/>
  <c r="U264" i="30"/>
  <c r="H264" i="3"/>
  <c r="X264" i="3"/>
  <c r="X280" i="3" s="1"/>
  <c r="J264" i="3"/>
  <c r="J280" i="3" s="1"/>
  <c r="Z264" i="3"/>
  <c r="Z280" i="3" s="1"/>
  <c r="AA264" i="3"/>
  <c r="AA279" i="3" s="1"/>
  <c r="K264" i="3"/>
  <c r="Y264" i="3"/>
  <c r="Y279" i="3" s="1"/>
  <c r="H211" i="36"/>
  <c r="H25" i="17"/>
  <c r="AE25" i="17" s="1"/>
  <c r="H31" i="17"/>
  <c r="AE31" i="17" s="1"/>
  <c r="O206" i="34"/>
  <c r="H11" i="3"/>
  <c r="D42" i="3"/>
  <c r="D17" i="17"/>
  <c r="Z202" i="2"/>
  <c r="V202" i="2"/>
  <c r="D211" i="34"/>
  <c r="N211" i="34"/>
  <c r="N211" i="35"/>
  <c r="H206" i="2"/>
  <c r="K211" i="36"/>
  <c r="K211" i="35"/>
  <c r="AI27" i="17"/>
  <c r="W27" i="17"/>
  <c r="AE27" i="17"/>
  <c r="H288" i="32"/>
  <c r="O206" i="36"/>
  <c r="F288" i="32"/>
  <c r="E55" i="36"/>
  <c r="I55" i="36" s="1"/>
  <c r="D42" i="33"/>
  <c r="J352" i="3"/>
  <c r="Z351" i="3"/>
  <c r="E41" i="33"/>
  <c r="D74" i="33" s="1"/>
  <c r="AG288" i="33"/>
  <c r="AG303" i="33" s="1"/>
  <c r="I288" i="32"/>
  <c r="AB352" i="3"/>
  <c r="D327" i="32"/>
  <c r="G352" i="3"/>
  <c r="E54" i="36"/>
  <c r="I54" i="36" s="1"/>
  <c r="E351" i="3"/>
  <c r="P264" i="30"/>
  <c r="AF264" i="30"/>
  <c r="AF279" i="30" s="1"/>
  <c r="R264" i="30"/>
  <c r="AH264" i="30"/>
  <c r="AH279" i="30" s="1"/>
  <c r="S264" i="30"/>
  <c r="AG264" i="30"/>
  <c r="Q264" i="30"/>
  <c r="AH288" i="33"/>
  <c r="S288" i="32"/>
  <c r="N211" i="2"/>
  <c r="H32" i="17"/>
  <c r="F205" i="2"/>
  <c r="F210" i="2"/>
  <c r="F211" i="2" s="1"/>
  <c r="R328" i="32"/>
  <c r="I7" i="36"/>
  <c r="Q200" i="2"/>
  <c r="Q201" i="2" s="1"/>
  <c r="U203" i="36"/>
  <c r="U204" i="36" s="1"/>
  <c r="H312" i="3"/>
  <c r="X312" i="3"/>
  <c r="X327" i="3" s="1"/>
  <c r="J312" i="3"/>
  <c r="Z312" i="3"/>
  <c r="Z327" i="3" s="1"/>
  <c r="AA312" i="3"/>
  <c r="K312" i="3"/>
  <c r="K328" i="3" s="1"/>
  <c r="Y312" i="3"/>
  <c r="Y327" i="3" s="1"/>
  <c r="I312" i="3"/>
  <c r="I328" i="3" s="1"/>
  <c r="AD288" i="32"/>
  <c r="AD303" i="32" s="1"/>
  <c r="AF288" i="32"/>
  <c r="Q288" i="32"/>
  <c r="H40" i="3"/>
  <c r="AB202" i="2"/>
  <c r="D214" i="36"/>
  <c r="G214" i="36"/>
  <c r="N214" i="36"/>
  <c r="K206" i="2"/>
  <c r="T312" i="3"/>
  <c r="F312" i="3"/>
  <c r="F328" i="3" s="1"/>
  <c r="V312" i="3"/>
  <c r="AE312" i="3"/>
  <c r="O312" i="3"/>
  <c r="AC312" i="3"/>
  <c r="AC327" i="3" s="1"/>
  <c r="M312" i="3"/>
  <c r="L264" i="32"/>
  <c r="L279" i="32" s="1"/>
  <c r="AB264" i="32"/>
  <c r="N264" i="32"/>
  <c r="AD264" i="32"/>
  <c r="W264" i="32"/>
  <c r="G264" i="32"/>
  <c r="G279" i="32" s="1"/>
  <c r="U264" i="32"/>
  <c r="E264" i="32"/>
  <c r="V288" i="32"/>
  <c r="X288" i="32"/>
  <c r="X303" i="32" s="1"/>
  <c r="AG288" i="32"/>
  <c r="AG304" i="32" s="1"/>
  <c r="F205" i="34"/>
  <c r="F210" i="34"/>
  <c r="F209" i="34"/>
  <c r="L280" i="30"/>
  <c r="K351" i="3"/>
  <c r="Z279" i="30"/>
  <c r="K352" i="30"/>
  <c r="J214" i="36"/>
  <c r="P312" i="3"/>
  <c r="AF312" i="3"/>
  <c r="R312" i="3"/>
  <c r="R327" i="3" s="1"/>
  <c r="AH312" i="3"/>
  <c r="S312" i="3"/>
  <c r="AG312" i="3"/>
  <c r="Q312" i="3"/>
  <c r="AF288" i="33"/>
  <c r="H264" i="32"/>
  <c r="X264" i="32"/>
  <c r="X279" i="32" s="1"/>
  <c r="J264" i="32"/>
  <c r="J280" i="32" s="1"/>
  <c r="Z264" i="32"/>
  <c r="Z280" i="32" s="1"/>
  <c r="AA264" i="32"/>
  <c r="AA280" i="32" s="1"/>
  <c r="K264" i="32"/>
  <c r="Y264" i="32"/>
  <c r="Y280" i="32" s="1"/>
  <c r="N288" i="32"/>
  <c r="P288" i="32"/>
  <c r="P303" i="32" s="1"/>
  <c r="K288" i="32"/>
  <c r="D288" i="32"/>
  <c r="D304" i="32" s="1"/>
  <c r="F204" i="34"/>
  <c r="F200" i="2"/>
  <c r="F204" i="2"/>
  <c r="N202" i="2"/>
  <c r="P288" i="33"/>
  <c r="P304" i="33" s="1"/>
  <c r="R288" i="33"/>
  <c r="R303" i="33" s="1"/>
  <c r="S288" i="33"/>
  <c r="Q288" i="33"/>
  <c r="H73" i="3"/>
  <c r="AI318" i="3" s="1"/>
  <c r="AE325" i="3" s="1"/>
  <c r="AE327" i="3" s="1"/>
  <c r="G72" i="3"/>
  <c r="AI293" i="3" s="1"/>
  <c r="K301" i="3" s="1"/>
  <c r="H288" i="33"/>
  <c r="X288" i="33"/>
  <c r="J288" i="33"/>
  <c r="Z288" i="33"/>
  <c r="Z304" i="33" s="1"/>
  <c r="AA288" i="33"/>
  <c r="AA304" i="33" s="1"/>
  <c r="K288" i="33"/>
  <c r="Y288" i="33"/>
  <c r="Y303" i="33" s="1"/>
  <c r="I288" i="33"/>
  <c r="AA288" i="32"/>
  <c r="AA303" i="32" s="1"/>
  <c r="Y288" i="32"/>
  <c r="Y303" i="32" s="1"/>
  <c r="I56" i="36"/>
  <c r="G73" i="3"/>
  <c r="AI294" i="3" s="1"/>
  <c r="I301" i="3" s="1"/>
  <c r="I74" i="3"/>
  <c r="AI343" i="3" s="1"/>
  <c r="F211" i="36"/>
  <c r="D211" i="36"/>
  <c r="O211" i="36"/>
  <c r="E206" i="36"/>
  <c r="I211" i="36"/>
  <c r="K206" i="36"/>
  <c r="O217" i="2"/>
  <c r="O215" i="36"/>
  <c r="S215" i="36"/>
  <c r="AB215" i="36"/>
  <c r="R215" i="36"/>
  <c r="V215" i="36"/>
  <c r="I38" i="33"/>
  <c r="H38" i="3"/>
  <c r="D87" i="3" s="1"/>
  <c r="E87" i="3" s="1"/>
  <c r="H41" i="3"/>
  <c r="I41" i="3" s="1"/>
  <c r="F74" i="3"/>
  <c r="AI271" i="3" s="1"/>
  <c r="N301" i="3"/>
  <c r="I277" i="3"/>
  <c r="I279" i="3" s="1"/>
  <c r="U277" i="3"/>
  <c r="L288" i="33"/>
  <c r="L303" i="33" s="1"/>
  <c r="T288" i="33"/>
  <c r="AB288" i="33"/>
  <c r="F288" i="33"/>
  <c r="F303" i="33" s="1"/>
  <c r="N288" i="33"/>
  <c r="V288" i="33"/>
  <c r="AD288" i="33"/>
  <c r="AD304" i="33" s="1"/>
  <c r="AE288" i="33"/>
  <c r="W288" i="33"/>
  <c r="O288" i="33"/>
  <c r="G288" i="33"/>
  <c r="G304" i="33" s="1"/>
  <c r="AC288" i="33"/>
  <c r="AC303" i="33" s="1"/>
  <c r="U288" i="33"/>
  <c r="M288" i="33"/>
  <c r="J288" i="32"/>
  <c r="R288" i="32"/>
  <c r="R304" i="32" s="1"/>
  <c r="Z288" i="32"/>
  <c r="Z303" i="32" s="1"/>
  <c r="AH288" i="32"/>
  <c r="L288" i="32"/>
  <c r="L304" i="32" s="1"/>
  <c r="T288" i="32"/>
  <c r="AB288" i="32"/>
  <c r="AE288" i="32"/>
  <c r="W288" i="32"/>
  <c r="O288" i="32"/>
  <c r="G288" i="32"/>
  <c r="G303" i="32" s="1"/>
  <c r="AC288" i="32"/>
  <c r="AC303" i="32" s="1"/>
  <c r="U288" i="32"/>
  <c r="M288" i="32"/>
  <c r="D312" i="30"/>
  <c r="E312" i="30"/>
  <c r="E328" i="30" s="1"/>
  <c r="I312" i="30"/>
  <c r="I328" i="30" s="1"/>
  <c r="M312" i="30"/>
  <c r="Q312" i="30"/>
  <c r="U312" i="30"/>
  <c r="U328" i="30" s="1"/>
  <c r="Y312" i="30"/>
  <c r="AC312" i="30"/>
  <c r="AC327" i="30" s="1"/>
  <c r="AG312" i="30"/>
  <c r="G312" i="30"/>
  <c r="G328" i="30" s="1"/>
  <c r="K312" i="30"/>
  <c r="K327" i="30" s="1"/>
  <c r="O312" i="30"/>
  <c r="S312" i="30"/>
  <c r="W312" i="30"/>
  <c r="AA312" i="30"/>
  <c r="AE312" i="30"/>
  <c r="AH312" i="30"/>
  <c r="AD312" i="30"/>
  <c r="Z312" i="30"/>
  <c r="Z328" i="30" s="1"/>
  <c r="V312" i="30"/>
  <c r="R312" i="30"/>
  <c r="R327" i="30" s="1"/>
  <c r="N312" i="30"/>
  <c r="J312" i="30"/>
  <c r="F312" i="30"/>
  <c r="F328" i="30" s="1"/>
  <c r="AF312" i="30"/>
  <c r="AB312" i="30"/>
  <c r="X312" i="30"/>
  <c r="T312" i="30"/>
  <c r="P312" i="30"/>
  <c r="L312" i="30"/>
  <c r="H312" i="30"/>
  <c r="D288" i="31"/>
  <c r="D304" i="31" s="1"/>
  <c r="E288" i="31"/>
  <c r="I288" i="31"/>
  <c r="M288" i="31"/>
  <c r="Q288" i="31"/>
  <c r="U288" i="31"/>
  <c r="Y288" i="31"/>
  <c r="AC288" i="31"/>
  <c r="AC303" i="31" s="1"/>
  <c r="AG288" i="31"/>
  <c r="AG303" i="31" s="1"/>
  <c r="G288" i="31"/>
  <c r="K288" i="31"/>
  <c r="O288" i="31"/>
  <c r="S288" i="31"/>
  <c r="W288" i="31"/>
  <c r="AA288" i="31"/>
  <c r="AA303" i="31" s="1"/>
  <c r="AE288" i="31"/>
  <c r="AH288" i="31"/>
  <c r="AD288" i="31"/>
  <c r="Z288" i="31"/>
  <c r="Z304" i="31" s="1"/>
  <c r="V288" i="31"/>
  <c r="R288" i="31"/>
  <c r="R304" i="31" s="1"/>
  <c r="N288" i="31"/>
  <c r="J288" i="31"/>
  <c r="F288" i="31"/>
  <c r="F303" i="31" s="1"/>
  <c r="AF288" i="31"/>
  <c r="AB288" i="31"/>
  <c r="X288" i="31"/>
  <c r="T288" i="31"/>
  <c r="P288" i="31"/>
  <c r="P304" i="31" s="1"/>
  <c r="L288" i="31"/>
  <c r="L303" i="31" s="1"/>
  <c r="H288" i="31"/>
  <c r="D264" i="33"/>
  <c r="E264" i="33"/>
  <c r="I264" i="33"/>
  <c r="M264" i="33"/>
  <c r="Q264" i="33"/>
  <c r="U264" i="33"/>
  <c r="Y264" i="33"/>
  <c r="AC264" i="33"/>
  <c r="AC279" i="33" s="1"/>
  <c r="AG264" i="33"/>
  <c r="G264" i="33"/>
  <c r="K264" i="33"/>
  <c r="O264" i="33"/>
  <c r="S264" i="33"/>
  <c r="W264" i="33"/>
  <c r="AA264" i="33"/>
  <c r="AE264" i="33"/>
  <c r="AF264" i="33"/>
  <c r="AB264" i="33"/>
  <c r="X264" i="33"/>
  <c r="T264" i="33"/>
  <c r="P264" i="33"/>
  <c r="P279" i="33" s="1"/>
  <c r="L264" i="33"/>
  <c r="H264" i="33"/>
  <c r="AH264" i="33"/>
  <c r="AD264" i="33"/>
  <c r="Z264" i="33"/>
  <c r="Z279" i="33" s="1"/>
  <c r="V264" i="33"/>
  <c r="R264" i="33"/>
  <c r="N264" i="33"/>
  <c r="N279" i="33" s="1"/>
  <c r="J264" i="33"/>
  <c r="F264" i="33"/>
  <c r="X279" i="30"/>
  <c r="X304" i="33"/>
  <c r="X303" i="33"/>
  <c r="D264" i="31"/>
  <c r="D280" i="31" s="1"/>
  <c r="E264" i="31"/>
  <c r="E279" i="31" s="1"/>
  <c r="I264" i="31"/>
  <c r="M264" i="31"/>
  <c r="Q264" i="31"/>
  <c r="U264" i="31"/>
  <c r="Y264" i="31"/>
  <c r="AC264" i="31"/>
  <c r="AC279" i="31" s="1"/>
  <c r="AG264" i="31"/>
  <c r="AG279" i="31" s="1"/>
  <c r="G264" i="31"/>
  <c r="G279" i="31" s="1"/>
  <c r="K264" i="31"/>
  <c r="O264" i="31"/>
  <c r="S264" i="31"/>
  <c r="S280" i="31" s="1"/>
  <c r="W264" i="31"/>
  <c r="AA264" i="31"/>
  <c r="AA280" i="31" s="1"/>
  <c r="AE264" i="31"/>
  <c r="AF264" i="31"/>
  <c r="AF280" i="31" s="1"/>
  <c r="AB264" i="31"/>
  <c r="X264" i="31"/>
  <c r="T264" i="31"/>
  <c r="P264" i="31"/>
  <c r="P279" i="31" s="1"/>
  <c r="L264" i="31"/>
  <c r="L279" i="31" s="1"/>
  <c r="H264" i="31"/>
  <c r="AH264" i="31"/>
  <c r="AH280" i="31" s="1"/>
  <c r="AD264" i="31"/>
  <c r="AD280" i="31" s="1"/>
  <c r="Z264" i="31"/>
  <c r="Z280" i="31" s="1"/>
  <c r="V264" i="31"/>
  <c r="R264" i="31"/>
  <c r="R279" i="31" s="1"/>
  <c r="N264" i="31"/>
  <c r="N280" i="31" s="1"/>
  <c r="J264" i="31"/>
  <c r="F264" i="31"/>
  <c r="F279" i="31" s="1"/>
  <c r="D288" i="3"/>
  <c r="E288" i="3"/>
  <c r="E304" i="3" s="1"/>
  <c r="I288" i="3"/>
  <c r="M288" i="3"/>
  <c r="Q288" i="3"/>
  <c r="U288" i="3"/>
  <c r="Y288" i="3"/>
  <c r="AC288" i="3"/>
  <c r="AC303" i="3" s="1"/>
  <c r="AG288" i="3"/>
  <c r="G288" i="3"/>
  <c r="K288" i="3"/>
  <c r="O288" i="3"/>
  <c r="S288" i="3"/>
  <c r="W288" i="3"/>
  <c r="AA288" i="3"/>
  <c r="AE288" i="3"/>
  <c r="AF288" i="3"/>
  <c r="AB288" i="3"/>
  <c r="X288" i="3"/>
  <c r="T288" i="3"/>
  <c r="P288" i="3"/>
  <c r="P304" i="3" s="1"/>
  <c r="L288" i="3"/>
  <c r="L303" i="3" s="1"/>
  <c r="H288" i="3"/>
  <c r="AH288" i="3"/>
  <c r="AD288" i="3"/>
  <c r="Z288" i="3"/>
  <c r="Z303" i="3" s="1"/>
  <c r="V288" i="3"/>
  <c r="R288" i="3"/>
  <c r="N288" i="3"/>
  <c r="J288" i="3"/>
  <c r="F288" i="3"/>
  <c r="X327" i="33"/>
  <c r="X328" i="33"/>
  <c r="X327" i="32"/>
  <c r="D288" i="30"/>
  <c r="D303" i="30" s="1"/>
  <c r="E288" i="30"/>
  <c r="E303" i="30" s="1"/>
  <c r="I288" i="30"/>
  <c r="M288" i="30"/>
  <c r="Q288" i="30"/>
  <c r="U288" i="30"/>
  <c r="Y288" i="30"/>
  <c r="AC288" i="30"/>
  <c r="AG288" i="30"/>
  <c r="G288" i="30"/>
  <c r="K288" i="30"/>
  <c r="O288" i="30"/>
  <c r="S288" i="30"/>
  <c r="W288" i="30"/>
  <c r="AA288" i="30"/>
  <c r="AA303" i="30" s="1"/>
  <c r="AE288" i="30"/>
  <c r="AF288" i="30"/>
  <c r="AB288" i="30"/>
  <c r="X288" i="30"/>
  <c r="T288" i="30"/>
  <c r="P288" i="30"/>
  <c r="P303" i="30" s="1"/>
  <c r="L288" i="30"/>
  <c r="L303" i="30" s="1"/>
  <c r="H288" i="30"/>
  <c r="AH288" i="30"/>
  <c r="AD288" i="30"/>
  <c r="AD304" i="30" s="1"/>
  <c r="Z288" i="30"/>
  <c r="V288" i="30"/>
  <c r="R288" i="30"/>
  <c r="N288" i="30"/>
  <c r="J288" i="30"/>
  <c r="F288" i="30"/>
  <c r="X279" i="3"/>
  <c r="X280" i="32"/>
  <c r="AG279" i="33"/>
  <c r="Y351" i="3"/>
  <c r="Y352" i="3"/>
  <c r="Y351" i="30"/>
  <c r="Y352" i="30"/>
  <c r="Y280" i="3"/>
  <c r="Y351" i="32"/>
  <c r="Y352" i="32"/>
  <c r="Y327" i="32"/>
  <c r="Y328" i="31"/>
  <c r="Y304" i="32"/>
  <c r="P304" i="30"/>
  <c r="Y327" i="33"/>
  <c r="Y328" i="33"/>
  <c r="D71" i="30"/>
  <c r="E42" i="30"/>
  <c r="AG279" i="32"/>
  <c r="H352" i="3"/>
  <c r="H41" i="32"/>
  <c r="D90" i="32" s="1"/>
  <c r="H37" i="32"/>
  <c r="I37" i="32" s="1"/>
  <c r="I73" i="3"/>
  <c r="AI342" i="3" s="1"/>
  <c r="AE349" i="3" s="1"/>
  <c r="AE351" i="3" s="1"/>
  <c r="F279" i="32"/>
  <c r="F279" i="30"/>
  <c r="E352" i="30"/>
  <c r="G204" i="2"/>
  <c r="Q216" i="2"/>
  <c r="M200" i="2"/>
  <c r="M201" i="2" s="1"/>
  <c r="AB216" i="34"/>
  <c r="Y216" i="34"/>
  <c r="Y215" i="35"/>
  <c r="F216" i="35"/>
  <c r="W216" i="35"/>
  <c r="V216" i="36"/>
  <c r="T215" i="37"/>
  <c r="AB216" i="2"/>
  <c r="O215" i="37"/>
  <c r="R216" i="34"/>
  <c r="S216" i="36"/>
  <c r="T216" i="37"/>
  <c r="H72" i="3"/>
  <c r="AI317" i="3" s="1"/>
  <c r="T325" i="3" s="1"/>
  <c r="E279" i="30"/>
  <c r="S216" i="37"/>
  <c r="O216" i="34"/>
  <c r="Z216" i="35"/>
  <c r="S216" i="2"/>
  <c r="Y215" i="37"/>
  <c r="O216" i="37"/>
  <c r="O216" i="35"/>
  <c r="Q216" i="34"/>
  <c r="V215" i="37"/>
  <c r="Z216" i="36"/>
  <c r="AB216" i="35"/>
  <c r="V216" i="37"/>
  <c r="AA216" i="35"/>
  <c r="T216" i="34"/>
  <c r="R216" i="35"/>
  <c r="Z216" i="2"/>
  <c r="AB216" i="36"/>
  <c r="V216" i="2"/>
  <c r="Z216" i="37"/>
  <c r="I72" i="3"/>
  <c r="AI341" i="3" s="1"/>
  <c r="Z279" i="32"/>
  <c r="J352" i="30"/>
  <c r="Z351" i="30"/>
  <c r="W215" i="37"/>
  <c r="F216" i="36"/>
  <c r="W216" i="2"/>
  <c r="Q216" i="37"/>
  <c r="Y216" i="36"/>
  <c r="O216" i="36"/>
  <c r="Q216" i="35"/>
  <c r="S216" i="34"/>
  <c r="R216" i="2"/>
  <c r="Z215" i="37"/>
  <c r="V216" i="34"/>
  <c r="T216" i="2"/>
  <c r="R216" i="37"/>
  <c r="Q215" i="37"/>
  <c r="Y216" i="37"/>
  <c r="O211" i="37"/>
  <c r="F215" i="37"/>
  <c r="W216" i="37"/>
  <c r="O216" i="2"/>
  <c r="Y216" i="2"/>
  <c r="S215" i="37"/>
  <c r="AA216" i="36"/>
  <c r="Q216" i="36"/>
  <c r="W216" i="34"/>
  <c r="AB216" i="37"/>
  <c r="R215" i="37"/>
  <c r="R216" i="36"/>
  <c r="Z216" i="34"/>
  <c r="V216" i="35"/>
  <c r="W216" i="36"/>
  <c r="S216" i="35"/>
  <c r="M204" i="37"/>
  <c r="K201" i="2"/>
  <c r="K202" i="2"/>
  <c r="Y201" i="2"/>
  <c r="Y202" i="2"/>
  <c r="H201" i="2"/>
  <c r="H202" i="2"/>
  <c r="I201" i="2"/>
  <c r="I202" i="2"/>
  <c r="D201" i="2"/>
  <c r="D202" i="2"/>
  <c r="W201" i="2"/>
  <c r="W202" i="2"/>
  <c r="E201" i="2"/>
  <c r="E202" i="2"/>
  <c r="F204" i="35"/>
  <c r="M203" i="35"/>
  <c r="M204" i="35" s="1"/>
  <c r="M206" i="35" s="1"/>
  <c r="G203" i="35"/>
  <c r="G204" i="35" s="1"/>
  <c r="L203" i="34"/>
  <c r="L204" i="34" s="1"/>
  <c r="N203" i="34"/>
  <c r="N204" i="34" s="1"/>
  <c r="N206" i="34" s="1"/>
  <c r="N203" i="36"/>
  <c r="N204" i="36" s="1"/>
  <c r="L203" i="36"/>
  <c r="L204" i="36" s="1"/>
  <c r="E118" i="35"/>
  <c r="E117" i="35"/>
  <c r="N203" i="37"/>
  <c r="N204" i="37" s="1"/>
  <c r="L203" i="37"/>
  <c r="L204" i="37" s="1"/>
  <c r="I203" i="34"/>
  <c r="I204" i="34" s="1"/>
  <c r="F204" i="36"/>
  <c r="F206" i="36" s="1"/>
  <c r="M203" i="36"/>
  <c r="M204" i="36" s="1"/>
  <c r="G203" i="36"/>
  <c r="G204" i="36" s="1"/>
  <c r="P215" i="34"/>
  <c r="P216" i="34"/>
  <c r="P215" i="37"/>
  <c r="P216" i="37"/>
  <c r="X216" i="34"/>
  <c r="X215" i="34"/>
  <c r="X216" i="36"/>
  <c r="X215" i="36"/>
  <c r="X216" i="2"/>
  <c r="X215" i="2"/>
  <c r="T215" i="35"/>
  <c r="T216" i="35"/>
  <c r="T215" i="36"/>
  <c r="T216" i="36"/>
  <c r="E118" i="36"/>
  <c r="E117" i="36"/>
  <c r="J203" i="36"/>
  <c r="J204" i="36" s="1"/>
  <c r="E59" i="34"/>
  <c r="H59" i="34"/>
  <c r="M203" i="34"/>
  <c r="M204" i="34" s="1"/>
  <c r="I203" i="37"/>
  <c r="I204" i="37" s="1"/>
  <c r="N203" i="35"/>
  <c r="N204" i="35" s="1"/>
  <c r="N206" i="35" s="1"/>
  <c r="L203" i="35"/>
  <c r="L204" i="35" s="1"/>
  <c r="K203" i="37"/>
  <c r="K204" i="37" s="1"/>
  <c r="E118" i="37"/>
  <c r="E117" i="37"/>
  <c r="K203" i="35"/>
  <c r="K204" i="35" s="1"/>
  <c r="D203" i="35"/>
  <c r="D204" i="35" s="1"/>
  <c r="AA215" i="34"/>
  <c r="AA216" i="34"/>
  <c r="AA216" i="37"/>
  <c r="AA215" i="37"/>
  <c r="AA215" i="2"/>
  <c r="AA216" i="2"/>
  <c r="H203" i="37"/>
  <c r="H204" i="37" s="1"/>
  <c r="P215" i="35"/>
  <c r="P216" i="35"/>
  <c r="P215" i="36"/>
  <c r="P216" i="36"/>
  <c r="P215" i="2"/>
  <c r="P216" i="2"/>
  <c r="X215" i="35"/>
  <c r="X216" i="35"/>
  <c r="X215" i="37"/>
  <c r="X216" i="37"/>
  <c r="X204" i="2"/>
  <c r="F76" i="37"/>
  <c r="U204" i="2"/>
  <c r="G200" i="2"/>
  <c r="G201" i="2" s="1"/>
  <c r="I59" i="36"/>
  <c r="U200" i="2"/>
  <c r="G76" i="36"/>
  <c r="F76" i="36"/>
  <c r="T204" i="35"/>
  <c r="T204" i="36"/>
  <c r="E58" i="35"/>
  <c r="H58" i="35"/>
  <c r="P204" i="34"/>
  <c r="P204" i="37"/>
  <c r="G205" i="35"/>
  <c r="G210" i="35"/>
  <c r="G210" i="37"/>
  <c r="G205" i="37"/>
  <c r="X204" i="35"/>
  <c r="X204" i="37"/>
  <c r="P204" i="35"/>
  <c r="P204" i="36"/>
  <c r="P204" i="2"/>
  <c r="P200" i="2"/>
  <c r="G205" i="34"/>
  <c r="G210" i="34"/>
  <c r="G205" i="36"/>
  <c r="G210" i="36"/>
  <c r="G205" i="2"/>
  <c r="G210" i="2"/>
  <c r="X204" i="34"/>
  <c r="X204" i="36"/>
  <c r="X200" i="2"/>
  <c r="E57" i="37"/>
  <c r="H57" i="37"/>
  <c r="M210" i="34"/>
  <c r="M205" i="34"/>
  <c r="M205" i="37"/>
  <c r="M210" i="37"/>
  <c r="M209" i="2"/>
  <c r="M205" i="2"/>
  <c r="M210" i="2"/>
  <c r="U205" i="37"/>
  <c r="U210" i="37"/>
  <c r="U205" i="2"/>
  <c r="U210" i="2"/>
  <c r="U210" i="34"/>
  <c r="U205" i="34"/>
  <c r="AA204" i="34"/>
  <c r="AA204" i="37"/>
  <c r="AA200" i="2"/>
  <c r="AA204" i="2"/>
  <c r="M204" i="2"/>
  <c r="J211" i="37"/>
  <c r="M209" i="34"/>
  <c r="U204" i="34"/>
  <c r="M209" i="37"/>
  <c r="S349" i="3"/>
  <c r="S351" i="3" s="1"/>
  <c r="T349" i="3"/>
  <c r="T351" i="3" s="1"/>
  <c r="S325" i="3"/>
  <c r="T301" i="3"/>
  <c r="S301" i="3"/>
  <c r="D206" i="37"/>
  <c r="F212" i="36"/>
  <c r="N211" i="37"/>
  <c r="O206" i="37"/>
  <c r="I53" i="37"/>
  <c r="J212" i="2"/>
  <c r="I212" i="2"/>
  <c r="D70" i="33"/>
  <c r="I37" i="33"/>
  <c r="I39" i="33"/>
  <c r="K211" i="37"/>
  <c r="D211" i="37"/>
  <c r="H211" i="37"/>
  <c r="I211" i="37"/>
  <c r="H55" i="34"/>
  <c r="E55" i="34"/>
  <c r="E204" i="34"/>
  <c r="E206" i="34" s="1"/>
  <c r="Q204" i="34"/>
  <c r="I71" i="3"/>
  <c r="AI340" i="3" s="1"/>
  <c r="AH280" i="30"/>
  <c r="F280" i="30"/>
  <c r="AG280" i="33"/>
  <c r="G352" i="30"/>
  <c r="D42" i="32"/>
  <c r="H134" i="31"/>
  <c r="I411" i="31" s="1"/>
  <c r="H133" i="31"/>
  <c r="I410" i="31" s="1"/>
  <c r="H133" i="30"/>
  <c r="I410" i="30" s="1"/>
  <c r="H134" i="30"/>
  <c r="I411" i="30" s="1"/>
  <c r="E59" i="35"/>
  <c r="H59" i="35"/>
  <c r="H352" i="30"/>
  <c r="H351" i="30"/>
  <c r="H71" i="3"/>
  <c r="AI316" i="3" s="1"/>
  <c r="H136" i="31"/>
  <c r="I408" i="31" s="1"/>
  <c r="H135" i="31"/>
  <c r="I406" i="31" s="1"/>
  <c r="H134" i="3"/>
  <c r="I411" i="3" s="1"/>
  <c r="H133" i="3"/>
  <c r="I410" i="3" s="1"/>
  <c r="H136" i="3"/>
  <c r="I408" i="3" s="1"/>
  <c r="H135" i="3"/>
  <c r="I406" i="3" s="1"/>
  <c r="H136" i="30"/>
  <c r="I408" i="30" s="1"/>
  <c r="H135" i="30"/>
  <c r="I406" i="30" s="1"/>
  <c r="H58" i="34"/>
  <c r="E58" i="34"/>
  <c r="H136" i="32"/>
  <c r="I408" i="32" s="1"/>
  <c r="H135" i="32"/>
  <c r="I406" i="32" s="1"/>
  <c r="G33" i="32"/>
  <c r="E42" i="3"/>
  <c r="J202" i="2"/>
  <c r="I398" i="31"/>
  <c r="I399" i="31"/>
  <c r="I402" i="31"/>
  <c r="I399" i="3"/>
  <c r="I402" i="3"/>
  <c r="I398" i="3"/>
  <c r="I351" i="30"/>
  <c r="I352" i="30"/>
  <c r="I327" i="32"/>
  <c r="I328" i="32"/>
  <c r="AH279" i="32"/>
  <c r="AH280" i="32"/>
  <c r="G280" i="32"/>
  <c r="F280" i="32"/>
  <c r="D476" i="3"/>
  <c r="E204" i="37"/>
  <c r="E206" i="37" s="1"/>
  <c r="Q204" i="37"/>
  <c r="E204" i="35"/>
  <c r="E206" i="35" s="1"/>
  <c r="Q204" i="35"/>
  <c r="I399" i="30"/>
  <c r="I398" i="30"/>
  <c r="I402" i="30"/>
  <c r="N280" i="33"/>
  <c r="L280" i="32"/>
  <c r="G204" i="37"/>
  <c r="AB352" i="30"/>
  <c r="R280" i="32"/>
  <c r="R279" i="32"/>
  <c r="F33" i="3"/>
  <c r="H48" i="3" s="1"/>
  <c r="H50" i="3" s="1"/>
  <c r="L50" i="3" s="1"/>
  <c r="D352" i="30"/>
  <c r="L226" i="34" a="1"/>
  <c r="L248" i="34" s="1"/>
  <c r="I54" i="37"/>
  <c r="F49" i="35"/>
  <c r="J207" i="2"/>
  <c r="D212" i="36"/>
  <c r="K212" i="36"/>
  <c r="G33" i="30"/>
  <c r="I54" i="2"/>
  <c r="I60" i="36"/>
  <c r="R328" i="31"/>
  <c r="R327" i="31"/>
  <c r="Z328" i="31"/>
  <c r="Z327" i="31"/>
  <c r="H69" i="3"/>
  <c r="AI314" i="3" s="1"/>
  <c r="F69" i="3"/>
  <c r="AI266" i="3" s="1"/>
  <c r="Q277" i="3" s="1"/>
  <c r="G69" i="3"/>
  <c r="AI290" i="3" s="1"/>
  <c r="Q301" i="3" s="1"/>
  <c r="I69" i="3"/>
  <c r="AI338" i="3" s="1"/>
  <c r="AH280" i="3"/>
  <c r="S280" i="3"/>
  <c r="S279" i="3"/>
  <c r="E279" i="3"/>
  <c r="E280" i="3"/>
  <c r="Z279" i="3"/>
  <c r="E57" i="36"/>
  <c r="H57" i="36"/>
  <c r="D63" i="36"/>
  <c r="U204" i="35"/>
  <c r="U206" i="35" s="1"/>
  <c r="E58" i="37"/>
  <c r="H58" i="37"/>
  <c r="H62" i="35"/>
  <c r="E62" i="35"/>
  <c r="K327" i="31"/>
  <c r="K328" i="31"/>
  <c r="G328" i="31"/>
  <c r="F327" i="31"/>
  <c r="J207" i="37"/>
  <c r="J206" i="37"/>
  <c r="E327" i="33"/>
  <c r="E328" i="33"/>
  <c r="I328" i="33"/>
  <c r="I327" i="33"/>
  <c r="E304" i="32"/>
  <c r="E303" i="32"/>
  <c r="E57" i="34"/>
  <c r="H57" i="34"/>
  <c r="D63" i="34"/>
  <c r="E112" i="37"/>
  <c r="F49" i="37"/>
  <c r="E327" i="3"/>
  <c r="E328" i="3"/>
  <c r="AC304" i="31"/>
  <c r="G303" i="31"/>
  <c r="G304" i="31"/>
  <c r="P303" i="31"/>
  <c r="D304" i="33"/>
  <c r="D303" i="33"/>
  <c r="J279" i="31"/>
  <c r="J280" i="31"/>
  <c r="E62" i="34"/>
  <c r="H62" i="34"/>
  <c r="E60" i="37"/>
  <c r="H60" i="37"/>
  <c r="E60" i="35"/>
  <c r="H60" i="35"/>
  <c r="H212" i="2"/>
  <c r="N212" i="2"/>
  <c r="O207" i="2"/>
  <c r="H207" i="2"/>
  <c r="O212" i="2"/>
  <c r="K212" i="2"/>
  <c r="D212" i="2"/>
  <c r="E207" i="2"/>
  <c r="E212" i="2"/>
  <c r="N207" i="2"/>
  <c r="D212" i="37"/>
  <c r="J212" i="37"/>
  <c r="N212" i="37"/>
  <c r="D63" i="35"/>
  <c r="H53" i="35"/>
  <c r="E53" i="35"/>
  <c r="K352" i="32"/>
  <c r="K351" i="32"/>
  <c r="R352" i="32"/>
  <c r="R351" i="32"/>
  <c r="AB352" i="32"/>
  <c r="AB351" i="32"/>
  <c r="I351" i="32"/>
  <c r="I352" i="32"/>
  <c r="U327" i="31"/>
  <c r="E327" i="31"/>
  <c r="E328" i="31"/>
  <c r="AC328" i="31"/>
  <c r="AC327" i="31"/>
  <c r="D327" i="30"/>
  <c r="D328" i="30"/>
  <c r="N280" i="3"/>
  <c r="N279" i="3"/>
  <c r="R279" i="3"/>
  <c r="AD279" i="3"/>
  <c r="AD280" i="3"/>
  <c r="AG279" i="3"/>
  <c r="AG280" i="3"/>
  <c r="P279" i="3"/>
  <c r="P280" i="3"/>
  <c r="J279" i="3"/>
  <c r="AF279" i="3"/>
  <c r="D280" i="3"/>
  <c r="D279" i="3"/>
  <c r="R328" i="33"/>
  <c r="K327" i="33"/>
  <c r="K328" i="33"/>
  <c r="D327" i="33"/>
  <c r="D328" i="33"/>
  <c r="Z328" i="33"/>
  <c r="Z327" i="33"/>
  <c r="F328" i="33"/>
  <c r="F304" i="32"/>
  <c r="F303" i="32"/>
  <c r="Z304" i="32"/>
  <c r="G304" i="32"/>
  <c r="H204" i="34"/>
  <c r="H206" i="34" s="1"/>
  <c r="H204" i="36"/>
  <c r="E114" i="36"/>
  <c r="F49" i="36"/>
  <c r="D69" i="33"/>
  <c r="H54" i="35"/>
  <c r="E54" i="35"/>
  <c r="H56" i="35"/>
  <c r="E56" i="35"/>
  <c r="E55" i="37"/>
  <c r="H55" i="37"/>
  <c r="G33" i="31"/>
  <c r="H36" i="31"/>
  <c r="H41" i="31"/>
  <c r="H39" i="31"/>
  <c r="H37" i="31"/>
  <c r="H40" i="31"/>
  <c r="H38" i="31"/>
  <c r="D206" i="2"/>
  <c r="F327" i="3"/>
  <c r="U327" i="3"/>
  <c r="U328" i="3"/>
  <c r="D328" i="3"/>
  <c r="D327" i="3"/>
  <c r="AC328" i="3"/>
  <c r="G328" i="3"/>
  <c r="G327" i="3"/>
  <c r="AD303" i="31"/>
  <c r="AD304" i="31"/>
  <c r="L304" i="31"/>
  <c r="E303" i="31"/>
  <c r="E304" i="31"/>
  <c r="AG304" i="31"/>
  <c r="E303" i="33"/>
  <c r="E304" i="33"/>
  <c r="E280" i="31"/>
  <c r="Z279" i="31"/>
  <c r="G280" i="31"/>
  <c r="AA279" i="31"/>
  <c r="E62" i="36"/>
  <c r="H62" i="36"/>
  <c r="H55" i="35"/>
  <c r="E55" i="35"/>
  <c r="H62" i="37"/>
  <c r="E62" i="37"/>
  <c r="F352" i="32"/>
  <c r="F351" i="32"/>
  <c r="H351" i="32"/>
  <c r="H352" i="32"/>
  <c r="E352" i="32"/>
  <c r="E351" i="32"/>
  <c r="J351" i="32"/>
  <c r="J352" i="32"/>
  <c r="Z351" i="32"/>
  <c r="Z352" i="32"/>
  <c r="G351" i="32"/>
  <c r="G352" i="32"/>
  <c r="D352" i="32"/>
  <c r="D351" i="32"/>
  <c r="D69" i="31"/>
  <c r="E42" i="31"/>
  <c r="E63" i="2"/>
  <c r="H42" i="33"/>
  <c r="F49" i="34"/>
  <c r="I56" i="2"/>
  <c r="D63" i="37"/>
  <c r="K207" i="2"/>
  <c r="I60" i="34"/>
  <c r="I207" i="2"/>
  <c r="L226" i="37" a="1"/>
  <c r="I59" i="37"/>
  <c r="D89" i="32"/>
  <c r="I40" i="32"/>
  <c r="H207" i="35"/>
  <c r="H212" i="35"/>
  <c r="J207" i="35"/>
  <c r="O212" i="35"/>
  <c r="N212" i="35"/>
  <c r="M212" i="35"/>
  <c r="O207" i="35"/>
  <c r="I207" i="35"/>
  <c r="D212" i="35"/>
  <c r="K212" i="35"/>
  <c r="J212" i="35"/>
  <c r="I212" i="35"/>
  <c r="D89" i="30"/>
  <c r="I40" i="30"/>
  <c r="D85" i="30"/>
  <c r="I36" i="30"/>
  <c r="D88" i="30"/>
  <c r="I39" i="30"/>
  <c r="K212" i="34"/>
  <c r="J212" i="34"/>
  <c r="O207" i="34"/>
  <c r="I212" i="34"/>
  <c r="H212" i="34"/>
  <c r="E212" i="34"/>
  <c r="D212" i="34"/>
  <c r="K207" i="34"/>
  <c r="N212" i="34"/>
  <c r="J207" i="34"/>
  <c r="O212" i="34"/>
  <c r="D207" i="34"/>
  <c r="AD349" i="3"/>
  <c r="AD351" i="3" s="1"/>
  <c r="AE277" i="3"/>
  <c r="AE279" i="3" s="1"/>
  <c r="N325" i="3"/>
  <c r="N327" i="3" s="1"/>
  <c r="O277" i="3"/>
  <c r="R226" i="35" a="1"/>
  <c r="D87" i="32"/>
  <c r="I38" i="32"/>
  <c r="D85" i="32"/>
  <c r="I36" i="32"/>
  <c r="D88" i="32"/>
  <c r="I39" i="32"/>
  <c r="D90" i="30"/>
  <c r="I41" i="30"/>
  <c r="D86" i="30"/>
  <c r="I37" i="30"/>
  <c r="H70" i="3"/>
  <c r="AI315" i="3" s="1"/>
  <c r="W325" i="3" s="1"/>
  <c r="W327" i="3" s="1"/>
  <c r="G70" i="3"/>
  <c r="AI291" i="3" s="1"/>
  <c r="I70" i="3"/>
  <c r="AI339" i="3" s="1"/>
  <c r="W349" i="3" s="1"/>
  <c r="W351" i="3" s="1"/>
  <c r="F70" i="3"/>
  <c r="AI267" i="3" s="1"/>
  <c r="AE301" i="3"/>
  <c r="AD325" i="3"/>
  <c r="AD327" i="3" s="1"/>
  <c r="AF301" i="3"/>
  <c r="O301" i="3"/>
  <c r="AA29" i="26"/>
  <c r="AE29" i="26"/>
  <c r="AA55" i="26"/>
  <c r="AE55" i="26"/>
  <c r="AA51" i="26"/>
  <c r="AE51" i="26"/>
  <c r="AA40" i="26"/>
  <c r="AE40" i="26"/>
  <c r="AA35" i="26"/>
  <c r="AE35" i="26"/>
  <c r="AA30" i="26"/>
  <c r="AE30" i="26"/>
  <c r="AA11" i="26"/>
  <c r="AE11" i="26"/>
  <c r="AA58" i="26"/>
  <c r="AE58" i="26"/>
  <c r="AA44" i="26"/>
  <c r="AE44" i="26"/>
  <c r="AA39" i="26"/>
  <c r="AE39" i="26"/>
  <c r="W24" i="26"/>
  <c r="AA24" i="26"/>
  <c r="AE24" i="26"/>
  <c r="AA16" i="26"/>
  <c r="AE16" i="26"/>
  <c r="AE23" i="26"/>
  <c r="AA23" i="26"/>
  <c r="AA43" i="26"/>
  <c r="AE43" i="26"/>
  <c r="AA36" i="26"/>
  <c r="AE36" i="26"/>
  <c r="AA19" i="26"/>
  <c r="AE19" i="26"/>
  <c r="AA46" i="26"/>
  <c r="AE46" i="26"/>
  <c r="AA37" i="26"/>
  <c r="AE37" i="26"/>
  <c r="AA32" i="26"/>
  <c r="AE32" i="26"/>
  <c r="AA26" i="26"/>
  <c r="AE26" i="26"/>
  <c r="AA13" i="26"/>
  <c r="AE13" i="26"/>
  <c r="AA14" i="26"/>
  <c r="AE14" i="26"/>
  <c r="AE45" i="26"/>
  <c r="AA45" i="26"/>
  <c r="W25" i="26"/>
  <c r="AE25" i="26"/>
  <c r="AA25" i="26"/>
  <c r="AI64" i="10"/>
  <c r="AA17" i="26"/>
  <c r="AE17" i="26"/>
  <c r="AE54" i="26"/>
  <c r="AA54" i="26"/>
  <c r="AE48" i="26"/>
  <c r="AA48" i="26"/>
  <c r="AA28" i="26"/>
  <c r="AE28" i="26"/>
  <c r="AA41" i="26"/>
  <c r="AE41" i="26"/>
  <c r="AE21" i="26"/>
  <c r="AA21" i="26"/>
  <c r="AA57" i="26"/>
  <c r="AE57" i="26"/>
  <c r="AA53" i="26"/>
  <c r="AE53" i="26"/>
  <c r="AA47" i="26"/>
  <c r="AE47" i="26"/>
  <c r="AA38" i="26"/>
  <c r="AE38" i="26"/>
  <c r="AA33" i="26"/>
  <c r="AE33" i="26"/>
  <c r="AE27" i="26"/>
  <c r="AA27" i="26"/>
  <c r="AE20" i="26"/>
  <c r="AA20" i="26"/>
  <c r="AA15" i="26"/>
  <c r="AE15" i="26"/>
  <c r="AA22" i="26"/>
  <c r="AE22" i="26"/>
  <c r="AA12" i="26"/>
  <c r="AE12" i="26"/>
  <c r="AA56" i="26"/>
  <c r="AE56" i="26"/>
  <c r="AA52" i="26"/>
  <c r="AE52" i="26"/>
  <c r="AA42" i="26"/>
  <c r="AE42" i="26"/>
  <c r="AA18" i="26"/>
  <c r="AE18" i="26"/>
  <c r="AE64" i="10"/>
  <c r="F207" i="37" l="1"/>
  <c r="E211" i="37"/>
  <c r="L304" i="30"/>
  <c r="E42" i="32"/>
  <c r="F212" i="37"/>
  <c r="G33" i="3"/>
  <c r="K17" i="56"/>
  <c r="D144" i="2"/>
  <c r="H144" i="2"/>
  <c r="D145" i="2"/>
  <c r="H145" i="2"/>
  <c r="O217" i="35"/>
  <c r="R226" i="37" a="1"/>
  <c r="R235" i="37" s="1"/>
  <c r="H37" i="3"/>
  <c r="H36" i="3"/>
  <c r="H39" i="3"/>
  <c r="G280" i="3"/>
  <c r="AA280" i="3"/>
  <c r="X327" i="31"/>
  <c r="I38" i="3"/>
  <c r="I212" i="37"/>
  <c r="R280" i="31"/>
  <c r="G328" i="33"/>
  <c r="K212" i="37"/>
  <c r="H212" i="37"/>
  <c r="Z303" i="33"/>
  <c r="AD304" i="32"/>
  <c r="AC328" i="33"/>
  <c r="U327" i="33"/>
  <c r="D85" i="33"/>
  <c r="AC280" i="3"/>
  <c r="AF280" i="30"/>
  <c r="E212" i="37"/>
  <c r="R226" i="34" a="1"/>
  <c r="R227" i="34" s="1"/>
  <c r="F206" i="35"/>
  <c r="E42" i="33"/>
  <c r="D207" i="37"/>
  <c r="O207" i="37"/>
  <c r="G303" i="33"/>
  <c r="I327" i="30"/>
  <c r="Q279" i="3"/>
  <c r="O212" i="37"/>
  <c r="U301" i="3"/>
  <c r="M211" i="36"/>
  <c r="E211" i="35"/>
  <c r="L235" i="35"/>
  <c r="L250" i="35"/>
  <c r="L249" i="35"/>
  <c r="L238" i="35"/>
  <c r="L240" i="35"/>
  <c r="L237" i="35"/>
  <c r="L241" i="35"/>
  <c r="L248" i="35"/>
  <c r="L231" i="35"/>
  <c r="L242" i="35"/>
  <c r="L226" i="35"/>
  <c r="L229" i="35"/>
  <c r="L230" i="35"/>
  <c r="F207" i="35"/>
  <c r="M212" i="36"/>
  <c r="E212" i="35"/>
  <c r="W29" i="17"/>
  <c r="AE29" i="17"/>
  <c r="AI25" i="17"/>
  <c r="F212" i="35"/>
  <c r="AI30" i="17"/>
  <c r="M202" i="2"/>
  <c r="F72" i="13"/>
  <c r="AI31" i="17"/>
  <c r="H68" i="2"/>
  <c r="H70" i="2" s="1"/>
  <c r="G132" i="13"/>
  <c r="U206" i="37"/>
  <c r="S202" i="2"/>
  <c r="D147" i="2"/>
  <c r="W25" i="17"/>
  <c r="AE30" i="17"/>
  <c r="L202" i="2"/>
  <c r="W31" i="17"/>
  <c r="I38" i="30"/>
  <c r="D328" i="31"/>
  <c r="P280" i="33"/>
  <c r="Y280" i="30"/>
  <c r="AE28" i="17"/>
  <c r="L234" i="35"/>
  <c r="L245" i="35"/>
  <c r="L246" i="35"/>
  <c r="D87" i="30"/>
  <c r="I327" i="31"/>
  <c r="I207" i="36"/>
  <c r="P303" i="3"/>
  <c r="G279" i="30"/>
  <c r="T202" i="2"/>
  <c r="Q303" i="3"/>
  <c r="S303" i="3"/>
  <c r="U279" i="3"/>
  <c r="O303" i="3"/>
  <c r="L243" i="35"/>
  <c r="L228" i="35"/>
  <c r="L233" i="35"/>
  <c r="K327" i="3"/>
  <c r="L303" i="32"/>
  <c r="F279" i="3"/>
  <c r="AH279" i="31"/>
  <c r="R328" i="30"/>
  <c r="Y328" i="3"/>
  <c r="AE26" i="17"/>
  <c r="W26" i="17"/>
  <c r="O217" i="34"/>
  <c r="I41" i="32"/>
  <c r="I42" i="32" s="1"/>
  <c r="F327" i="30"/>
  <c r="AG304" i="33"/>
  <c r="AC304" i="33"/>
  <c r="D303" i="31"/>
  <c r="X304" i="32"/>
  <c r="W28" i="17"/>
  <c r="AF303" i="3"/>
  <c r="L227" i="35"/>
  <c r="L236" i="35"/>
  <c r="L247" i="35"/>
  <c r="AC280" i="31"/>
  <c r="L279" i="3"/>
  <c r="AG303" i="32"/>
  <c r="AA280" i="30"/>
  <c r="L232" i="35"/>
  <c r="L244" i="35"/>
  <c r="L304" i="33"/>
  <c r="F304" i="31"/>
  <c r="F327" i="32"/>
  <c r="F328" i="32"/>
  <c r="N279" i="30"/>
  <c r="N280" i="30"/>
  <c r="Z328" i="32"/>
  <c r="Z327" i="32"/>
  <c r="O279" i="3"/>
  <c r="D86" i="32"/>
  <c r="P304" i="32"/>
  <c r="F304" i="33"/>
  <c r="O207" i="36"/>
  <c r="K207" i="36"/>
  <c r="J212" i="36"/>
  <c r="AA279" i="32"/>
  <c r="Y304" i="33"/>
  <c r="X328" i="3"/>
  <c r="R226" i="36" a="1"/>
  <c r="R241" i="36" s="1"/>
  <c r="U207" i="36"/>
  <c r="K328" i="32"/>
  <c r="K327" i="32"/>
  <c r="G327" i="32"/>
  <c r="G328" i="32"/>
  <c r="J280" i="30"/>
  <c r="J279" i="30"/>
  <c r="R304" i="33"/>
  <c r="F280" i="31"/>
  <c r="R303" i="32"/>
  <c r="E207" i="36"/>
  <c r="O212" i="36"/>
  <c r="H212" i="36"/>
  <c r="S327" i="3"/>
  <c r="I41" i="33"/>
  <c r="N212" i="36"/>
  <c r="F212" i="34"/>
  <c r="U327" i="32"/>
  <c r="U328" i="32"/>
  <c r="AC328" i="32"/>
  <c r="AC327" i="32"/>
  <c r="E328" i="32"/>
  <c r="E327" i="32"/>
  <c r="R303" i="31"/>
  <c r="AC328" i="30"/>
  <c r="I212" i="36"/>
  <c r="E212" i="36"/>
  <c r="D207" i="36"/>
  <c r="AC280" i="33"/>
  <c r="AA304" i="30"/>
  <c r="T327" i="3"/>
  <c r="F206" i="2"/>
  <c r="K303" i="3"/>
  <c r="Q202" i="2"/>
  <c r="F207" i="2"/>
  <c r="O217" i="36"/>
  <c r="P280" i="30"/>
  <c r="P279" i="30"/>
  <c r="F207" i="34"/>
  <c r="W32" i="17"/>
  <c r="AE32" i="17"/>
  <c r="AI32" i="17"/>
  <c r="I40" i="3"/>
  <c r="F207" i="36"/>
  <c r="D304" i="30"/>
  <c r="L230" i="36"/>
  <c r="R328" i="3"/>
  <c r="E207" i="34"/>
  <c r="U327" i="30"/>
  <c r="P280" i="31"/>
  <c r="J279" i="32"/>
  <c r="G202" i="2"/>
  <c r="N279" i="32"/>
  <c r="N280" i="32"/>
  <c r="U206" i="36"/>
  <c r="D303" i="32"/>
  <c r="G206" i="2"/>
  <c r="Y279" i="32"/>
  <c r="D89" i="3"/>
  <c r="E89" i="3" s="1"/>
  <c r="I89" i="3" s="1"/>
  <c r="AJ342" i="3" s="1"/>
  <c r="AE350" i="3" s="1"/>
  <c r="AE352" i="3" s="1"/>
  <c r="AD279" i="31"/>
  <c r="AD303" i="33"/>
  <c r="Z328" i="3"/>
  <c r="K328" i="30"/>
  <c r="Z327" i="30"/>
  <c r="F212" i="2"/>
  <c r="AG280" i="31"/>
  <c r="L280" i="31"/>
  <c r="AF279" i="31"/>
  <c r="P303" i="33"/>
  <c r="G327" i="30"/>
  <c r="Z304" i="3"/>
  <c r="E304" i="30"/>
  <c r="E279" i="32"/>
  <c r="E280" i="32"/>
  <c r="AD279" i="32"/>
  <c r="AD280" i="32"/>
  <c r="F201" i="2"/>
  <c r="F202" i="2"/>
  <c r="D90" i="3"/>
  <c r="E90" i="3" s="1"/>
  <c r="G90" i="3" s="1"/>
  <c r="AJ295" i="3" s="1"/>
  <c r="AA303" i="33"/>
  <c r="AA304" i="31"/>
  <c r="AC304" i="32"/>
  <c r="E327" i="30"/>
  <c r="Z303" i="31"/>
  <c r="I327" i="3"/>
  <c r="AA304" i="32"/>
  <c r="F206" i="34"/>
  <c r="S279" i="31"/>
  <c r="N279" i="31"/>
  <c r="D279" i="31"/>
  <c r="Z280" i="33"/>
  <c r="F211" i="34"/>
  <c r="I42" i="33"/>
  <c r="I303" i="3"/>
  <c r="H42" i="32"/>
  <c r="L227" i="36"/>
  <c r="L241" i="36"/>
  <c r="M206" i="2"/>
  <c r="M207" i="2"/>
  <c r="M277" i="3"/>
  <c r="M279" i="3" s="1"/>
  <c r="W277" i="3"/>
  <c r="W279" i="3" s="1"/>
  <c r="M301" i="3"/>
  <c r="M303" i="3" s="1"/>
  <c r="W301" i="3"/>
  <c r="W303" i="3" s="1"/>
  <c r="AD303" i="30"/>
  <c r="T303" i="3"/>
  <c r="L304" i="3"/>
  <c r="AE303" i="3"/>
  <c r="E303" i="3"/>
  <c r="AC304" i="3"/>
  <c r="X303" i="3"/>
  <c r="X304" i="3"/>
  <c r="X279" i="33"/>
  <c r="X280" i="33"/>
  <c r="X327" i="30"/>
  <c r="X328" i="30"/>
  <c r="X303" i="30"/>
  <c r="X304" i="30"/>
  <c r="X279" i="31"/>
  <c r="X280" i="31"/>
  <c r="X303" i="31"/>
  <c r="X304" i="31"/>
  <c r="AA304" i="3"/>
  <c r="AA303" i="3"/>
  <c r="Y303" i="3"/>
  <c r="Y304" i="3"/>
  <c r="D303" i="3"/>
  <c r="D304" i="3"/>
  <c r="R304" i="30"/>
  <c r="R303" i="30"/>
  <c r="Y303" i="30"/>
  <c r="Y304" i="30"/>
  <c r="AG303" i="30"/>
  <c r="AG304" i="30"/>
  <c r="Z303" i="30"/>
  <c r="Z304" i="30"/>
  <c r="Y303" i="31"/>
  <c r="Y304" i="31"/>
  <c r="Y328" i="30"/>
  <c r="Y327" i="30"/>
  <c r="AA280" i="33"/>
  <c r="AA279" i="33"/>
  <c r="R280" i="33"/>
  <c r="R279" i="33"/>
  <c r="J279" i="33"/>
  <c r="J280" i="33"/>
  <c r="F280" i="33"/>
  <c r="F279" i="33"/>
  <c r="AH279" i="33"/>
  <c r="AH280" i="33"/>
  <c r="AD280" i="33"/>
  <c r="AD279" i="33"/>
  <c r="E280" i="33"/>
  <c r="E279" i="33"/>
  <c r="F304" i="3"/>
  <c r="F303" i="3"/>
  <c r="AD304" i="3"/>
  <c r="AD303" i="3"/>
  <c r="Y279" i="31"/>
  <c r="Y280" i="31"/>
  <c r="F303" i="30"/>
  <c r="F304" i="30"/>
  <c r="AC303" i="30"/>
  <c r="AC304" i="30"/>
  <c r="G303" i="30"/>
  <c r="G304" i="30"/>
  <c r="Y279" i="33"/>
  <c r="Y280" i="33"/>
  <c r="L279" i="33"/>
  <c r="L280" i="33"/>
  <c r="D279" i="33"/>
  <c r="D280" i="33"/>
  <c r="AF280" i="33"/>
  <c r="AF279" i="33"/>
  <c r="S280" i="33"/>
  <c r="S279" i="33"/>
  <c r="G279" i="33"/>
  <c r="G280" i="33"/>
  <c r="D53" i="3"/>
  <c r="D55" i="3"/>
  <c r="D54" i="3"/>
  <c r="N303" i="3"/>
  <c r="G303" i="3"/>
  <c r="G304" i="3"/>
  <c r="R303" i="3"/>
  <c r="R304" i="3"/>
  <c r="AG303" i="3"/>
  <c r="AG304" i="3"/>
  <c r="U303" i="3"/>
  <c r="D279" i="30"/>
  <c r="D280" i="30"/>
  <c r="AG280" i="30"/>
  <c r="AG279" i="30"/>
  <c r="R280" i="30"/>
  <c r="R279" i="30"/>
  <c r="S280" i="30"/>
  <c r="S279" i="30"/>
  <c r="S280" i="32"/>
  <c r="S279" i="32"/>
  <c r="P280" i="32"/>
  <c r="P279" i="32"/>
  <c r="AC280" i="32"/>
  <c r="AC279" i="32"/>
  <c r="AD279" i="30"/>
  <c r="AD280" i="30"/>
  <c r="AF279" i="32"/>
  <c r="AF280" i="32"/>
  <c r="D279" i="32"/>
  <c r="D280" i="32"/>
  <c r="I59" i="34"/>
  <c r="M206" i="37"/>
  <c r="G206" i="36"/>
  <c r="P349" i="3"/>
  <c r="P351" i="3" s="1"/>
  <c r="Q349" i="3"/>
  <c r="Q351" i="3" s="1"/>
  <c r="M207" i="37"/>
  <c r="M211" i="37"/>
  <c r="U207" i="34"/>
  <c r="M212" i="2"/>
  <c r="G207" i="34"/>
  <c r="M212" i="37"/>
  <c r="E207" i="37"/>
  <c r="U206" i="34"/>
  <c r="D206" i="35"/>
  <c r="D207" i="35"/>
  <c r="K207" i="37"/>
  <c r="K206" i="37"/>
  <c r="H207" i="37"/>
  <c r="H206" i="37"/>
  <c r="K206" i="35"/>
  <c r="K207" i="35"/>
  <c r="I206" i="37"/>
  <c r="I207" i="37"/>
  <c r="J206" i="36"/>
  <c r="J207" i="36"/>
  <c r="I207" i="34"/>
  <c r="I206" i="34"/>
  <c r="G206" i="35"/>
  <c r="G207" i="36"/>
  <c r="G206" i="37"/>
  <c r="C106" i="56"/>
  <c r="C108" i="13" s="1"/>
  <c r="C75" i="35" s="1"/>
  <c r="C105" i="56"/>
  <c r="C107" i="13" s="1"/>
  <c r="C74" i="36" s="1"/>
  <c r="U207" i="2"/>
  <c r="G207" i="35"/>
  <c r="L250" i="36"/>
  <c r="L232" i="36"/>
  <c r="L244" i="36"/>
  <c r="G207" i="2"/>
  <c r="M212" i="34"/>
  <c r="G206" i="34"/>
  <c r="U206" i="2"/>
  <c r="U207" i="35"/>
  <c r="L245" i="36"/>
  <c r="L240" i="36"/>
  <c r="L242" i="36"/>
  <c r="L236" i="36"/>
  <c r="L233" i="36"/>
  <c r="L247" i="36"/>
  <c r="L229" i="36"/>
  <c r="M206" i="34"/>
  <c r="G207" i="37"/>
  <c r="U207" i="37"/>
  <c r="U201" i="2"/>
  <c r="U202" i="2"/>
  <c r="M211" i="34"/>
  <c r="I58" i="35"/>
  <c r="X201" i="2"/>
  <c r="X202" i="2"/>
  <c r="P201" i="2"/>
  <c r="P202" i="2"/>
  <c r="I57" i="37"/>
  <c r="AA201" i="2"/>
  <c r="AA202" i="2"/>
  <c r="M211" i="2"/>
  <c r="M207" i="34"/>
  <c r="L240" i="34"/>
  <c r="N349" i="3"/>
  <c r="N351" i="3" s="1"/>
  <c r="O349" i="3"/>
  <c r="O351" i="3" s="1"/>
  <c r="L349" i="3"/>
  <c r="L351" i="3" s="1"/>
  <c r="M349" i="3"/>
  <c r="M351" i="3" s="1"/>
  <c r="N207" i="34"/>
  <c r="H207" i="34"/>
  <c r="M207" i="35"/>
  <c r="N207" i="35"/>
  <c r="L235" i="36"/>
  <c r="L234" i="36"/>
  <c r="L237" i="36"/>
  <c r="L243" i="36"/>
  <c r="L248" i="36"/>
  <c r="L246" i="36"/>
  <c r="L249" i="36"/>
  <c r="L239" i="36"/>
  <c r="L228" i="36"/>
  <c r="L238" i="36"/>
  <c r="L231" i="36"/>
  <c r="P325" i="3"/>
  <c r="P327" i="3" s="1"/>
  <c r="Q325" i="3"/>
  <c r="Q327" i="3" s="1"/>
  <c r="L325" i="3"/>
  <c r="L327" i="3" s="1"/>
  <c r="M325" i="3"/>
  <c r="M327" i="3" s="1"/>
  <c r="L231" i="34"/>
  <c r="L227" i="34"/>
  <c r="L235" i="34"/>
  <c r="L237" i="34"/>
  <c r="L234" i="34"/>
  <c r="L239" i="34"/>
  <c r="L230" i="34"/>
  <c r="L229" i="34"/>
  <c r="L236" i="34"/>
  <c r="L249" i="34"/>
  <c r="L228" i="34"/>
  <c r="L244" i="34"/>
  <c r="L226" i="34"/>
  <c r="L245" i="34"/>
  <c r="L241" i="34"/>
  <c r="L233" i="34"/>
  <c r="L232" i="34"/>
  <c r="L242" i="34"/>
  <c r="L243" i="34"/>
  <c r="L238" i="34"/>
  <c r="L250" i="34"/>
  <c r="L247" i="34"/>
  <c r="L246" i="34"/>
  <c r="O217" i="37"/>
  <c r="D56" i="3"/>
  <c r="J56" i="3" s="1"/>
  <c r="D94" i="3" s="1"/>
  <c r="E94" i="3" s="1"/>
  <c r="I55" i="34"/>
  <c r="E207" i="35"/>
  <c r="I58" i="34"/>
  <c r="I59" i="35"/>
  <c r="R247" i="37"/>
  <c r="R239" i="37"/>
  <c r="R232" i="37"/>
  <c r="R238" i="37"/>
  <c r="R230" i="37"/>
  <c r="R228" i="37"/>
  <c r="R249" i="37"/>
  <c r="R250" i="37"/>
  <c r="R234" i="37"/>
  <c r="I60" i="35"/>
  <c r="I62" i="34"/>
  <c r="I57" i="34"/>
  <c r="O218" i="35"/>
  <c r="I53" i="35"/>
  <c r="I58" i="37"/>
  <c r="I62" i="37"/>
  <c r="E63" i="37"/>
  <c r="I56" i="35"/>
  <c r="I60" i="37"/>
  <c r="I57" i="36"/>
  <c r="O218" i="34"/>
  <c r="L227" i="37"/>
  <c r="L243" i="37"/>
  <c r="L237" i="37"/>
  <c r="L250" i="37"/>
  <c r="L234" i="37"/>
  <c r="L240" i="37"/>
  <c r="L235" i="37"/>
  <c r="L245" i="37"/>
  <c r="L248" i="37"/>
  <c r="L229" i="37"/>
  <c r="L242" i="37"/>
  <c r="L232" i="37"/>
  <c r="L226" i="37"/>
  <c r="L239" i="37"/>
  <c r="L233" i="37"/>
  <c r="L249" i="37"/>
  <c r="L238" i="37"/>
  <c r="L244" i="37"/>
  <c r="L228" i="37"/>
  <c r="L231" i="37"/>
  <c r="L247" i="37"/>
  <c r="L241" i="37"/>
  <c r="L246" i="37"/>
  <c r="L230" i="37"/>
  <c r="L236" i="37"/>
  <c r="L228" i="2"/>
  <c r="L230" i="2"/>
  <c r="L233" i="2"/>
  <c r="L234" i="2"/>
  <c r="L235" i="2"/>
  <c r="L231" i="2"/>
  <c r="L239" i="2"/>
  <c r="L240" i="2"/>
  <c r="L245" i="2"/>
  <c r="L247" i="2"/>
  <c r="L250" i="2"/>
  <c r="L244" i="2"/>
  <c r="L238" i="2"/>
  <c r="L236" i="2"/>
  <c r="L249" i="2"/>
  <c r="L248" i="2"/>
  <c r="L243" i="2"/>
  <c r="L237" i="2"/>
  <c r="L229" i="2"/>
  <c r="L226" i="2"/>
  <c r="L241" i="2"/>
  <c r="L246" i="2"/>
  <c r="L232" i="2"/>
  <c r="L242" i="2"/>
  <c r="L227" i="2"/>
  <c r="N207" i="36"/>
  <c r="N206" i="36"/>
  <c r="I38" i="31"/>
  <c r="D87" i="31"/>
  <c r="D86" i="31"/>
  <c r="I37" i="31"/>
  <c r="I41" i="31"/>
  <c r="D90" i="31"/>
  <c r="H207" i="36"/>
  <c r="H206" i="36"/>
  <c r="N206" i="37"/>
  <c r="N207" i="37"/>
  <c r="R228" i="2"/>
  <c r="R244" i="2"/>
  <c r="R230" i="2"/>
  <c r="R231" i="2"/>
  <c r="R234" i="2"/>
  <c r="R237" i="2"/>
  <c r="R238" i="2"/>
  <c r="R241" i="2"/>
  <c r="R250" i="2"/>
  <c r="R239" i="2"/>
  <c r="R240" i="2"/>
  <c r="R243" i="2"/>
  <c r="R233" i="2"/>
  <c r="R249" i="2"/>
  <c r="R246" i="2"/>
  <c r="R232" i="2"/>
  <c r="R242" i="2"/>
  <c r="R229" i="2"/>
  <c r="R227" i="2"/>
  <c r="R226" i="2"/>
  <c r="R236" i="2"/>
  <c r="R247" i="2"/>
  <c r="R248" i="2"/>
  <c r="R245" i="2"/>
  <c r="R235" i="2"/>
  <c r="I40" i="31"/>
  <c r="D89" i="31"/>
  <c r="I39" i="31"/>
  <c r="D88" i="31"/>
  <c r="D85" i="31"/>
  <c r="I36" i="31"/>
  <c r="H42" i="31"/>
  <c r="M207" i="36"/>
  <c r="M206" i="36"/>
  <c r="I55" i="35"/>
  <c r="I62" i="36"/>
  <c r="I55" i="37"/>
  <c r="I54" i="35"/>
  <c r="E63" i="35"/>
  <c r="I62" i="35"/>
  <c r="E63" i="36"/>
  <c r="O218" i="2"/>
  <c r="O219" i="2" s="1"/>
  <c r="E63" i="34"/>
  <c r="R235" i="34"/>
  <c r="R229" i="34"/>
  <c r="R245" i="34"/>
  <c r="R250" i="34"/>
  <c r="R248" i="34"/>
  <c r="R240" i="34"/>
  <c r="R232" i="34"/>
  <c r="R233" i="34"/>
  <c r="R249" i="34"/>
  <c r="R244" i="34"/>
  <c r="R231" i="34"/>
  <c r="R241" i="34"/>
  <c r="R246" i="34"/>
  <c r="R229" i="35"/>
  <c r="R237" i="35"/>
  <c r="R245" i="35"/>
  <c r="R227" i="35"/>
  <c r="R235" i="35"/>
  <c r="R243" i="35"/>
  <c r="R250" i="35"/>
  <c r="R242" i="35"/>
  <c r="R234" i="35"/>
  <c r="R248" i="35"/>
  <c r="R240" i="35"/>
  <c r="R232" i="35"/>
  <c r="R233" i="35"/>
  <c r="R249" i="35"/>
  <c r="R239" i="35"/>
  <c r="R246" i="35"/>
  <c r="R230" i="35"/>
  <c r="R236" i="35"/>
  <c r="R226" i="35"/>
  <c r="R241" i="35"/>
  <c r="R231" i="35"/>
  <c r="R247" i="35"/>
  <c r="R238" i="35"/>
  <c r="R244" i="35"/>
  <c r="R228" i="35"/>
  <c r="H87" i="3"/>
  <c r="AJ316" i="3" s="1"/>
  <c r="I87" i="3"/>
  <c r="AJ340" i="3" s="1"/>
  <c r="G87" i="3"/>
  <c r="AJ292" i="3" s="1"/>
  <c r="I42" i="30"/>
  <c r="AA59" i="26"/>
  <c r="AE59" i="26"/>
  <c r="O219" i="35" l="1"/>
  <c r="O218" i="37"/>
  <c r="O219" i="37" s="1"/>
  <c r="H42" i="3"/>
  <c r="L6" i="56"/>
  <c r="L9" i="56" s="1"/>
  <c r="C25" i="56" s="1"/>
  <c r="I25" i="56" s="1"/>
  <c r="E72" i="13"/>
  <c r="R230" i="34"/>
  <c r="R228" i="34"/>
  <c r="R239" i="34"/>
  <c r="R242" i="34"/>
  <c r="R243" i="34"/>
  <c r="R240" i="37"/>
  <c r="R227" i="37"/>
  <c r="R246" i="37"/>
  <c r="D160" i="2"/>
  <c r="L11" i="56"/>
  <c r="C27" i="56" s="1"/>
  <c r="I27" i="56" s="1"/>
  <c r="R236" i="34"/>
  <c r="R247" i="34"/>
  <c r="R238" i="34"/>
  <c r="R226" i="34"/>
  <c r="R234" i="34"/>
  <c r="R237" i="34"/>
  <c r="R245" i="37"/>
  <c r="R244" i="37"/>
  <c r="R241" i="37"/>
  <c r="R226" i="37"/>
  <c r="R236" i="37"/>
  <c r="R233" i="37"/>
  <c r="R229" i="37"/>
  <c r="F27" i="56"/>
  <c r="R248" i="37"/>
  <c r="R243" i="37"/>
  <c r="R237" i="37"/>
  <c r="R231" i="37"/>
  <c r="R242" i="37"/>
  <c r="D86" i="3"/>
  <c r="E86" i="3" s="1"/>
  <c r="I37" i="3"/>
  <c r="I39" i="3"/>
  <c r="D88" i="3"/>
  <c r="E88" i="3" s="1"/>
  <c r="D85" i="3"/>
  <c r="E85" i="3" s="1"/>
  <c r="I36" i="3"/>
  <c r="H85" i="2"/>
  <c r="R235" i="36"/>
  <c r="R227" i="36"/>
  <c r="R229" i="36"/>
  <c r="R228" i="36"/>
  <c r="R248" i="36"/>
  <c r="R239" i="36"/>
  <c r="R240" i="36"/>
  <c r="AI59" i="17"/>
  <c r="R244" i="36"/>
  <c r="R232" i="36"/>
  <c r="R226" i="36"/>
  <c r="R245" i="36"/>
  <c r="R250" i="36"/>
  <c r="R246" i="36"/>
  <c r="R230" i="36"/>
  <c r="R242" i="36"/>
  <c r="R243" i="36"/>
  <c r="R247" i="36"/>
  <c r="R234" i="36"/>
  <c r="R236" i="36"/>
  <c r="R231" i="36"/>
  <c r="R233" i="36"/>
  <c r="R237" i="36"/>
  <c r="R238" i="36"/>
  <c r="R249" i="36"/>
  <c r="AE59" i="17"/>
  <c r="O219" i="34"/>
  <c r="C75" i="36"/>
  <c r="D75" i="36" s="1"/>
  <c r="O218" i="36"/>
  <c r="O219" i="36" s="1"/>
  <c r="H89" i="3"/>
  <c r="AJ318" i="3" s="1"/>
  <c r="AE326" i="3" s="1"/>
  <c r="AE328" i="3" s="1"/>
  <c r="I90" i="3"/>
  <c r="AJ343" i="3" s="1"/>
  <c r="O350" i="3" s="1"/>
  <c r="O352" i="3" s="1"/>
  <c r="F89" i="3"/>
  <c r="AJ270" i="3" s="1"/>
  <c r="U278" i="3" s="1"/>
  <c r="U280" i="3" s="1"/>
  <c r="G89" i="3"/>
  <c r="AJ294" i="3" s="1"/>
  <c r="AE302" i="3" s="1"/>
  <c r="AE304" i="3" s="1"/>
  <c r="H90" i="3"/>
  <c r="AJ319" i="3" s="1"/>
  <c r="F90" i="3"/>
  <c r="AJ271" i="3" s="1"/>
  <c r="C74" i="2"/>
  <c r="D74" i="2" s="1"/>
  <c r="I53" i="3"/>
  <c r="D75" i="3" s="1"/>
  <c r="E75" i="3" s="1"/>
  <c r="G75" i="3" s="1"/>
  <c r="AI297" i="3" s="1"/>
  <c r="J301" i="3" s="1"/>
  <c r="J303" i="3" s="1"/>
  <c r="D57" i="3"/>
  <c r="N302" i="3"/>
  <c r="N304" i="3" s="1"/>
  <c r="C74" i="34"/>
  <c r="D74" i="34" s="1"/>
  <c r="C75" i="37"/>
  <c r="D75" i="37" s="1"/>
  <c r="W302" i="3"/>
  <c r="W304" i="3" s="1"/>
  <c r="W278" i="3"/>
  <c r="W280" i="3" s="1"/>
  <c r="E54" i="3"/>
  <c r="F480" i="3" s="1"/>
  <c r="I54" i="3"/>
  <c r="D76" i="3" s="1"/>
  <c r="E76" i="3" s="1"/>
  <c r="J54" i="3"/>
  <c r="E53" i="3"/>
  <c r="F479" i="3" s="1"/>
  <c r="J53" i="3"/>
  <c r="F94" i="3"/>
  <c r="I94" i="3"/>
  <c r="G94" i="3"/>
  <c r="AJ300" i="3" s="1"/>
  <c r="H94" i="3"/>
  <c r="AJ324" i="3" s="1"/>
  <c r="AB326" i="3" s="1"/>
  <c r="AB328" i="3" s="1"/>
  <c r="E55" i="3"/>
  <c r="F481" i="3" s="1"/>
  <c r="I55" i="3"/>
  <c r="D77" i="3" s="1"/>
  <c r="E77" i="3" s="1"/>
  <c r="J55" i="3"/>
  <c r="C74" i="37"/>
  <c r="D74" i="37" s="1"/>
  <c r="P350" i="3"/>
  <c r="P352" i="3" s="1"/>
  <c r="Q350" i="3"/>
  <c r="Q352" i="3" s="1"/>
  <c r="C74" i="35"/>
  <c r="D74" i="35" s="1"/>
  <c r="C75" i="2"/>
  <c r="D75" i="2" s="1"/>
  <c r="C75" i="34"/>
  <c r="D75" i="34" s="1"/>
  <c r="D75" i="35"/>
  <c r="D74" i="36"/>
  <c r="J226" i="2" a="1"/>
  <c r="J226" i="2" s="1"/>
  <c r="P226" i="2" a="1"/>
  <c r="P229" i="2" s="1"/>
  <c r="S350" i="3"/>
  <c r="S352" i="3" s="1"/>
  <c r="T350" i="3"/>
  <c r="T352" i="3" s="1"/>
  <c r="L350" i="3"/>
  <c r="L352" i="3" s="1"/>
  <c r="L326" i="3"/>
  <c r="L328" i="3" s="1"/>
  <c r="T302" i="3"/>
  <c r="T304" i="3" s="1"/>
  <c r="S302" i="3"/>
  <c r="S304" i="3" s="1"/>
  <c r="S326" i="3"/>
  <c r="S328" i="3" s="1"/>
  <c r="P326" i="3"/>
  <c r="P328" i="3" s="1"/>
  <c r="E56" i="3"/>
  <c r="F482" i="3" s="1"/>
  <c r="I56" i="3"/>
  <c r="I42" i="31"/>
  <c r="AF302" i="3"/>
  <c r="AF304" i="3" s="1"/>
  <c r="O302" i="3"/>
  <c r="O304" i="3" s="1"/>
  <c r="N326" i="3"/>
  <c r="N328" i="3" s="1"/>
  <c r="L70" i="2"/>
  <c r="AD326" i="3"/>
  <c r="AD328" i="3" s="1"/>
  <c r="N350" i="3"/>
  <c r="N352" i="3" s="1"/>
  <c r="O278" i="3"/>
  <c r="O280" i="3" s="1"/>
  <c r="F75" i="3"/>
  <c r="AI273" i="3" s="1"/>
  <c r="AD350" i="3"/>
  <c r="AD352" i="3" s="1"/>
  <c r="AE278" i="3"/>
  <c r="AE280" i="3" s="1"/>
  <c r="L16" i="56" l="1"/>
  <c r="C32" i="56" s="1"/>
  <c r="F32" i="56" s="1"/>
  <c r="L14" i="56"/>
  <c r="C30" i="56" s="1"/>
  <c r="L15" i="56"/>
  <c r="C31" i="56" s="1"/>
  <c r="L31" i="56" s="1"/>
  <c r="L13" i="56"/>
  <c r="C29" i="56" s="1"/>
  <c r="L29" i="56" s="1"/>
  <c r="F25" i="56"/>
  <c r="L7" i="56"/>
  <c r="C23" i="56" s="1"/>
  <c r="F23" i="56" s="1"/>
  <c r="I42" i="3"/>
  <c r="L25" i="56"/>
  <c r="L12" i="56"/>
  <c r="C28" i="56" s="1"/>
  <c r="L28" i="56" s="1"/>
  <c r="H87" i="2"/>
  <c r="F127" i="2" s="1"/>
  <c r="F132" i="13"/>
  <c r="L27" i="56"/>
  <c r="L8" i="56"/>
  <c r="C24" i="56" s="1"/>
  <c r="L24" i="56" s="1"/>
  <c r="L10" i="56"/>
  <c r="C26" i="56" s="1"/>
  <c r="F29" i="56"/>
  <c r="I29" i="56"/>
  <c r="I23" i="56"/>
  <c r="L23" i="56"/>
  <c r="L32" i="56"/>
  <c r="I31" i="56"/>
  <c r="F31" i="56"/>
  <c r="E132" i="13"/>
  <c r="G88" i="3"/>
  <c r="AJ293" i="3" s="1"/>
  <c r="K302" i="3" s="1"/>
  <c r="K304" i="3" s="1"/>
  <c r="F88" i="3"/>
  <c r="AJ269" i="3" s="1"/>
  <c r="T278" i="3" s="1"/>
  <c r="T280" i="3" s="1"/>
  <c r="H88" i="3"/>
  <c r="AJ317" i="3" s="1"/>
  <c r="T326" i="3" s="1"/>
  <c r="T328" i="3" s="1"/>
  <c r="I88" i="3"/>
  <c r="AJ341" i="3" s="1"/>
  <c r="I86" i="3"/>
  <c r="AJ339" i="3" s="1"/>
  <c r="F86" i="3"/>
  <c r="AJ267" i="3" s="1"/>
  <c r="M278" i="3" s="1"/>
  <c r="M280" i="3" s="1"/>
  <c r="H86" i="3"/>
  <c r="AJ315" i="3" s="1"/>
  <c r="G86" i="3"/>
  <c r="AJ291" i="3" s="1"/>
  <c r="M302" i="3" s="1"/>
  <c r="M304" i="3" s="1"/>
  <c r="F85" i="3"/>
  <c r="AJ266" i="3" s="1"/>
  <c r="Q278" i="3" s="1"/>
  <c r="Q280" i="3" s="1"/>
  <c r="G85" i="3"/>
  <c r="AJ290" i="3" s="1"/>
  <c r="Q302" i="3" s="1"/>
  <c r="Q304" i="3" s="1"/>
  <c r="I85" i="3"/>
  <c r="AJ338" i="3" s="1"/>
  <c r="H85" i="3"/>
  <c r="AJ314" i="3" s="1"/>
  <c r="Q326" i="3" s="1"/>
  <c r="Q328" i="3" s="1"/>
  <c r="U302" i="3"/>
  <c r="U304" i="3" s="1"/>
  <c r="I302" i="3"/>
  <c r="I304" i="3" s="1"/>
  <c r="I278" i="3"/>
  <c r="I280" i="3" s="1"/>
  <c r="I75" i="3"/>
  <c r="AI345" i="3" s="1"/>
  <c r="V349" i="3" s="1"/>
  <c r="V351" i="3" s="1"/>
  <c r="H75" i="3"/>
  <c r="AI321" i="3" s="1"/>
  <c r="E57" i="3"/>
  <c r="U349" i="3"/>
  <c r="U351" i="3" s="1"/>
  <c r="J57" i="3"/>
  <c r="D481" i="3"/>
  <c r="H481" i="3"/>
  <c r="D482" i="3"/>
  <c r="H482" i="3"/>
  <c r="D480" i="3"/>
  <c r="H480" i="3"/>
  <c r="F77" i="3"/>
  <c r="AI275" i="3" s="1"/>
  <c r="I77" i="3"/>
  <c r="AI347" i="3" s="1"/>
  <c r="H77" i="3"/>
  <c r="AI323" i="3" s="1"/>
  <c r="G77" i="3"/>
  <c r="AI299" i="3" s="1"/>
  <c r="D91" i="3"/>
  <c r="E91" i="3" s="1"/>
  <c r="K53" i="3"/>
  <c r="K54" i="3"/>
  <c r="D92" i="3"/>
  <c r="E92" i="3" s="1"/>
  <c r="K55" i="3"/>
  <c r="D93" i="3"/>
  <c r="E93" i="3" s="1"/>
  <c r="D479" i="3"/>
  <c r="H479" i="3"/>
  <c r="F76" i="3"/>
  <c r="AI274" i="3" s="1"/>
  <c r="H76" i="3"/>
  <c r="AI322" i="3" s="1"/>
  <c r="O325" i="3" s="1"/>
  <c r="O327" i="3" s="1"/>
  <c r="G76" i="3"/>
  <c r="AI298" i="3" s="1"/>
  <c r="I76" i="3"/>
  <c r="AI346" i="3" s="1"/>
  <c r="J245" i="2"/>
  <c r="P240" i="2"/>
  <c r="P227" i="2"/>
  <c r="J229" i="2"/>
  <c r="P241" i="2"/>
  <c r="J246" i="2"/>
  <c r="J244" i="2"/>
  <c r="J234" i="2"/>
  <c r="P250" i="2"/>
  <c r="P239" i="2"/>
  <c r="P226" i="2"/>
  <c r="G75" i="37"/>
  <c r="F75" i="37"/>
  <c r="G75" i="2"/>
  <c r="F75" i="2"/>
  <c r="G74" i="36"/>
  <c r="F74" i="36"/>
  <c r="G75" i="35"/>
  <c r="F75" i="35"/>
  <c r="G74" i="34"/>
  <c r="F74" i="34"/>
  <c r="G74" i="37"/>
  <c r="F74" i="37"/>
  <c r="G75" i="34"/>
  <c r="F75" i="34"/>
  <c r="G74" i="35"/>
  <c r="F74" i="35"/>
  <c r="G75" i="36"/>
  <c r="F75" i="36"/>
  <c r="G74" i="2"/>
  <c r="F74" i="2"/>
  <c r="J231" i="2"/>
  <c r="J228" i="2"/>
  <c r="J230" i="2"/>
  <c r="J238" i="2"/>
  <c r="J232" i="2"/>
  <c r="J227" i="2"/>
  <c r="J233" i="2"/>
  <c r="J247" i="2"/>
  <c r="J243" i="2"/>
  <c r="J236" i="2"/>
  <c r="J249" i="2"/>
  <c r="J235" i="2"/>
  <c r="J240" i="2"/>
  <c r="J242" i="2"/>
  <c r="J250" i="2"/>
  <c r="J241" i="2"/>
  <c r="J239" i="2"/>
  <c r="J248" i="2"/>
  <c r="J237" i="2"/>
  <c r="P243" i="2"/>
  <c r="P244" i="2"/>
  <c r="P246" i="2"/>
  <c r="P232" i="2"/>
  <c r="P237" i="2"/>
  <c r="P247" i="2"/>
  <c r="P230" i="2"/>
  <c r="P236" i="2"/>
  <c r="P242" i="2"/>
  <c r="P233" i="2"/>
  <c r="P235" i="2"/>
  <c r="P245" i="2"/>
  <c r="P234" i="2"/>
  <c r="P228" i="2"/>
  <c r="P238" i="2"/>
  <c r="P248" i="2"/>
  <c r="P249" i="2"/>
  <c r="P231" i="2"/>
  <c r="U350" i="3"/>
  <c r="U352" i="3" s="1"/>
  <c r="AJ348" i="3"/>
  <c r="AC350" i="3" s="1"/>
  <c r="AC352" i="3" s="1"/>
  <c r="AJ276" i="3"/>
  <c r="H278" i="3" s="1"/>
  <c r="H280" i="3" s="1"/>
  <c r="H473" i="3"/>
  <c r="D78" i="3"/>
  <c r="E78" i="3" s="1"/>
  <c r="I57" i="3"/>
  <c r="K56" i="3"/>
  <c r="L87" i="2"/>
  <c r="V277" i="3"/>
  <c r="V279" i="3" s="1"/>
  <c r="AA350" i="3"/>
  <c r="AA352" i="3" s="1"/>
  <c r="V301" i="3"/>
  <c r="V303" i="3" s="1"/>
  <c r="H302" i="3"/>
  <c r="H304" i="3" s="1"/>
  <c r="AB302" i="3"/>
  <c r="AB304" i="3" s="1"/>
  <c r="AA326" i="3"/>
  <c r="AA328" i="3" s="1"/>
  <c r="H326" i="3"/>
  <c r="H328" i="3" s="1"/>
  <c r="I32" i="56" l="1"/>
  <c r="L17" i="56"/>
  <c r="F28" i="56"/>
  <c r="C108" i="56" s="1"/>
  <c r="C110" i="13" s="1"/>
  <c r="C77" i="36" s="1"/>
  <c r="F124" i="36" s="1"/>
  <c r="L30" i="56"/>
  <c r="I30" i="56"/>
  <c r="F30" i="56"/>
  <c r="F26" i="56"/>
  <c r="I26" i="56"/>
  <c r="L26" i="56"/>
  <c r="C104" i="56"/>
  <c r="C106" i="13" s="1"/>
  <c r="C73" i="34" s="1"/>
  <c r="D73" i="34" s="1"/>
  <c r="G73" i="34" s="1"/>
  <c r="I28" i="56"/>
  <c r="I24" i="56"/>
  <c r="F24" i="56"/>
  <c r="D77" i="36"/>
  <c r="AE195" i="36" s="1"/>
  <c r="C77" i="34"/>
  <c r="D77" i="34" s="1"/>
  <c r="AE195" i="34" s="1"/>
  <c r="G208" i="34" s="1"/>
  <c r="G209" i="34" s="1"/>
  <c r="G212" i="34" s="1"/>
  <c r="C77" i="35"/>
  <c r="D77" i="35" s="1"/>
  <c r="AE195" i="35" s="1"/>
  <c r="C77" i="37"/>
  <c r="D77" i="37" s="1"/>
  <c r="AE195" i="37" s="1"/>
  <c r="C110" i="56"/>
  <c r="C112" i="13" s="1"/>
  <c r="C109" i="56"/>
  <c r="W350" i="3"/>
  <c r="W352" i="3" s="1"/>
  <c r="M350" i="3"/>
  <c r="M352" i="3" s="1"/>
  <c r="W326" i="3"/>
  <c r="W328" i="3" s="1"/>
  <c r="M326" i="3"/>
  <c r="M328" i="3" s="1"/>
  <c r="AH349" i="3"/>
  <c r="AH351" i="3" s="1"/>
  <c r="X349" i="3"/>
  <c r="X351" i="3" s="1"/>
  <c r="AF325" i="3"/>
  <c r="AF327" i="3" s="1"/>
  <c r="J325" i="3"/>
  <c r="J327" i="3" s="1"/>
  <c r="D483" i="3"/>
  <c r="E481" i="3" s="1"/>
  <c r="K57" i="3"/>
  <c r="AF349" i="3"/>
  <c r="AF351" i="3" s="1"/>
  <c r="V325" i="3"/>
  <c r="V327" i="3" s="1"/>
  <c r="F474" i="3"/>
  <c r="F477" i="3"/>
  <c r="F473" i="3"/>
  <c r="F475" i="3"/>
  <c r="F476" i="3"/>
  <c r="F478" i="3"/>
  <c r="F91" i="3"/>
  <c r="AJ273" i="3" s="1"/>
  <c r="I91" i="3"/>
  <c r="AJ345" i="3" s="1"/>
  <c r="AF350" i="3" s="1"/>
  <c r="AF352" i="3" s="1"/>
  <c r="H91" i="3"/>
  <c r="AJ321" i="3" s="1"/>
  <c r="G91" i="3"/>
  <c r="AJ297" i="3" s="1"/>
  <c r="J302" i="3" s="1"/>
  <c r="J304" i="3" s="1"/>
  <c r="G93" i="3"/>
  <c r="AJ299" i="3" s="1"/>
  <c r="I93" i="3"/>
  <c r="AJ347" i="3" s="1"/>
  <c r="H93" i="3"/>
  <c r="AJ323" i="3" s="1"/>
  <c r="F93" i="3"/>
  <c r="AJ275" i="3" s="1"/>
  <c r="F92" i="3"/>
  <c r="AJ274" i="3" s="1"/>
  <c r="G92" i="3"/>
  <c r="AJ298" i="3" s="1"/>
  <c r="I92" i="3"/>
  <c r="AJ346" i="3" s="1"/>
  <c r="H92" i="3"/>
  <c r="AJ322" i="3" s="1"/>
  <c r="G77" i="36"/>
  <c r="AB278" i="3"/>
  <c r="AB280" i="3" s="1"/>
  <c r="G208" i="2"/>
  <c r="G209" i="2" s="1"/>
  <c r="G208" i="35"/>
  <c r="G209" i="35" s="1"/>
  <c r="G208" i="36"/>
  <c r="G209" i="36" s="1"/>
  <c r="G208" i="37"/>
  <c r="G209" i="37" s="1"/>
  <c r="F78" i="3"/>
  <c r="AI276" i="3" s="1"/>
  <c r="I78" i="3"/>
  <c r="AI348" i="3" s="1"/>
  <c r="G78" i="3"/>
  <c r="AI300" i="3" s="1"/>
  <c r="H78" i="3"/>
  <c r="AI324" i="3" s="1"/>
  <c r="H483" i="3"/>
  <c r="AE193" i="2"/>
  <c r="AE192" i="2"/>
  <c r="D157" i="2"/>
  <c r="G127" i="2"/>
  <c r="F157" i="2" s="1"/>
  <c r="AE194" i="2"/>
  <c r="AE198" i="2"/>
  <c r="T208" i="2" s="1"/>
  <c r="T209" i="2" s="1"/>
  <c r="E100" i="2"/>
  <c r="E97" i="2"/>
  <c r="E95" i="2"/>
  <c r="E102" i="2"/>
  <c r="E99" i="2"/>
  <c r="E98" i="2"/>
  <c r="E96" i="2"/>
  <c r="E101" i="2"/>
  <c r="E93" i="2"/>
  <c r="E94" i="2"/>
  <c r="C73" i="37" l="1"/>
  <c r="G77" i="37"/>
  <c r="H77" i="37" s="1"/>
  <c r="C73" i="35"/>
  <c r="C77" i="2"/>
  <c r="F73" i="34"/>
  <c r="F120" i="34"/>
  <c r="C73" i="36"/>
  <c r="F120" i="36" s="1"/>
  <c r="F77" i="36"/>
  <c r="H77" i="36" s="1"/>
  <c r="C73" i="2"/>
  <c r="F120" i="2" s="1"/>
  <c r="F77" i="37"/>
  <c r="G77" i="34"/>
  <c r="F77" i="35"/>
  <c r="D73" i="36"/>
  <c r="G211" i="34"/>
  <c r="F77" i="34"/>
  <c r="G77" i="35"/>
  <c r="F124" i="34"/>
  <c r="F124" i="37"/>
  <c r="D73" i="2"/>
  <c r="F73" i="2" s="1"/>
  <c r="F124" i="35"/>
  <c r="C79" i="2"/>
  <c r="C79" i="37"/>
  <c r="C79" i="35"/>
  <c r="C79" i="34"/>
  <c r="C79" i="36"/>
  <c r="F120" i="35"/>
  <c r="D73" i="35"/>
  <c r="C111" i="13"/>
  <c r="C111" i="56"/>
  <c r="AE191" i="2"/>
  <c r="L208" i="2" s="1"/>
  <c r="L209" i="2" s="1"/>
  <c r="AH350" i="3"/>
  <c r="AH352" i="3" s="1"/>
  <c r="X350" i="3"/>
  <c r="X352" i="3" s="1"/>
  <c r="AF326" i="3"/>
  <c r="AF328" i="3" s="1"/>
  <c r="J326" i="3"/>
  <c r="J328" i="3" s="1"/>
  <c r="E478" i="3"/>
  <c r="AH326" i="3"/>
  <c r="AH328" i="3" s="1"/>
  <c r="O326" i="3"/>
  <c r="O328" i="3" s="1"/>
  <c r="E476" i="3"/>
  <c r="E480" i="3"/>
  <c r="E475" i="3"/>
  <c r="E474" i="3"/>
  <c r="E482" i="3"/>
  <c r="E477" i="3"/>
  <c r="E479" i="3"/>
  <c r="E473" i="3"/>
  <c r="F483" i="3"/>
  <c r="G473" i="3" s="1"/>
  <c r="D10" i="30" s="1"/>
  <c r="C10" i="30" s="1"/>
  <c r="H77" i="34"/>
  <c r="I480" i="3"/>
  <c r="I482" i="3"/>
  <c r="I481" i="3"/>
  <c r="V326" i="3"/>
  <c r="V328" i="3" s="1"/>
  <c r="AG326" i="3"/>
  <c r="AG328" i="3" s="1"/>
  <c r="V278" i="3"/>
  <c r="V280" i="3" s="1"/>
  <c r="K278" i="3"/>
  <c r="K280" i="3" s="1"/>
  <c r="AH302" i="3"/>
  <c r="AH304" i="3" s="1"/>
  <c r="V302" i="3"/>
  <c r="V304" i="3" s="1"/>
  <c r="V350" i="3"/>
  <c r="V352" i="3" s="1"/>
  <c r="AG350" i="3"/>
  <c r="AG352" i="3" s="1"/>
  <c r="Y208" i="2"/>
  <c r="Y209" i="2" s="1"/>
  <c r="U208" i="2"/>
  <c r="U209" i="2" s="1"/>
  <c r="Q208" i="2"/>
  <c r="Q209" i="2" s="1"/>
  <c r="S208" i="2"/>
  <c r="S209" i="2" s="1"/>
  <c r="R208" i="2"/>
  <c r="R209" i="2" s="1"/>
  <c r="AB208" i="2"/>
  <c r="AB209" i="2" s="1"/>
  <c r="Z208" i="2"/>
  <c r="Z209" i="2" s="1"/>
  <c r="X208" i="2"/>
  <c r="X209" i="2" s="1"/>
  <c r="V208" i="2"/>
  <c r="V209" i="2" s="1"/>
  <c r="AA208" i="2"/>
  <c r="AA209" i="2" s="1"/>
  <c r="W208" i="2"/>
  <c r="W209" i="2" s="1"/>
  <c r="P208" i="2"/>
  <c r="P209" i="2" s="1"/>
  <c r="G211" i="37"/>
  <c r="G212" i="37"/>
  <c r="G212" i="36"/>
  <c r="G211" i="36"/>
  <c r="G212" i="35"/>
  <c r="G211" i="35"/>
  <c r="G212" i="2"/>
  <c r="G211" i="2"/>
  <c r="AB325" i="3"/>
  <c r="AB327" i="3" s="1"/>
  <c r="AH325" i="3"/>
  <c r="AH327" i="3" s="1"/>
  <c r="H301" i="3"/>
  <c r="H303" i="3" s="1"/>
  <c r="AB301" i="3"/>
  <c r="AB303" i="3" s="1"/>
  <c r="AH301" i="3"/>
  <c r="AH303" i="3" s="1"/>
  <c r="AA325" i="3"/>
  <c r="AA327" i="3" s="1"/>
  <c r="H325" i="3"/>
  <c r="H327" i="3" s="1"/>
  <c r="AG325" i="3"/>
  <c r="AG327" i="3" s="1"/>
  <c r="I473" i="3"/>
  <c r="I479" i="3"/>
  <c r="I476" i="3"/>
  <c r="I475" i="3"/>
  <c r="I478" i="3"/>
  <c r="I474" i="3"/>
  <c r="I477" i="3"/>
  <c r="H277" i="3"/>
  <c r="H279" i="3" s="1"/>
  <c r="AB277" i="3"/>
  <c r="AB279" i="3" s="1"/>
  <c r="K277" i="3"/>
  <c r="K279" i="3" s="1"/>
  <c r="AC349" i="3"/>
  <c r="AC351" i="3" s="1"/>
  <c r="AA349" i="3"/>
  <c r="AA351" i="3" s="1"/>
  <c r="AG349" i="3"/>
  <c r="AG351" i="3" s="1"/>
  <c r="E103" i="2"/>
  <c r="G93" i="2"/>
  <c r="F93" i="2"/>
  <c r="H93" i="2"/>
  <c r="G99" i="2"/>
  <c r="H99" i="2"/>
  <c r="F99" i="2"/>
  <c r="F95" i="2"/>
  <c r="H95" i="2"/>
  <c r="G95" i="2"/>
  <c r="G100" i="2"/>
  <c r="H100" i="2"/>
  <c r="F100" i="2"/>
  <c r="C80" i="2"/>
  <c r="F110" i="2" s="1"/>
  <c r="G110" i="2" s="1"/>
  <c r="F122" i="2"/>
  <c r="H76" i="2"/>
  <c r="H96" i="2"/>
  <c r="F96" i="2"/>
  <c r="G96" i="2"/>
  <c r="H94" i="2"/>
  <c r="F94" i="2"/>
  <c r="G94" i="2"/>
  <c r="F101" i="2"/>
  <c r="G101" i="2"/>
  <c r="H101" i="2"/>
  <c r="F98" i="2"/>
  <c r="H98" i="2"/>
  <c r="G98" i="2"/>
  <c r="H102" i="2"/>
  <c r="G102" i="2"/>
  <c r="F102" i="2"/>
  <c r="H97" i="2"/>
  <c r="F97" i="2"/>
  <c r="G97" i="2"/>
  <c r="W205" i="2"/>
  <c r="L210" i="2"/>
  <c r="R210" i="2"/>
  <c r="V210" i="2"/>
  <c r="Z210" i="2"/>
  <c r="Q210" i="2"/>
  <c r="W210" i="2"/>
  <c r="AA210" i="2"/>
  <c r="P205" i="2"/>
  <c r="Y205" i="2"/>
  <c r="Q205" i="2"/>
  <c r="T205" i="2"/>
  <c r="X205" i="2"/>
  <c r="AB205" i="2"/>
  <c r="P210" i="2"/>
  <c r="T210" i="2"/>
  <c r="X210" i="2"/>
  <c r="AB210" i="2"/>
  <c r="S210" i="2"/>
  <c r="Y210" i="2"/>
  <c r="L205" i="2"/>
  <c r="S205" i="2"/>
  <c r="AA205" i="2"/>
  <c r="R205" i="2"/>
  <c r="V205" i="2"/>
  <c r="Z205" i="2"/>
  <c r="F123" i="2"/>
  <c r="F121" i="2"/>
  <c r="F80" i="2"/>
  <c r="H74" i="2"/>
  <c r="H75" i="2"/>
  <c r="H77" i="35" l="1"/>
  <c r="D77" i="2"/>
  <c r="F124" i="2"/>
  <c r="G73" i="2"/>
  <c r="H73" i="2" s="1"/>
  <c r="F120" i="37"/>
  <c r="D73" i="37"/>
  <c r="D80" i="2"/>
  <c r="G73" i="36"/>
  <c r="F73" i="36"/>
  <c r="F126" i="36"/>
  <c r="D79" i="36"/>
  <c r="D79" i="2"/>
  <c r="F126" i="2"/>
  <c r="D79" i="37"/>
  <c r="F126" i="37"/>
  <c r="G73" i="35"/>
  <c r="F73" i="35"/>
  <c r="F126" i="35"/>
  <c r="D79" i="35"/>
  <c r="C78" i="36"/>
  <c r="C78" i="34"/>
  <c r="C113" i="13"/>
  <c r="C78" i="35"/>
  <c r="C78" i="37"/>
  <c r="C78" i="2"/>
  <c r="D79" i="34"/>
  <c r="F126" i="34"/>
  <c r="G80" i="2"/>
  <c r="G474" i="3"/>
  <c r="D11" i="30" s="1"/>
  <c r="C11" i="30" s="1"/>
  <c r="G481" i="3"/>
  <c r="D18" i="30" s="1"/>
  <c r="C18" i="30" s="1"/>
  <c r="C77" i="30" s="1"/>
  <c r="G475" i="3"/>
  <c r="D12" i="30" s="1"/>
  <c r="C12" i="30" s="1"/>
  <c r="G480" i="3"/>
  <c r="D17" i="30" s="1"/>
  <c r="C17" i="30" s="1"/>
  <c r="G476" i="3"/>
  <c r="D13" i="30" s="1"/>
  <c r="C13" i="30" s="1"/>
  <c r="G479" i="3"/>
  <c r="D16" i="30" s="1"/>
  <c r="C16" i="30" s="1"/>
  <c r="G478" i="3"/>
  <c r="D15" i="30" s="1"/>
  <c r="C15" i="30" s="1"/>
  <c r="G477" i="3"/>
  <c r="D14" i="30" s="1"/>
  <c r="G482" i="3"/>
  <c r="D19" i="30" s="1"/>
  <c r="C19" i="30" s="1"/>
  <c r="G15" i="17"/>
  <c r="G397" i="3" a="1"/>
  <c r="G397" i="3" s="1"/>
  <c r="H361" i="3" a="1"/>
  <c r="H364" i="3" s="1"/>
  <c r="G361" i="3" a="1"/>
  <c r="G361" i="3" s="1"/>
  <c r="F361" i="3" a="1"/>
  <c r="F364" i="3" s="1"/>
  <c r="E361" i="3" a="1"/>
  <c r="H397" i="3" a="1"/>
  <c r="F397" i="3" a="1"/>
  <c r="E397" i="3" a="1"/>
  <c r="E76" i="2"/>
  <c r="E77" i="2"/>
  <c r="E79" i="2"/>
  <c r="E75" i="2"/>
  <c r="E74" i="2"/>
  <c r="G7" i="17"/>
  <c r="I99" i="2"/>
  <c r="I100" i="2"/>
  <c r="I93" i="2"/>
  <c r="V206" i="2"/>
  <c r="V207" i="2"/>
  <c r="AA207" i="2"/>
  <c r="AA206" i="2"/>
  <c r="L206" i="2"/>
  <c r="L207" i="2"/>
  <c r="X211" i="2"/>
  <c r="X212" i="2"/>
  <c r="P212" i="2"/>
  <c r="P211" i="2"/>
  <c r="X207" i="2"/>
  <c r="X206" i="2"/>
  <c r="Q207" i="2"/>
  <c r="Q206" i="2"/>
  <c r="P206" i="2"/>
  <c r="P207" i="2"/>
  <c r="W211" i="2"/>
  <c r="W212" i="2"/>
  <c r="Z211" i="2"/>
  <c r="Z212" i="2"/>
  <c r="W206" i="2"/>
  <c r="W207" i="2"/>
  <c r="R211" i="2"/>
  <c r="R212" i="2"/>
  <c r="S212" i="2"/>
  <c r="S211" i="2"/>
  <c r="D152" i="2"/>
  <c r="G122" i="2"/>
  <c r="F152" i="2" s="1"/>
  <c r="H152" i="2"/>
  <c r="L212" i="2"/>
  <c r="L211" i="2"/>
  <c r="F118" i="2"/>
  <c r="F113" i="2"/>
  <c r="F111" i="2"/>
  <c r="F112" i="2"/>
  <c r="F117" i="2"/>
  <c r="F119" i="2"/>
  <c r="H140" i="2"/>
  <c r="F116" i="2"/>
  <c r="F114" i="2"/>
  <c r="F115" i="2"/>
  <c r="I102" i="2"/>
  <c r="I98" i="2"/>
  <c r="I101" i="2"/>
  <c r="I96" i="2"/>
  <c r="D151" i="2"/>
  <c r="G121" i="2"/>
  <c r="F151" i="2" s="1"/>
  <c r="H151" i="2"/>
  <c r="G123" i="2"/>
  <c r="F153" i="2" s="1"/>
  <c r="D153" i="2"/>
  <c r="H153" i="2"/>
  <c r="Z207" i="2"/>
  <c r="Z206" i="2"/>
  <c r="R207" i="2"/>
  <c r="R206" i="2"/>
  <c r="S206" i="2"/>
  <c r="S207" i="2"/>
  <c r="AB211" i="2"/>
  <c r="AB212" i="2"/>
  <c r="T211" i="2"/>
  <c r="T212" i="2"/>
  <c r="AB207" i="2"/>
  <c r="AB206" i="2"/>
  <c r="T207" i="2"/>
  <c r="T206" i="2"/>
  <c r="Y206" i="2"/>
  <c r="Y207" i="2"/>
  <c r="AA212" i="2"/>
  <c r="AA211" i="2"/>
  <c r="V211" i="2"/>
  <c r="V212" i="2"/>
  <c r="Y212" i="2"/>
  <c r="Y211" i="2"/>
  <c r="Q211" i="2"/>
  <c r="Q212" i="2"/>
  <c r="U211" i="2"/>
  <c r="U212" i="2"/>
  <c r="D150" i="2"/>
  <c r="G120" i="2"/>
  <c r="F150" i="2" s="1"/>
  <c r="H150" i="2"/>
  <c r="I97" i="2"/>
  <c r="I94" i="2"/>
  <c r="E73" i="2"/>
  <c r="I95" i="2"/>
  <c r="F103" i="2"/>
  <c r="G124" i="2" l="1"/>
  <c r="F154" i="2" s="1"/>
  <c r="H154" i="2"/>
  <c r="D154" i="2"/>
  <c r="G73" i="37"/>
  <c r="F73" i="37"/>
  <c r="AE195" i="2"/>
  <c r="G77" i="2"/>
  <c r="H77" i="2" s="1"/>
  <c r="F77" i="2"/>
  <c r="AE197" i="36"/>
  <c r="F79" i="36"/>
  <c r="G79" i="36"/>
  <c r="D78" i="2"/>
  <c r="F125" i="2"/>
  <c r="D78" i="34"/>
  <c r="F125" i="34"/>
  <c r="AE197" i="34"/>
  <c r="G79" i="34"/>
  <c r="F79" i="34"/>
  <c r="AE197" i="37"/>
  <c r="G79" i="37"/>
  <c r="F79" i="37"/>
  <c r="E78" i="2"/>
  <c r="AE197" i="35"/>
  <c r="G79" i="35"/>
  <c r="F79" i="35"/>
  <c r="D78" i="37"/>
  <c r="F125" i="37"/>
  <c r="D78" i="36"/>
  <c r="F125" i="36"/>
  <c r="AE197" i="2"/>
  <c r="F79" i="2"/>
  <c r="G79" i="2"/>
  <c r="F125" i="35"/>
  <c r="D78" i="35"/>
  <c r="D156" i="2"/>
  <c r="G126" i="2"/>
  <c r="F156" i="2" s="1"/>
  <c r="H156" i="2"/>
  <c r="W217" i="2"/>
  <c r="G10" i="17"/>
  <c r="G9" i="17"/>
  <c r="G12" i="17"/>
  <c r="G13" i="17"/>
  <c r="G8" i="17"/>
  <c r="G16" i="17"/>
  <c r="C14" i="30"/>
  <c r="H10" i="30" s="1"/>
  <c r="G11" i="17"/>
  <c r="G385" i="3"/>
  <c r="G426" i="3"/>
  <c r="W218" i="2"/>
  <c r="G399" i="3"/>
  <c r="G424" i="3"/>
  <c r="F361" i="3"/>
  <c r="F15" i="17"/>
  <c r="C93" i="30"/>
  <c r="F14" i="17"/>
  <c r="G14" i="17"/>
  <c r="G413" i="3"/>
  <c r="G415" i="3"/>
  <c r="G410" i="3"/>
  <c r="G408" i="3"/>
  <c r="G405" i="3"/>
  <c r="G421" i="3"/>
  <c r="G407" i="3"/>
  <c r="G423" i="3"/>
  <c r="G418" i="3"/>
  <c r="G402" i="3"/>
  <c r="G416" i="3"/>
  <c r="G400" i="3"/>
  <c r="G401" i="3"/>
  <c r="G409" i="3"/>
  <c r="G417" i="3"/>
  <c r="G425" i="3"/>
  <c r="G403" i="3"/>
  <c r="G411" i="3"/>
  <c r="G419" i="3"/>
  <c r="G427" i="3"/>
  <c r="G422" i="3"/>
  <c r="G414" i="3"/>
  <c r="G406" i="3"/>
  <c r="G398" i="3"/>
  <c r="G420" i="3"/>
  <c r="G412" i="3"/>
  <c r="G404" i="3"/>
  <c r="F389" i="3"/>
  <c r="F383" i="3"/>
  <c r="F362" i="3"/>
  <c r="F379" i="3"/>
  <c r="F373" i="3"/>
  <c r="F378" i="3"/>
  <c r="F376" i="3"/>
  <c r="F363" i="3"/>
  <c r="F367" i="3"/>
  <c r="F365" i="3"/>
  <c r="F381" i="3"/>
  <c r="F386" i="3"/>
  <c r="F370" i="3"/>
  <c r="F384" i="3"/>
  <c r="F368" i="3"/>
  <c r="H371" i="3"/>
  <c r="H387" i="3"/>
  <c r="H373" i="3"/>
  <c r="H389" i="3"/>
  <c r="H370" i="3"/>
  <c r="H374" i="3"/>
  <c r="H376" i="3"/>
  <c r="H361" i="3"/>
  <c r="H363" i="3"/>
  <c r="H379" i="3"/>
  <c r="H365" i="3"/>
  <c r="H381" i="3"/>
  <c r="H386" i="3"/>
  <c r="H388" i="3"/>
  <c r="H384" i="3"/>
  <c r="H368" i="3"/>
  <c r="H367" i="3"/>
  <c r="H375" i="3"/>
  <c r="H383" i="3"/>
  <c r="H391" i="3"/>
  <c r="H369" i="3"/>
  <c r="H377" i="3"/>
  <c r="H385" i="3"/>
  <c r="H390" i="3"/>
  <c r="H378" i="3"/>
  <c r="H362" i="3"/>
  <c r="H382" i="3"/>
  <c r="H366" i="3"/>
  <c r="H380" i="3"/>
  <c r="H372" i="3"/>
  <c r="G382" i="3"/>
  <c r="F371" i="3"/>
  <c r="F387" i="3"/>
  <c r="F375" i="3"/>
  <c r="F391" i="3"/>
  <c r="F369" i="3"/>
  <c r="F377" i="3"/>
  <c r="F385" i="3"/>
  <c r="F390" i="3"/>
  <c r="F382" i="3"/>
  <c r="F374" i="3"/>
  <c r="F366" i="3"/>
  <c r="F388" i="3"/>
  <c r="F380" i="3"/>
  <c r="F372" i="3"/>
  <c r="G381" i="3"/>
  <c r="G375" i="3"/>
  <c r="G388" i="3"/>
  <c r="G365" i="3"/>
  <c r="G369" i="3"/>
  <c r="G367" i="3"/>
  <c r="G387" i="3"/>
  <c r="G366" i="3"/>
  <c r="G372" i="3"/>
  <c r="D20" i="30"/>
  <c r="G373" i="3"/>
  <c r="G389" i="3"/>
  <c r="G377" i="3"/>
  <c r="G363" i="3"/>
  <c r="G371" i="3"/>
  <c r="G379" i="3"/>
  <c r="G390" i="3"/>
  <c r="G374" i="3"/>
  <c r="G362" i="3"/>
  <c r="G380" i="3"/>
  <c r="G364" i="3"/>
  <c r="G383" i="3"/>
  <c r="G391" i="3"/>
  <c r="G386" i="3"/>
  <c r="G378" i="3"/>
  <c r="G370" i="3"/>
  <c r="G384" i="3"/>
  <c r="G376" i="3"/>
  <c r="G368" i="3"/>
  <c r="F16" i="17"/>
  <c r="F397" i="3"/>
  <c r="F400" i="3"/>
  <c r="F404" i="3"/>
  <c r="F408" i="3"/>
  <c r="F412" i="3"/>
  <c r="F416" i="3"/>
  <c r="F420" i="3"/>
  <c r="F424" i="3"/>
  <c r="F398" i="3"/>
  <c r="F402" i="3"/>
  <c r="F406" i="3"/>
  <c r="F410" i="3"/>
  <c r="F414" i="3"/>
  <c r="F418" i="3"/>
  <c r="F422" i="3"/>
  <c r="F426" i="3"/>
  <c r="F425" i="3"/>
  <c r="F421" i="3"/>
  <c r="F417" i="3"/>
  <c r="F413" i="3"/>
  <c r="F409" i="3"/>
  <c r="F405" i="3"/>
  <c r="F401" i="3"/>
  <c r="F427" i="3"/>
  <c r="F423" i="3"/>
  <c r="F419" i="3"/>
  <c r="F415" i="3"/>
  <c r="F411" i="3"/>
  <c r="F407" i="3"/>
  <c r="F403" i="3"/>
  <c r="F399" i="3"/>
  <c r="E361" i="3"/>
  <c r="E364" i="3"/>
  <c r="E368" i="3"/>
  <c r="E372" i="3"/>
  <c r="E376" i="3"/>
  <c r="E380" i="3"/>
  <c r="E384" i="3"/>
  <c r="E388" i="3"/>
  <c r="E362" i="3"/>
  <c r="E366" i="3"/>
  <c r="E370" i="3"/>
  <c r="E374" i="3"/>
  <c r="E378" i="3"/>
  <c r="E382" i="3"/>
  <c r="E386" i="3"/>
  <c r="E390" i="3"/>
  <c r="E391" i="3"/>
  <c r="E387" i="3"/>
  <c r="E383" i="3"/>
  <c r="E379" i="3"/>
  <c r="E375" i="3"/>
  <c r="E371" i="3"/>
  <c r="E367" i="3"/>
  <c r="E363" i="3"/>
  <c r="E389" i="3"/>
  <c r="E385" i="3"/>
  <c r="E381" i="3"/>
  <c r="E377" i="3"/>
  <c r="E373" i="3"/>
  <c r="E369" i="3"/>
  <c r="E365" i="3"/>
  <c r="E397" i="3"/>
  <c r="E400" i="3"/>
  <c r="E404" i="3"/>
  <c r="E408" i="3"/>
  <c r="E412" i="3"/>
  <c r="E416" i="3"/>
  <c r="E420" i="3"/>
  <c r="E424" i="3"/>
  <c r="E398" i="3"/>
  <c r="E402" i="3"/>
  <c r="E406" i="3"/>
  <c r="E410" i="3"/>
  <c r="E414" i="3"/>
  <c r="E418" i="3"/>
  <c r="E422" i="3"/>
  <c r="E426" i="3"/>
  <c r="E427" i="3"/>
  <c r="E423" i="3"/>
  <c r="E419" i="3"/>
  <c r="E415" i="3"/>
  <c r="E411" i="3"/>
  <c r="E407" i="3"/>
  <c r="E403" i="3"/>
  <c r="E399" i="3"/>
  <c r="E425" i="3"/>
  <c r="E421" i="3"/>
  <c r="E417" i="3"/>
  <c r="E413" i="3"/>
  <c r="E409" i="3"/>
  <c r="E405" i="3"/>
  <c r="E401" i="3"/>
  <c r="H397" i="3"/>
  <c r="H400" i="3"/>
  <c r="H404" i="3"/>
  <c r="H408" i="3"/>
  <c r="H412" i="3"/>
  <c r="H416" i="3"/>
  <c r="H420" i="3"/>
  <c r="H424" i="3"/>
  <c r="H398" i="3"/>
  <c r="H402" i="3"/>
  <c r="H406" i="3"/>
  <c r="H410" i="3"/>
  <c r="H414" i="3"/>
  <c r="H418" i="3"/>
  <c r="H422" i="3"/>
  <c r="H426" i="3"/>
  <c r="H425" i="3"/>
  <c r="H421" i="3"/>
  <c r="H417" i="3"/>
  <c r="H413" i="3"/>
  <c r="H409" i="3"/>
  <c r="H405" i="3"/>
  <c r="H401" i="3"/>
  <c r="H427" i="3"/>
  <c r="H423" i="3"/>
  <c r="H419" i="3"/>
  <c r="H415" i="3"/>
  <c r="H411" i="3"/>
  <c r="H407" i="3"/>
  <c r="H403" i="3"/>
  <c r="H399" i="3"/>
  <c r="C76" i="30"/>
  <c r="C92" i="30"/>
  <c r="C94" i="30"/>
  <c r="F12" i="17"/>
  <c r="H478" i="30"/>
  <c r="C90" i="30"/>
  <c r="E90" i="30" s="1"/>
  <c r="C74" i="30"/>
  <c r="E74" i="30" s="1"/>
  <c r="D478" i="30"/>
  <c r="F7" i="17"/>
  <c r="D473" i="30"/>
  <c r="C85" i="30"/>
  <c r="E85" i="30" s="1"/>
  <c r="C69" i="30"/>
  <c r="E69" i="30" s="1"/>
  <c r="F13" i="17"/>
  <c r="C75" i="30"/>
  <c r="C91" i="30"/>
  <c r="H12" i="30"/>
  <c r="C78" i="30"/>
  <c r="F9" i="17"/>
  <c r="C71" i="30"/>
  <c r="E71" i="30" s="1"/>
  <c r="H475" i="30"/>
  <c r="C87" i="30"/>
  <c r="E87" i="30" s="1"/>
  <c r="D475" i="30"/>
  <c r="F8" i="17"/>
  <c r="H474" i="30"/>
  <c r="C86" i="30"/>
  <c r="E86" i="30" s="1"/>
  <c r="D474" i="30"/>
  <c r="C70" i="30"/>
  <c r="E70" i="30" s="1"/>
  <c r="F10" i="17"/>
  <c r="C88" i="30"/>
  <c r="E88" i="30" s="1"/>
  <c r="D476" i="30"/>
  <c r="C72" i="30"/>
  <c r="E72" i="30" s="1"/>
  <c r="H476" i="30"/>
  <c r="R218" i="2"/>
  <c r="R217" i="2"/>
  <c r="Z217" i="2"/>
  <c r="S218" i="2"/>
  <c r="S217" i="2"/>
  <c r="P217" i="2"/>
  <c r="Z218" i="2"/>
  <c r="X218" i="2"/>
  <c r="T217" i="2"/>
  <c r="Y218" i="2"/>
  <c r="AB217" i="2"/>
  <c r="AA218" i="2"/>
  <c r="V217" i="2"/>
  <c r="G115" i="2"/>
  <c r="F145" i="2" s="1"/>
  <c r="AF186" i="2"/>
  <c r="G116" i="2"/>
  <c r="F146" i="2" s="1"/>
  <c r="AF187" i="2"/>
  <c r="G119" i="2"/>
  <c r="F149" i="2" s="1"/>
  <c r="AF190" i="2"/>
  <c r="AF183" i="2"/>
  <c r="G112" i="2"/>
  <c r="F142" i="2" s="1"/>
  <c r="AF184" i="2"/>
  <c r="G113" i="2"/>
  <c r="F143" i="2" s="1"/>
  <c r="G118" i="2"/>
  <c r="F148" i="2" s="1"/>
  <c r="AF189" i="2"/>
  <c r="K226" i="2" a="1"/>
  <c r="AF185" i="2"/>
  <c r="G114" i="2"/>
  <c r="F144" i="2" s="1"/>
  <c r="I154" i="2"/>
  <c r="G117" i="2"/>
  <c r="F147" i="2" s="1"/>
  <c r="AF188" i="2"/>
  <c r="G111" i="2"/>
  <c r="F141" i="2" s="1"/>
  <c r="AF182" i="2"/>
  <c r="AF181" i="2"/>
  <c r="Q226" i="2" a="1"/>
  <c r="S226" i="2" a="1"/>
  <c r="Y217" i="2"/>
  <c r="T218" i="2"/>
  <c r="AB218" i="2"/>
  <c r="M226" i="2" a="1"/>
  <c r="P218" i="2"/>
  <c r="X217" i="2"/>
  <c r="AA217" i="2"/>
  <c r="V218" i="2"/>
  <c r="H79" i="35" l="1"/>
  <c r="H155" i="2"/>
  <c r="D155" i="2"/>
  <c r="E155" i="2" s="1"/>
  <c r="G125" i="2"/>
  <c r="F155" i="2" s="1"/>
  <c r="E156" i="2"/>
  <c r="H79" i="34"/>
  <c r="AE196" i="35"/>
  <c r="G78" i="35"/>
  <c r="F78" i="35"/>
  <c r="H79" i="36"/>
  <c r="AE196" i="37"/>
  <c r="G78" i="37"/>
  <c r="F78" i="37"/>
  <c r="AE196" i="34"/>
  <c r="F78" i="34"/>
  <c r="G78" i="34"/>
  <c r="AE196" i="36"/>
  <c r="F78" i="36"/>
  <c r="G78" i="36"/>
  <c r="AE196" i="2"/>
  <c r="F78" i="2"/>
  <c r="G78" i="2"/>
  <c r="H79" i="2"/>
  <c r="H79" i="37"/>
  <c r="W219" i="2"/>
  <c r="C20" i="30"/>
  <c r="H11" i="30" s="1"/>
  <c r="J400" i="3"/>
  <c r="C89" i="30"/>
  <c r="E89" i="30" s="1"/>
  <c r="F11" i="17"/>
  <c r="F17" i="17" s="1"/>
  <c r="C73" i="30"/>
  <c r="E73" i="30" s="1"/>
  <c r="H477" i="30"/>
  <c r="D477" i="30"/>
  <c r="J387" i="3"/>
  <c r="J462" i="3" s="1"/>
  <c r="I54" i="17" s="1"/>
  <c r="J382" i="3"/>
  <c r="J457" i="3" s="1"/>
  <c r="I49" i="17" s="1"/>
  <c r="J381" i="3"/>
  <c r="J456" i="3" s="1"/>
  <c r="I48" i="17" s="1"/>
  <c r="J419" i="3"/>
  <c r="L458" i="3" s="1"/>
  <c r="K50" i="17" s="1"/>
  <c r="L50" i="17" s="1"/>
  <c r="AD325" i="30"/>
  <c r="AD327" i="30" s="1"/>
  <c r="AD326" i="30"/>
  <c r="AD328" i="30" s="1"/>
  <c r="J399" i="3"/>
  <c r="J405" i="3"/>
  <c r="L444" i="3" s="1"/>
  <c r="K34" i="17" s="1"/>
  <c r="L34" i="17" s="1"/>
  <c r="J413" i="3"/>
  <c r="L452" i="3" s="1"/>
  <c r="K42" i="17" s="1"/>
  <c r="L42" i="17" s="1"/>
  <c r="J421" i="3"/>
  <c r="L460" i="3" s="1"/>
  <c r="K52" i="17" s="1"/>
  <c r="L52" i="17" s="1"/>
  <c r="J426" i="3"/>
  <c r="L465" i="3" s="1"/>
  <c r="K57" i="17" s="1"/>
  <c r="L57" i="17" s="1"/>
  <c r="J410" i="3"/>
  <c r="L449" i="3" s="1"/>
  <c r="K39" i="17" s="1"/>
  <c r="L39" i="17" s="1"/>
  <c r="J402" i="3"/>
  <c r="J424" i="3"/>
  <c r="L463" i="3" s="1"/>
  <c r="K55" i="17" s="1"/>
  <c r="L55" i="17" s="1"/>
  <c r="J408" i="3"/>
  <c r="L447" i="3" s="1"/>
  <c r="K37" i="17" s="1"/>
  <c r="L37" i="17" s="1"/>
  <c r="J380" i="3"/>
  <c r="J455" i="3" s="1"/>
  <c r="I47" i="17" s="1"/>
  <c r="J414" i="3"/>
  <c r="L453" i="3" s="1"/>
  <c r="K43" i="17" s="1"/>
  <c r="L43" i="17" s="1"/>
  <c r="E150" i="2"/>
  <c r="J412" i="3"/>
  <c r="L451" i="3" s="1"/>
  <c r="K41" i="17" s="1"/>
  <c r="L41" i="17" s="1"/>
  <c r="I45" i="17"/>
  <c r="I46" i="17"/>
  <c r="J403" i="3"/>
  <c r="J397" i="3"/>
  <c r="J411" i="3"/>
  <c r="L450" i="3" s="1"/>
  <c r="K40" i="17" s="1"/>
  <c r="L21" i="26" s="1"/>
  <c r="M21" i="26" s="1"/>
  <c r="J427" i="3"/>
  <c r="L466" i="3" s="1"/>
  <c r="K58" i="17" s="1"/>
  <c r="L41" i="26" s="1"/>
  <c r="M41" i="26" s="1"/>
  <c r="J407" i="3"/>
  <c r="L446" i="3" s="1"/>
  <c r="K36" i="17" s="1"/>
  <c r="L36" i="17" s="1"/>
  <c r="J415" i="3"/>
  <c r="L454" i="3" s="1"/>
  <c r="K44" i="17" s="1"/>
  <c r="L23" i="26" s="1"/>
  <c r="M23" i="26" s="1"/>
  <c r="J423" i="3"/>
  <c r="L462" i="3" s="1"/>
  <c r="K54" i="17" s="1"/>
  <c r="L54" i="17" s="1"/>
  <c r="J401" i="3"/>
  <c r="J409" i="3"/>
  <c r="L448" i="3" s="1"/>
  <c r="K38" i="17" s="1"/>
  <c r="L38" i="17" s="1"/>
  <c r="J425" i="3"/>
  <c r="L464" i="3" s="1"/>
  <c r="K56" i="17" s="1"/>
  <c r="L56" i="17" s="1"/>
  <c r="J422" i="3"/>
  <c r="L461" i="3" s="1"/>
  <c r="K53" i="17" s="1"/>
  <c r="L53" i="17" s="1"/>
  <c r="J406" i="3"/>
  <c r="L445" i="3" s="1"/>
  <c r="K35" i="17" s="1"/>
  <c r="L12" i="26" s="1"/>
  <c r="M12" i="26" s="1"/>
  <c r="J398" i="3"/>
  <c r="J420" i="3"/>
  <c r="L459" i="3" s="1"/>
  <c r="K51" i="17" s="1"/>
  <c r="L51" i="17" s="1"/>
  <c r="J404" i="3"/>
  <c r="J418" i="3"/>
  <c r="L457" i="3" s="1"/>
  <c r="K49" i="17" s="1"/>
  <c r="J416" i="3"/>
  <c r="J417" i="3"/>
  <c r="J389" i="3"/>
  <c r="J464" i="3" s="1"/>
  <c r="I56" i="17" s="1"/>
  <c r="J29" i="26" s="1"/>
  <c r="E154" i="2"/>
  <c r="M216" i="2"/>
  <c r="M218" i="2" s="1"/>
  <c r="G216" i="2"/>
  <c r="G218" i="2" s="1"/>
  <c r="M215" i="2"/>
  <c r="M217" i="2" s="1"/>
  <c r="G215" i="2"/>
  <c r="G217" i="2" s="1"/>
  <c r="H215" i="2"/>
  <c r="H217" i="2" s="1"/>
  <c r="H216" i="2"/>
  <c r="H218" i="2" s="1"/>
  <c r="K216" i="2"/>
  <c r="K218" i="2" s="1"/>
  <c r="K215" i="2"/>
  <c r="K217" i="2" s="1"/>
  <c r="N215" i="2"/>
  <c r="N217" i="2" s="1"/>
  <c r="L215" i="2"/>
  <c r="L217" i="2" s="1"/>
  <c r="N216" i="2"/>
  <c r="N218" i="2" s="1"/>
  <c r="L216" i="2"/>
  <c r="L218" i="2" s="1"/>
  <c r="J215" i="2"/>
  <c r="J217" i="2" s="1"/>
  <c r="J216" i="2"/>
  <c r="J218" i="2" s="1"/>
  <c r="I216" i="2"/>
  <c r="I218" i="2" s="1"/>
  <c r="I215" i="2"/>
  <c r="I217" i="2" s="1"/>
  <c r="D215" i="2"/>
  <c r="D216" i="2"/>
  <c r="U216" i="2"/>
  <c r="U218" i="2" s="1"/>
  <c r="U215" i="2"/>
  <c r="U217" i="2" s="1"/>
  <c r="E216" i="2"/>
  <c r="E218" i="2" s="1"/>
  <c r="E215" i="2"/>
  <c r="E217" i="2" s="1"/>
  <c r="I140" i="2"/>
  <c r="I156" i="2"/>
  <c r="I155" i="2"/>
  <c r="AD350" i="30"/>
  <c r="AD352" i="30" s="1"/>
  <c r="AE277" i="30"/>
  <c r="AE279" i="30" s="1"/>
  <c r="AD349" i="30"/>
  <c r="AD351" i="30" s="1"/>
  <c r="AE278" i="30"/>
  <c r="AE280" i="30" s="1"/>
  <c r="J373" i="3"/>
  <c r="J448" i="3" s="1"/>
  <c r="I38" i="17" s="1"/>
  <c r="J388" i="3"/>
  <c r="J463" i="3" s="1"/>
  <c r="J366" i="3"/>
  <c r="J370" i="3"/>
  <c r="J369" i="3"/>
  <c r="J444" i="3" s="1"/>
  <c r="I34" i="17" s="1"/>
  <c r="E153" i="2"/>
  <c r="J363" i="3"/>
  <c r="J384" i="3"/>
  <c r="J365" i="3"/>
  <c r="J375" i="3"/>
  <c r="J377" i="3"/>
  <c r="J371" i="3"/>
  <c r="J446" i="3" s="1"/>
  <c r="I36" i="17" s="1"/>
  <c r="J385" i="3"/>
  <c r="J460" i="3" s="1"/>
  <c r="I52" i="17" s="1"/>
  <c r="J36" i="26" s="1"/>
  <c r="J364" i="3"/>
  <c r="J438" i="3" s="1"/>
  <c r="I28" i="17" s="1"/>
  <c r="J379" i="3"/>
  <c r="J372" i="3"/>
  <c r="J376" i="3"/>
  <c r="J374" i="3"/>
  <c r="R219" i="2"/>
  <c r="J361" i="3"/>
  <c r="J390" i="3"/>
  <c r="J386" i="3"/>
  <c r="J461" i="3" s="1"/>
  <c r="I53" i="17" s="1"/>
  <c r="J367" i="3"/>
  <c r="J441" i="3" s="1"/>
  <c r="I31" i="17" s="1"/>
  <c r="J368" i="3"/>
  <c r="J378" i="3"/>
  <c r="J453" i="3" s="1"/>
  <c r="I43" i="17" s="1"/>
  <c r="J391" i="3"/>
  <c r="F88" i="30"/>
  <c r="AJ269" i="30" s="1"/>
  <c r="T278" i="30" s="1"/>
  <c r="T280" i="30" s="1"/>
  <c r="G88" i="30"/>
  <c r="AJ293" i="30" s="1"/>
  <c r="H88" i="30"/>
  <c r="AJ317" i="30" s="1"/>
  <c r="T326" i="30" s="1"/>
  <c r="T328" i="30" s="1"/>
  <c r="I88" i="30"/>
  <c r="AJ341" i="30" s="1"/>
  <c r="F86" i="30"/>
  <c r="AJ267" i="30" s="1"/>
  <c r="H86" i="30"/>
  <c r="AJ315" i="30" s="1"/>
  <c r="W326" i="30" s="1"/>
  <c r="W328" i="30" s="1"/>
  <c r="I86" i="30"/>
  <c r="AJ339" i="30" s="1"/>
  <c r="W350" i="30" s="1"/>
  <c r="W352" i="30" s="1"/>
  <c r="G86" i="30"/>
  <c r="AJ291" i="30" s="1"/>
  <c r="I71" i="30"/>
  <c r="AI340" i="30" s="1"/>
  <c r="G71" i="30"/>
  <c r="AI292" i="30" s="1"/>
  <c r="H71" i="30"/>
  <c r="AI316" i="30" s="1"/>
  <c r="I85" i="30"/>
  <c r="AJ338" i="30" s="1"/>
  <c r="G85" i="30"/>
  <c r="AJ290" i="30" s="1"/>
  <c r="Q302" i="30" s="1"/>
  <c r="Q304" i="30" s="1"/>
  <c r="F85" i="30"/>
  <c r="AJ266" i="30" s="1"/>
  <c r="Q278" i="30" s="1"/>
  <c r="Q280" i="30" s="1"/>
  <c r="H85" i="30"/>
  <c r="AJ314" i="30" s="1"/>
  <c r="I74" i="30"/>
  <c r="AI343" i="30" s="1"/>
  <c r="G74" i="30"/>
  <c r="AI295" i="30" s="1"/>
  <c r="F74" i="30"/>
  <c r="AI271" i="30" s="1"/>
  <c r="H74" i="30"/>
  <c r="AI319" i="30" s="1"/>
  <c r="H69" i="30"/>
  <c r="AI314" i="30" s="1"/>
  <c r="F69" i="30"/>
  <c r="AI266" i="30" s="1"/>
  <c r="Q277" i="30" s="1"/>
  <c r="Q279" i="30" s="1"/>
  <c r="G69" i="30"/>
  <c r="AI290" i="30" s="1"/>
  <c r="Q301" i="30" s="1"/>
  <c r="Q303" i="30" s="1"/>
  <c r="I69" i="30"/>
  <c r="AI338" i="30" s="1"/>
  <c r="G72" i="30"/>
  <c r="AI293" i="30" s="1"/>
  <c r="F72" i="30"/>
  <c r="AI269" i="30" s="1"/>
  <c r="T277" i="30" s="1"/>
  <c r="T279" i="30" s="1"/>
  <c r="H72" i="30"/>
  <c r="AI317" i="30" s="1"/>
  <c r="T325" i="30" s="1"/>
  <c r="T327" i="30" s="1"/>
  <c r="I72" i="30"/>
  <c r="AI341" i="30" s="1"/>
  <c r="H70" i="30"/>
  <c r="AI315" i="30" s="1"/>
  <c r="W325" i="30" s="1"/>
  <c r="W327" i="30" s="1"/>
  <c r="G70" i="30"/>
  <c r="AI291" i="30" s="1"/>
  <c r="I70" i="30"/>
  <c r="AI339" i="30" s="1"/>
  <c r="W349" i="30" s="1"/>
  <c r="W351" i="30" s="1"/>
  <c r="F70" i="30"/>
  <c r="AI267" i="30" s="1"/>
  <c r="H87" i="30"/>
  <c r="AJ316" i="30" s="1"/>
  <c r="I87" i="30"/>
  <c r="AJ340" i="30" s="1"/>
  <c r="G87" i="30"/>
  <c r="AJ292" i="30" s="1"/>
  <c r="J383" i="3"/>
  <c r="J362" i="3"/>
  <c r="H49" i="30"/>
  <c r="F90" i="30"/>
  <c r="AJ271" i="30" s="1"/>
  <c r="O278" i="30" s="1"/>
  <c r="O280" i="30" s="1"/>
  <c r="G90" i="30"/>
  <c r="AJ295" i="30" s="1"/>
  <c r="I90" i="30"/>
  <c r="AJ343" i="30" s="1"/>
  <c r="H90" i="30"/>
  <c r="AJ319" i="30" s="1"/>
  <c r="AA219" i="2"/>
  <c r="T219" i="2"/>
  <c r="E151" i="2"/>
  <c r="AB219" i="2"/>
  <c r="Z219" i="2"/>
  <c r="Y219" i="2"/>
  <c r="Q217" i="2"/>
  <c r="Q218" i="2"/>
  <c r="V219" i="2"/>
  <c r="P219" i="2"/>
  <c r="S219" i="2"/>
  <c r="X219" i="2"/>
  <c r="I153" i="2"/>
  <c r="I150" i="2"/>
  <c r="E152" i="2"/>
  <c r="I151" i="2"/>
  <c r="I152" i="2"/>
  <c r="S235" i="2"/>
  <c r="S245" i="2"/>
  <c r="S250" i="2"/>
  <c r="S227" i="2"/>
  <c r="S237" i="2"/>
  <c r="S232" i="2"/>
  <c r="S230" i="2"/>
  <c r="S236" i="2"/>
  <c r="S233" i="2"/>
  <c r="S238" i="2"/>
  <c r="S244" i="2"/>
  <c r="S247" i="2"/>
  <c r="S229" i="2"/>
  <c r="S234" i="2"/>
  <c r="S248" i="2"/>
  <c r="S246" i="2"/>
  <c r="S239" i="2"/>
  <c r="S241" i="2"/>
  <c r="S226" i="2"/>
  <c r="S240" i="2"/>
  <c r="S243" i="2"/>
  <c r="S242" i="2"/>
  <c r="S249" i="2"/>
  <c r="S228" i="2"/>
  <c r="S231" i="2"/>
  <c r="Q248" i="2"/>
  <c r="Q247" i="2"/>
  <c r="Q238" i="2"/>
  <c r="Q249" i="2"/>
  <c r="Q243" i="2"/>
  <c r="Q234" i="2"/>
  <c r="Q230" i="2"/>
  <c r="Q233" i="2"/>
  <c r="Q232" i="2"/>
  <c r="Q227" i="2"/>
  <c r="Q241" i="2"/>
  <c r="Q250" i="2"/>
  <c r="Q235" i="2"/>
  <c r="Q239" i="2"/>
  <c r="Q242" i="2"/>
  <c r="Q229" i="2"/>
  <c r="Q236" i="2"/>
  <c r="Q237" i="2"/>
  <c r="Q231" i="2"/>
  <c r="Q246" i="2"/>
  <c r="Q240" i="2"/>
  <c r="Q244" i="2"/>
  <c r="Q226" i="2"/>
  <c r="Q228" i="2"/>
  <c r="Q245" i="2"/>
  <c r="I149" i="2"/>
  <c r="I143" i="2"/>
  <c r="I141" i="2"/>
  <c r="I147" i="2"/>
  <c r="I146" i="2"/>
  <c r="I145" i="2"/>
  <c r="I157" i="2"/>
  <c r="I148" i="2"/>
  <c r="I142" i="2"/>
  <c r="I144" i="2"/>
  <c r="E149" i="2"/>
  <c r="E146" i="2"/>
  <c r="E140" i="2"/>
  <c r="E141" i="2"/>
  <c r="E143" i="2"/>
  <c r="E147" i="2"/>
  <c r="E148" i="2"/>
  <c r="E145" i="2"/>
  <c r="E142" i="2"/>
  <c r="E144" i="2"/>
  <c r="E157" i="2"/>
  <c r="M226" i="2"/>
  <c r="M241" i="2"/>
  <c r="M231" i="2"/>
  <c r="M247" i="2"/>
  <c r="M236" i="2"/>
  <c r="M246" i="2"/>
  <c r="M230" i="2"/>
  <c r="M237" i="2"/>
  <c r="M227" i="2"/>
  <c r="M243" i="2"/>
  <c r="M240" i="2"/>
  <c r="M250" i="2"/>
  <c r="M234" i="2"/>
  <c r="M249" i="2"/>
  <c r="M244" i="2"/>
  <c r="M238" i="2"/>
  <c r="M245" i="2"/>
  <c r="M248" i="2"/>
  <c r="M242" i="2"/>
  <c r="M233" i="2"/>
  <c r="M239" i="2"/>
  <c r="M228" i="2"/>
  <c r="M229" i="2"/>
  <c r="M235" i="2"/>
  <c r="M232" i="2"/>
  <c r="F140" i="2"/>
  <c r="G129" i="2"/>
  <c r="F217" i="2"/>
  <c r="F218" i="2"/>
  <c r="K239" i="2"/>
  <c r="K249" i="2"/>
  <c r="K246" i="2"/>
  <c r="K235" i="2"/>
  <c r="K241" i="2"/>
  <c r="K250" i="2"/>
  <c r="K231" i="2"/>
  <c r="K233" i="2"/>
  <c r="K228" i="2"/>
  <c r="K227" i="2"/>
  <c r="K245" i="2"/>
  <c r="K232" i="2"/>
  <c r="K237" i="2"/>
  <c r="K230" i="2"/>
  <c r="K240" i="2"/>
  <c r="K247" i="2"/>
  <c r="K238" i="2"/>
  <c r="K248" i="2"/>
  <c r="K226" i="2"/>
  <c r="K236" i="2"/>
  <c r="K229" i="2"/>
  <c r="K234" i="2"/>
  <c r="K244" i="2"/>
  <c r="K243" i="2"/>
  <c r="K242" i="2"/>
  <c r="H78" i="37" l="1"/>
  <c r="H78" i="35"/>
  <c r="H78" i="36"/>
  <c r="H78" i="2"/>
  <c r="H78" i="34"/>
  <c r="H48" i="30"/>
  <c r="H50" i="30" s="1"/>
  <c r="L50" i="30" s="1"/>
  <c r="D54" i="30" s="1"/>
  <c r="H13" i="30"/>
  <c r="L31" i="26"/>
  <c r="M31" i="26" s="1"/>
  <c r="L19" i="26"/>
  <c r="M19" i="26" s="1"/>
  <c r="L35" i="17"/>
  <c r="H73" i="30"/>
  <c r="AI318" i="30" s="1"/>
  <c r="AE325" i="30" s="1"/>
  <c r="AE327" i="30" s="1"/>
  <c r="F73" i="30"/>
  <c r="AI270" i="30" s="1"/>
  <c r="I73" i="30"/>
  <c r="AI342" i="30" s="1"/>
  <c r="AE349" i="30" s="1"/>
  <c r="AE351" i="30" s="1"/>
  <c r="G73" i="30"/>
  <c r="AI294" i="30" s="1"/>
  <c r="I89" i="30"/>
  <c r="AJ342" i="30" s="1"/>
  <c r="AE350" i="30" s="1"/>
  <c r="AE352" i="30" s="1"/>
  <c r="H89" i="30"/>
  <c r="AJ318" i="30" s="1"/>
  <c r="AE326" i="30" s="1"/>
  <c r="AE328" i="30" s="1"/>
  <c r="F89" i="30"/>
  <c r="AJ270" i="30" s="1"/>
  <c r="G89" i="30"/>
  <c r="AJ294" i="30" s="1"/>
  <c r="K416" i="3"/>
  <c r="K455" i="3" s="1"/>
  <c r="J47" i="17" s="1"/>
  <c r="L44" i="17"/>
  <c r="L17" i="26"/>
  <c r="M17" i="26" s="1"/>
  <c r="N17" i="26" s="1"/>
  <c r="K423" i="3"/>
  <c r="K462" i="3" s="1"/>
  <c r="J54" i="17" s="1"/>
  <c r="K427" i="3"/>
  <c r="K466" i="3" s="1"/>
  <c r="J58" i="17" s="1"/>
  <c r="K41" i="26" s="1"/>
  <c r="K426" i="3"/>
  <c r="K465" i="3" s="1"/>
  <c r="J57" i="17" s="1"/>
  <c r="L58" i="17"/>
  <c r="L14" i="26"/>
  <c r="M14" i="26" s="1"/>
  <c r="N14" i="26" s="1"/>
  <c r="N302" i="30"/>
  <c r="N304" i="30" s="1"/>
  <c r="K302" i="30"/>
  <c r="K304" i="30" s="1"/>
  <c r="N301" i="30"/>
  <c r="N303" i="30" s="1"/>
  <c r="K301" i="30"/>
  <c r="K303" i="30" s="1"/>
  <c r="K410" i="3"/>
  <c r="K449" i="3" s="1"/>
  <c r="J39" i="17" s="1"/>
  <c r="K19" i="26" s="1"/>
  <c r="L36" i="26"/>
  <c r="M36" i="26" s="1"/>
  <c r="N36" i="26" s="1"/>
  <c r="L40" i="17"/>
  <c r="K418" i="3"/>
  <c r="K457" i="3" s="1"/>
  <c r="J49" i="17" s="1"/>
  <c r="L455" i="3"/>
  <c r="K47" i="17" s="1"/>
  <c r="L47" i="17" s="1"/>
  <c r="AJ47" i="17" s="1"/>
  <c r="M277" i="30"/>
  <c r="M279" i="30" s="1"/>
  <c r="W277" i="30"/>
  <c r="W279" i="30" s="1"/>
  <c r="M301" i="30"/>
  <c r="M303" i="30" s="1"/>
  <c r="W301" i="30"/>
  <c r="W303" i="30" s="1"/>
  <c r="M278" i="30"/>
  <c r="M280" i="30" s="1"/>
  <c r="W278" i="30"/>
  <c r="W280" i="30" s="1"/>
  <c r="M302" i="30"/>
  <c r="M304" i="30" s="1"/>
  <c r="W302" i="30"/>
  <c r="W304" i="30" s="1"/>
  <c r="K45" i="17"/>
  <c r="L45" i="17" s="1"/>
  <c r="J45" i="17"/>
  <c r="L49" i="17"/>
  <c r="K404" i="3"/>
  <c r="K442" i="3" s="1"/>
  <c r="J32" i="17" s="1"/>
  <c r="K58" i="26" s="1"/>
  <c r="L456" i="3"/>
  <c r="K417" i="3"/>
  <c r="K456" i="3" s="1"/>
  <c r="D55" i="30"/>
  <c r="K425" i="3"/>
  <c r="K464" i="3" s="1"/>
  <c r="J56" i="17" s="1"/>
  <c r="K29" i="26" s="1"/>
  <c r="P349" i="30"/>
  <c r="P351" i="30" s="1"/>
  <c r="Q349" i="30"/>
  <c r="Q351" i="30" s="1"/>
  <c r="P350" i="30"/>
  <c r="P352" i="30" s="1"/>
  <c r="Q350" i="30"/>
  <c r="Q352" i="30" s="1"/>
  <c r="O349" i="30"/>
  <c r="O351" i="30" s="1"/>
  <c r="L349" i="30"/>
  <c r="L351" i="30" s="1"/>
  <c r="M349" i="30"/>
  <c r="M351" i="30" s="1"/>
  <c r="S349" i="30"/>
  <c r="S351" i="30" s="1"/>
  <c r="T349" i="30"/>
  <c r="T351" i="30" s="1"/>
  <c r="L350" i="30"/>
  <c r="L352" i="30" s="1"/>
  <c r="M350" i="30"/>
  <c r="M352" i="30" s="1"/>
  <c r="S350" i="30"/>
  <c r="S352" i="30" s="1"/>
  <c r="T350" i="30"/>
  <c r="T352" i="30" s="1"/>
  <c r="O350" i="30"/>
  <c r="O352" i="30" s="1"/>
  <c r="K405" i="3"/>
  <c r="K444" i="3" s="1"/>
  <c r="J34" i="17" s="1"/>
  <c r="K407" i="3"/>
  <c r="K446" i="3" s="1"/>
  <c r="J36" i="17" s="1"/>
  <c r="K403" i="3"/>
  <c r="K441" i="3" s="1"/>
  <c r="J31" i="17" s="1"/>
  <c r="K57" i="26" s="1"/>
  <c r="K422" i="3"/>
  <c r="K461" i="3" s="1"/>
  <c r="J53" i="17" s="1"/>
  <c r="S326" i="30"/>
  <c r="S328" i="30" s="1"/>
  <c r="O277" i="30"/>
  <c r="O279" i="30" s="1"/>
  <c r="L325" i="30"/>
  <c r="L327" i="30" s="1"/>
  <c r="M325" i="30"/>
  <c r="M327" i="30" s="1"/>
  <c r="S325" i="30"/>
  <c r="S327" i="30" s="1"/>
  <c r="T301" i="30"/>
  <c r="T303" i="30" s="1"/>
  <c r="S301" i="30"/>
  <c r="S303" i="30" s="1"/>
  <c r="P325" i="30"/>
  <c r="P327" i="30" s="1"/>
  <c r="Q325" i="30"/>
  <c r="Q327" i="30" s="1"/>
  <c r="P326" i="30"/>
  <c r="P328" i="30" s="1"/>
  <c r="Q326" i="30"/>
  <c r="Q328" i="30" s="1"/>
  <c r="L326" i="30"/>
  <c r="L328" i="30" s="1"/>
  <c r="M326" i="30"/>
  <c r="M328" i="30" s="1"/>
  <c r="T302" i="30"/>
  <c r="T304" i="30" s="1"/>
  <c r="S302" i="30"/>
  <c r="S304" i="30" s="1"/>
  <c r="K409" i="3"/>
  <c r="K448" i="3" s="1"/>
  <c r="J38" i="17" s="1"/>
  <c r="K400" i="3"/>
  <c r="K438" i="3" s="1"/>
  <c r="L438" i="3" s="1"/>
  <c r="K28" i="17" s="1"/>
  <c r="J466" i="3"/>
  <c r="I58" i="17" s="1"/>
  <c r="J41" i="26" s="1"/>
  <c r="Q219" i="2"/>
  <c r="K424" i="3"/>
  <c r="K463" i="3" s="1"/>
  <c r="J55" i="17" s="1"/>
  <c r="K31" i="26" s="1"/>
  <c r="J445" i="3"/>
  <c r="I35" i="17" s="1"/>
  <c r="J12" i="26" s="1"/>
  <c r="K406" i="3"/>
  <c r="K445" i="3" s="1"/>
  <c r="J35" i="17" s="1"/>
  <c r="K12" i="26" s="1"/>
  <c r="L29" i="26"/>
  <c r="M29" i="26" s="1"/>
  <c r="N29" i="26" s="1"/>
  <c r="J440" i="3"/>
  <c r="K402" i="3"/>
  <c r="K440" i="3" s="1"/>
  <c r="J30" i="17" s="1"/>
  <c r="K56" i="26" s="1"/>
  <c r="J465" i="3"/>
  <c r="I57" i="17" s="1"/>
  <c r="K414" i="3"/>
  <c r="K453" i="3" s="1"/>
  <c r="J43" i="17" s="1"/>
  <c r="J437" i="3"/>
  <c r="K399" i="3"/>
  <c r="K437" i="3" s="1"/>
  <c r="J27" i="17" s="1"/>
  <c r="K53" i="26" s="1"/>
  <c r="J449" i="3"/>
  <c r="I39" i="17" s="1"/>
  <c r="J19" i="26" s="1"/>
  <c r="J459" i="3"/>
  <c r="I51" i="17" s="1"/>
  <c r="K420" i="3"/>
  <c r="K459" i="3" s="1"/>
  <c r="J51" i="17" s="1"/>
  <c r="K421" i="3"/>
  <c r="K460" i="3" s="1"/>
  <c r="J52" i="17" s="1"/>
  <c r="K36" i="26" s="1"/>
  <c r="J439" i="3"/>
  <c r="I29" i="17" s="1"/>
  <c r="J55" i="26" s="1"/>
  <c r="K401" i="3"/>
  <c r="K439" i="3" s="1"/>
  <c r="J450" i="3"/>
  <c r="I40" i="17" s="1"/>
  <c r="J21" i="26" s="1"/>
  <c r="K411" i="3"/>
  <c r="K450" i="3" s="1"/>
  <c r="J40" i="17" s="1"/>
  <c r="K21" i="26" s="1"/>
  <c r="J452" i="3"/>
  <c r="I42" i="17" s="1"/>
  <c r="J14" i="26" s="1"/>
  <c r="K413" i="3"/>
  <c r="K452" i="3" s="1"/>
  <c r="J42" i="17" s="1"/>
  <c r="K14" i="26" s="1"/>
  <c r="J451" i="3"/>
  <c r="I41" i="17" s="1"/>
  <c r="K412" i="3"/>
  <c r="K451" i="3" s="1"/>
  <c r="J41" i="17" s="1"/>
  <c r="J442" i="3"/>
  <c r="I32" i="17" s="1"/>
  <c r="J58" i="26" s="1"/>
  <c r="J454" i="3"/>
  <c r="K415" i="3"/>
  <c r="K454" i="3" s="1"/>
  <c r="J44" i="17" s="1"/>
  <c r="K23" i="26" s="1"/>
  <c r="J435" i="3"/>
  <c r="K397" i="3"/>
  <c r="K435" i="3" s="1"/>
  <c r="J25" i="17" s="1"/>
  <c r="K51" i="26" s="1"/>
  <c r="J447" i="3"/>
  <c r="I37" i="17" s="1"/>
  <c r="J17" i="26" s="1"/>
  <c r="K408" i="3"/>
  <c r="K447" i="3" s="1"/>
  <c r="J37" i="17" s="1"/>
  <c r="K17" i="26" s="1"/>
  <c r="I55" i="17"/>
  <c r="J31" i="26" s="1"/>
  <c r="AF302" i="30"/>
  <c r="AF304" i="30" s="1"/>
  <c r="O302" i="30"/>
  <c r="O304" i="30" s="1"/>
  <c r="N349" i="30"/>
  <c r="N351" i="30" s="1"/>
  <c r="J458" i="3"/>
  <c r="I50" i="17" s="1"/>
  <c r="K419" i="3"/>
  <c r="K458" i="3" s="1"/>
  <c r="J50" i="17" s="1"/>
  <c r="O301" i="30"/>
  <c r="O303" i="30" s="1"/>
  <c r="AF301" i="30"/>
  <c r="AF303" i="30" s="1"/>
  <c r="J54" i="26"/>
  <c r="J436" i="3"/>
  <c r="I26" i="17" s="1"/>
  <c r="K398" i="3"/>
  <c r="K436" i="3" s="1"/>
  <c r="N326" i="30"/>
  <c r="N328" i="30" s="1"/>
  <c r="N325" i="30"/>
  <c r="N327" i="30" s="1"/>
  <c r="N350" i="30"/>
  <c r="N352" i="30" s="1"/>
  <c r="J57" i="26"/>
  <c r="N219" i="2"/>
  <c r="L219" i="2"/>
  <c r="I219" i="2"/>
  <c r="H219" i="2"/>
  <c r="F219" i="2"/>
  <c r="E219" i="2"/>
  <c r="K219" i="2"/>
  <c r="N12" i="26"/>
  <c r="D217" i="2"/>
  <c r="N226" i="2" a="1"/>
  <c r="J219" i="2"/>
  <c r="G219" i="2"/>
  <c r="M219" i="2"/>
  <c r="N41" i="26"/>
  <c r="G154" i="2"/>
  <c r="N19" i="26"/>
  <c r="N23" i="26"/>
  <c r="N31" i="26"/>
  <c r="N21" i="26"/>
  <c r="T226" i="2" a="1"/>
  <c r="D218" i="2"/>
  <c r="U219" i="2"/>
  <c r="D56" i="30" l="1"/>
  <c r="E56" i="30" s="1"/>
  <c r="F482" i="30" s="1"/>
  <c r="D53" i="30"/>
  <c r="D57" i="30" s="1"/>
  <c r="U277" i="30"/>
  <c r="U279" i="30" s="1"/>
  <c r="I277" i="30"/>
  <c r="I279" i="30" s="1"/>
  <c r="U278" i="30"/>
  <c r="U280" i="30" s="1"/>
  <c r="I278" i="30"/>
  <c r="I280" i="30" s="1"/>
  <c r="U302" i="30"/>
  <c r="U304" i="30" s="1"/>
  <c r="I302" i="30"/>
  <c r="I304" i="30" s="1"/>
  <c r="AE302" i="30"/>
  <c r="AE304" i="30" s="1"/>
  <c r="U301" i="30"/>
  <c r="U303" i="30" s="1"/>
  <c r="I301" i="30"/>
  <c r="I303" i="30" s="1"/>
  <c r="AE301" i="30"/>
  <c r="AE303" i="30" s="1"/>
  <c r="J28" i="17"/>
  <c r="K54" i="26" s="1"/>
  <c r="J48" i="17"/>
  <c r="J46" i="17"/>
  <c r="K48" i="17"/>
  <c r="L48" i="17" s="1"/>
  <c r="AJ48" i="17" s="1"/>
  <c r="K46" i="17"/>
  <c r="L46" i="17" s="1"/>
  <c r="I44" i="17"/>
  <c r="J23" i="26" s="1"/>
  <c r="E55" i="30"/>
  <c r="F481" i="30" s="1"/>
  <c r="I55" i="30"/>
  <c r="D77" i="30" s="1"/>
  <c r="E77" i="30" s="1"/>
  <c r="J55" i="30"/>
  <c r="I54" i="30"/>
  <c r="D76" i="30" s="1"/>
  <c r="E76" i="30" s="1"/>
  <c r="J54" i="30"/>
  <c r="E54" i="30"/>
  <c r="F480" i="30" s="1"/>
  <c r="L441" i="3"/>
  <c r="K31" i="17" s="1"/>
  <c r="L57" i="26" s="1"/>
  <c r="M57" i="26" s="1"/>
  <c r="N57" i="26" s="1"/>
  <c r="E24" i="34"/>
  <c r="G155" i="2"/>
  <c r="E25" i="34" s="1"/>
  <c r="G156" i="2"/>
  <c r="E26" i="34" s="1"/>
  <c r="L442" i="3"/>
  <c r="K32" i="17" s="1"/>
  <c r="L58" i="26" s="1"/>
  <c r="M58" i="26" s="1"/>
  <c r="N58" i="26" s="1"/>
  <c r="L440" i="3"/>
  <c r="K30" i="17" s="1"/>
  <c r="I30" i="17"/>
  <c r="J56" i="26" s="1"/>
  <c r="L437" i="3"/>
  <c r="K27" i="17" s="1"/>
  <c r="I27" i="17"/>
  <c r="J53" i="26" s="1"/>
  <c r="L439" i="3"/>
  <c r="K29" i="17" s="1"/>
  <c r="J29" i="17"/>
  <c r="K55" i="26" s="1"/>
  <c r="L435" i="3"/>
  <c r="K25" i="17" s="1"/>
  <c r="I25" i="17"/>
  <c r="J51" i="26" s="1"/>
  <c r="J26" i="17"/>
  <c r="K52" i="26" s="1"/>
  <c r="L28" i="17"/>
  <c r="L54" i="26"/>
  <c r="M54" i="26" s="1"/>
  <c r="N54" i="26" s="1"/>
  <c r="J52" i="26"/>
  <c r="L436" i="3"/>
  <c r="K26" i="17" s="1"/>
  <c r="D219" i="2"/>
  <c r="T228" i="2"/>
  <c r="U228" i="2" s="1"/>
  <c r="K38" i="10" s="1"/>
  <c r="T231" i="2"/>
  <c r="U231" i="2" s="1"/>
  <c r="K41" i="10" s="1"/>
  <c r="T230" i="2"/>
  <c r="U230" i="2" s="1"/>
  <c r="K40" i="10" s="1"/>
  <c r="T234" i="2"/>
  <c r="U234" i="2" s="1"/>
  <c r="T236" i="2"/>
  <c r="U236" i="2" s="1"/>
  <c r="K48" i="10" s="1"/>
  <c r="T238" i="2"/>
  <c r="U238" i="2" s="1"/>
  <c r="T240" i="2"/>
  <c r="U240" i="2" s="1"/>
  <c r="K53" i="10" s="1"/>
  <c r="T242" i="2"/>
  <c r="U242" i="2" s="1"/>
  <c r="K55" i="10" s="1"/>
  <c r="L39" i="26" s="1"/>
  <c r="T244" i="2"/>
  <c r="U244" i="2" s="1"/>
  <c r="K57" i="10" s="1"/>
  <c r="T246" i="2"/>
  <c r="U246" i="2" s="1"/>
  <c r="K59" i="10" s="1"/>
  <c r="T248" i="2"/>
  <c r="U248" i="2" s="1"/>
  <c r="K61" i="10" s="1"/>
  <c r="T226" i="2"/>
  <c r="U226" i="2" s="1"/>
  <c r="K36" i="10" s="1"/>
  <c r="T229" i="2"/>
  <c r="U229" i="2" s="1"/>
  <c r="K39" i="10" s="1"/>
  <c r="T233" i="2"/>
  <c r="U233" i="2" s="1"/>
  <c r="T237" i="2"/>
  <c r="U237" i="2" s="1"/>
  <c r="K49" i="10" s="1"/>
  <c r="T241" i="2"/>
  <c r="U241" i="2" s="1"/>
  <c r="K54" i="10" s="1"/>
  <c r="T245" i="2"/>
  <c r="U245" i="2" s="1"/>
  <c r="K58" i="10" s="1"/>
  <c r="T249" i="2"/>
  <c r="U249" i="2" s="1"/>
  <c r="K62" i="10" s="1"/>
  <c r="T250" i="2"/>
  <c r="U250" i="2" s="1"/>
  <c r="K63" i="10" s="1"/>
  <c r="T227" i="2"/>
  <c r="U227" i="2" s="1"/>
  <c r="K37" i="10" s="1"/>
  <c r="T232" i="2"/>
  <c r="U232" i="2" s="1"/>
  <c r="K42" i="10" s="1"/>
  <c r="T235" i="2"/>
  <c r="U235" i="2" s="1"/>
  <c r="K47" i="10" s="1"/>
  <c r="T239" i="2"/>
  <c r="U239" i="2" s="1"/>
  <c r="K52" i="10" s="1"/>
  <c r="T243" i="2"/>
  <c r="U243" i="2" s="1"/>
  <c r="K56" i="10" s="1"/>
  <c r="T247" i="2"/>
  <c r="U247" i="2" s="1"/>
  <c r="K60" i="10" s="1"/>
  <c r="D29" i="34"/>
  <c r="F25" i="10" s="1"/>
  <c r="G157" i="2"/>
  <c r="G151" i="2"/>
  <c r="E21" i="34" s="1"/>
  <c r="G17" i="10" s="1"/>
  <c r="G150" i="2"/>
  <c r="E20" i="34" s="1"/>
  <c r="G16" i="10" s="1"/>
  <c r="G153" i="2"/>
  <c r="E23" i="34" s="1"/>
  <c r="G19" i="10" s="1"/>
  <c r="G152" i="2"/>
  <c r="E22" i="34" s="1"/>
  <c r="G18" i="10" s="1"/>
  <c r="G141" i="2"/>
  <c r="E11" i="34" s="1"/>
  <c r="G7" i="10" s="1"/>
  <c r="G148" i="2"/>
  <c r="E18" i="34" s="1"/>
  <c r="G14" i="10" s="1"/>
  <c r="G145" i="2"/>
  <c r="E15" i="34" s="1"/>
  <c r="G11" i="10" s="1"/>
  <c r="G144" i="2"/>
  <c r="E14" i="34" s="1"/>
  <c r="G10" i="10" s="1"/>
  <c r="G143" i="2"/>
  <c r="E13" i="34" s="1"/>
  <c r="G9" i="10" s="1"/>
  <c r="G142" i="2"/>
  <c r="E12" i="34" s="1"/>
  <c r="G8" i="10" s="1"/>
  <c r="G147" i="2"/>
  <c r="E17" i="34" s="1"/>
  <c r="G13" i="10" s="1"/>
  <c r="G149" i="2"/>
  <c r="E19" i="34" s="1"/>
  <c r="G15" i="10" s="1"/>
  <c r="G146" i="2"/>
  <c r="E16" i="34" s="1"/>
  <c r="G12" i="10" s="1"/>
  <c r="N226" i="2"/>
  <c r="O226" i="2" s="1"/>
  <c r="N228" i="2"/>
  <c r="O228" i="2" s="1"/>
  <c r="N231" i="2"/>
  <c r="O231" i="2" s="1"/>
  <c r="N230" i="2"/>
  <c r="O230" i="2" s="1"/>
  <c r="N234" i="2"/>
  <c r="O234" i="2" s="1"/>
  <c r="I44" i="10" s="1"/>
  <c r="J25" i="26" s="1"/>
  <c r="N236" i="2"/>
  <c r="O236" i="2" s="1"/>
  <c r="N238" i="2"/>
  <c r="O238" i="2" s="1"/>
  <c r="I51" i="10" s="1"/>
  <c r="J34" i="26" s="1"/>
  <c r="N240" i="2"/>
  <c r="O240" i="2" s="1"/>
  <c r="N242" i="2"/>
  <c r="O242" i="2" s="1"/>
  <c r="N244" i="2"/>
  <c r="O244" i="2" s="1"/>
  <c r="N246" i="2"/>
  <c r="O246" i="2" s="1"/>
  <c r="N248" i="2"/>
  <c r="O248" i="2" s="1"/>
  <c r="N227" i="2"/>
  <c r="O227" i="2" s="1"/>
  <c r="N232" i="2"/>
  <c r="O232" i="2" s="1"/>
  <c r="N235" i="2"/>
  <c r="O235" i="2" s="1"/>
  <c r="N239" i="2"/>
  <c r="O239" i="2" s="1"/>
  <c r="N243" i="2"/>
  <c r="O243" i="2" s="1"/>
  <c r="N247" i="2"/>
  <c r="O247" i="2" s="1"/>
  <c r="N250" i="2"/>
  <c r="O250" i="2" s="1"/>
  <c r="N229" i="2"/>
  <c r="O229" i="2" s="1"/>
  <c r="N233" i="2"/>
  <c r="O233" i="2" s="1"/>
  <c r="I43" i="10" s="1"/>
  <c r="J24" i="26" s="1"/>
  <c r="N237" i="2"/>
  <c r="O237" i="2" s="1"/>
  <c r="N241" i="2"/>
  <c r="O241" i="2" s="1"/>
  <c r="N245" i="2"/>
  <c r="O245" i="2" s="1"/>
  <c r="N249" i="2"/>
  <c r="O249" i="2" s="1"/>
  <c r="G140" i="2"/>
  <c r="I56" i="30" l="1"/>
  <c r="D78" i="30" s="1"/>
  <c r="E78" i="30" s="1"/>
  <c r="F78" i="30" s="1"/>
  <c r="AI276" i="30" s="1"/>
  <c r="J56" i="30"/>
  <c r="D94" i="30" s="1"/>
  <c r="E94" i="30" s="1"/>
  <c r="F94" i="30" s="1"/>
  <c r="E53" i="30"/>
  <c r="H479" i="30" s="1"/>
  <c r="J53" i="30"/>
  <c r="I53" i="30"/>
  <c r="D75" i="30" s="1"/>
  <c r="E75" i="30" s="1"/>
  <c r="L32" i="17"/>
  <c r="E57" i="30"/>
  <c r="K45" i="10"/>
  <c r="L26" i="26" s="1"/>
  <c r="K43" i="10"/>
  <c r="K50" i="10"/>
  <c r="K51" i="10"/>
  <c r="K46" i="10"/>
  <c r="L27" i="26" s="1"/>
  <c r="K44" i="10"/>
  <c r="D481" i="30"/>
  <c r="H481" i="30"/>
  <c r="D482" i="30"/>
  <c r="H482" i="30"/>
  <c r="D480" i="30"/>
  <c r="H480" i="30"/>
  <c r="K54" i="30"/>
  <c r="D92" i="30"/>
  <c r="E92" i="30" s="1"/>
  <c r="K55" i="30"/>
  <c r="D93" i="30"/>
  <c r="E93" i="30" s="1"/>
  <c r="F76" i="30"/>
  <c r="AI274" i="30" s="1"/>
  <c r="G76" i="30"/>
  <c r="AI298" i="30" s="1"/>
  <c r="I76" i="30"/>
  <c r="AI346" i="30" s="1"/>
  <c r="H76" i="30"/>
  <c r="AI322" i="30" s="1"/>
  <c r="O325" i="30" s="1"/>
  <c r="O327" i="30" s="1"/>
  <c r="F77" i="30"/>
  <c r="AI275" i="30" s="1"/>
  <c r="I77" i="30"/>
  <c r="AI347" i="30" s="1"/>
  <c r="G77" i="30"/>
  <c r="AI299" i="30" s="1"/>
  <c r="H77" i="30"/>
  <c r="AI323" i="30" s="1"/>
  <c r="L31" i="17"/>
  <c r="G22" i="10"/>
  <c r="D26" i="34"/>
  <c r="G20" i="10"/>
  <c r="D24" i="34"/>
  <c r="D25" i="34"/>
  <c r="G21" i="10"/>
  <c r="E27" i="34"/>
  <c r="G23" i="10" s="1"/>
  <c r="L30" i="17"/>
  <c r="L56" i="26"/>
  <c r="M56" i="26" s="1"/>
  <c r="N56" i="26" s="1"/>
  <c r="L53" i="26"/>
  <c r="M53" i="26" s="1"/>
  <c r="N53" i="26" s="1"/>
  <c r="L27" i="17"/>
  <c r="L29" i="17"/>
  <c r="L55" i="26"/>
  <c r="M55" i="26" s="1"/>
  <c r="N55" i="26" s="1"/>
  <c r="L51" i="26"/>
  <c r="M51" i="26" s="1"/>
  <c r="N51" i="26" s="1"/>
  <c r="L25" i="17"/>
  <c r="I42" i="10"/>
  <c r="J20" i="26" s="1"/>
  <c r="I48" i="10"/>
  <c r="J30" i="26" s="1"/>
  <c r="I38" i="10"/>
  <c r="J15" i="26" s="1"/>
  <c r="I57" i="10"/>
  <c r="J42" i="26" s="1"/>
  <c r="I54" i="10"/>
  <c r="J38" i="26" s="1"/>
  <c r="I63" i="10"/>
  <c r="J48" i="26" s="1"/>
  <c r="I47" i="10"/>
  <c r="J28" i="26" s="1"/>
  <c r="I59" i="10"/>
  <c r="J44" i="26" s="1"/>
  <c r="I50" i="10"/>
  <c r="J33" i="26" s="1"/>
  <c r="I41" i="10"/>
  <c r="J18" i="26" s="1"/>
  <c r="I49" i="10"/>
  <c r="J32" i="26" s="1"/>
  <c r="I58" i="10"/>
  <c r="J43" i="26" s="1"/>
  <c r="I39" i="10"/>
  <c r="J16" i="26" s="1"/>
  <c r="I52" i="10"/>
  <c r="J35" i="26" s="1"/>
  <c r="I61" i="10"/>
  <c r="J46" i="26" s="1"/>
  <c r="I53" i="10"/>
  <c r="J37" i="26" s="1"/>
  <c r="I40" i="10"/>
  <c r="J22" i="26" s="1"/>
  <c r="I60" i="10"/>
  <c r="J45" i="26" s="1"/>
  <c r="I62" i="10"/>
  <c r="J47" i="26" s="1"/>
  <c r="I45" i="10"/>
  <c r="J26" i="26" s="1"/>
  <c r="I56" i="10"/>
  <c r="J40" i="26" s="1"/>
  <c r="I37" i="10"/>
  <c r="J13" i="26" s="1"/>
  <c r="I55" i="10"/>
  <c r="J39" i="26" s="1"/>
  <c r="I46" i="10"/>
  <c r="J27" i="26" s="1"/>
  <c r="I36" i="10"/>
  <c r="J11" i="26" s="1"/>
  <c r="L26" i="17"/>
  <c r="L52" i="26"/>
  <c r="M52" i="26" s="1"/>
  <c r="N52" i="26" s="1"/>
  <c r="D91" i="30"/>
  <c r="E91" i="30" s="1"/>
  <c r="H473" i="30"/>
  <c r="H78" i="30"/>
  <c r="AI324" i="30" s="1"/>
  <c r="AB325" i="30" s="1"/>
  <c r="AB327" i="30" s="1"/>
  <c r="G78" i="30"/>
  <c r="AI300" i="30" s="1"/>
  <c r="I78" i="30"/>
  <c r="AI348" i="30" s="1"/>
  <c r="D16" i="34"/>
  <c r="D17" i="34"/>
  <c r="D13" i="34"/>
  <c r="D15" i="34"/>
  <c r="D11" i="34"/>
  <c r="D23" i="34"/>
  <c r="F19" i="10" s="1"/>
  <c r="D21" i="34"/>
  <c r="F17" i="10" s="1"/>
  <c r="H68" i="34"/>
  <c r="V243" i="2"/>
  <c r="V235" i="2"/>
  <c r="V227" i="2"/>
  <c r="V249" i="2"/>
  <c r="V241" i="2"/>
  <c r="V233" i="2"/>
  <c r="J43" i="10" s="1"/>
  <c r="K24" i="26" s="1"/>
  <c r="V226" i="2"/>
  <c r="V246" i="2"/>
  <c r="V242" i="2"/>
  <c r="V238" i="2"/>
  <c r="J51" i="10" s="1"/>
  <c r="K34" i="26" s="1"/>
  <c r="V234" i="2"/>
  <c r="J44" i="10" s="1"/>
  <c r="K25" i="26" s="1"/>
  <c r="V231" i="2"/>
  <c r="E10" i="34"/>
  <c r="G6" i="10" s="1"/>
  <c r="D19" i="34"/>
  <c r="D12" i="34"/>
  <c r="D14" i="34"/>
  <c r="D18" i="34"/>
  <c r="D22" i="34"/>
  <c r="F18" i="10" s="1"/>
  <c r="D20" i="34"/>
  <c r="V247" i="2"/>
  <c r="V239" i="2"/>
  <c r="V232" i="2"/>
  <c r="V250" i="2"/>
  <c r="V245" i="2"/>
  <c r="V237" i="2"/>
  <c r="V229" i="2"/>
  <c r="V248" i="2"/>
  <c r="V244" i="2"/>
  <c r="V240" i="2"/>
  <c r="V236" i="2"/>
  <c r="V230" i="2"/>
  <c r="V228" i="2"/>
  <c r="I57" i="30" l="1"/>
  <c r="F16" i="10"/>
  <c r="I12" i="34"/>
  <c r="M9" i="56"/>
  <c r="N9" i="56" s="1"/>
  <c r="M15" i="56"/>
  <c r="N15" i="56" s="1"/>
  <c r="M12" i="56"/>
  <c r="N12" i="56" s="1"/>
  <c r="M16" i="56"/>
  <c r="N16" i="56" s="1"/>
  <c r="M8" i="56"/>
  <c r="N8" i="56" s="1"/>
  <c r="M13" i="56"/>
  <c r="N13" i="56" s="1"/>
  <c r="M14" i="56"/>
  <c r="N14" i="56" s="1"/>
  <c r="M11" i="56"/>
  <c r="N11" i="56" s="1"/>
  <c r="M10" i="56"/>
  <c r="N10" i="56" s="1"/>
  <c r="H94" i="30"/>
  <c r="I94" i="30"/>
  <c r="AJ348" i="30" s="1"/>
  <c r="G94" i="30"/>
  <c r="AJ300" i="30" s="1"/>
  <c r="AH349" i="30"/>
  <c r="AH351" i="30" s="1"/>
  <c r="X349" i="30"/>
  <c r="X351" i="30" s="1"/>
  <c r="K56" i="30"/>
  <c r="K53" i="30"/>
  <c r="K57" i="30" s="1"/>
  <c r="D479" i="30"/>
  <c r="D483" i="30" s="1"/>
  <c r="E480" i="30" s="1"/>
  <c r="F479" i="30"/>
  <c r="J57" i="30"/>
  <c r="F478" i="30"/>
  <c r="F476" i="30"/>
  <c r="F473" i="30"/>
  <c r="F483" i="30" s="1"/>
  <c r="F474" i="30"/>
  <c r="F477" i="30"/>
  <c r="F475" i="30"/>
  <c r="D27" i="34"/>
  <c r="F23" i="10" s="1"/>
  <c r="L25" i="26"/>
  <c r="M25" i="26" s="1"/>
  <c r="N25" i="26" s="1"/>
  <c r="L44" i="10"/>
  <c r="AJ44" i="10" s="1"/>
  <c r="L34" i="26"/>
  <c r="L51" i="10"/>
  <c r="AJ51" i="10" s="1"/>
  <c r="L24" i="26"/>
  <c r="L43" i="10"/>
  <c r="AJ43" i="10" s="1"/>
  <c r="H93" i="30"/>
  <c r="AJ323" i="30" s="1"/>
  <c r="F93" i="30"/>
  <c r="AJ275" i="30" s="1"/>
  <c r="I93" i="30"/>
  <c r="AJ347" i="30" s="1"/>
  <c r="G93" i="30"/>
  <c r="AJ299" i="30" s="1"/>
  <c r="F92" i="30"/>
  <c r="AJ274" i="30" s="1"/>
  <c r="I92" i="30"/>
  <c r="AJ346" i="30" s="1"/>
  <c r="G92" i="30"/>
  <c r="AJ298" i="30" s="1"/>
  <c r="H92" i="30"/>
  <c r="AJ322" i="30" s="1"/>
  <c r="O326" i="30" s="1"/>
  <c r="O328" i="30" s="1"/>
  <c r="D125" i="34"/>
  <c r="G125" i="34" s="1"/>
  <c r="F155" i="34" s="1"/>
  <c r="AC196" i="34"/>
  <c r="F21" i="10"/>
  <c r="D124" i="34"/>
  <c r="AC195" i="34"/>
  <c r="F20" i="10"/>
  <c r="D126" i="34"/>
  <c r="G126" i="34" s="1"/>
  <c r="F156" i="34" s="1"/>
  <c r="F22" i="10"/>
  <c r="AC197" i="34"/>
  <c r="F10" i="10"/>
  <c r="F15" i="10"/>
  <c r="F7" i="10"/>
  <c r="F9" i="10"/>
  <c r="F12" i="10"/>
  <c r="F14" i="10"/>
  <c r="F8" i="10"/>
  <c r="F11" i="10"/>
  <c r="F13" i="10"/>
  <c r="L59" i="17"/>
  <c r="J57" i="10"/>
  <c r="K42" i="26" s="1"/>
  <c r="J58" i="10"/>
  <c r="K43" i="26" s="1"/>
  <c r="J60" i="10"/>
  <c r="K45" i="26" s="1"/>
  <c r="J50" i="10"/>
  <c r="K33" i="26" s="1"/>
  <c r="J45" i="10"/>
  <c r="K26" i="26" s="1"/>
  <c r="J47" i="10"/>
  <c r="K28" i="26" s="1"/>
  <c r="J40" i="10"/>
  <c r="K22" i="26" s="1"/>
  <c r="J53" i="10"/>
  <c r="K37" i="26" s="1"/>
  <c r="J49" i="10"/>
  <c r="K32" i="26" s="1"/>
  <c r="J52" i="10"/>
  <c r="K35" i="26" s="1"/>
  <c r="J46" i="10"/>
  <c r="K27" i="26" s="1"/>
  <c r="J36" i="10"/>
  <c r="K11" i="26" s="1"/>
  <c r="J37" i="10"/>
  <c r="K13" i="26" s="1"/>
  <c r="J38" i="10"/>
  <c r="K15" i="26" s="1"/>
  <c r="J48" i="10"/>
  <c r="K30" i="26" s="1"/>
  <c r="J39" i="10"/>
  <c r="K16" i="26" s="1"/>
  <c r="J42" i="10"/>
  <c r="K20" i="26" s="1"/>
  <c r="J41" i="10"/>
  <c r="K18" i="26" s="1"/>
  <c r="J59" i="10"/>
  <c r="K44" i="26" s="1"/>
  <c r="J62" i="10"/>
  <c r="K47" i="26" s="1"/>
  <c r="J61" i="10"/>
  <c r="K46" i="26" s="1"/>
  <c r="J63" i="10"/>
  <c r="K48" i="26" s="1"/>
  <c r="J55" i="10"/>
  <c r="K39" i="26" s="1"/>
  <c r="J54" i="10"/>
  <c r="K38" i="26" s="1"/>
  <c r="J56" i="10"/>
  <c r="K40" i="26" s="1"/>
  <c r="AB301" i="30"/>
  <c r="AB303" i="30" s="1"/>
  <c r="H301" i="30"/>
  <c r="H303" i="30" s="1"/>
  <c r="H75" i="30"/>
  <c r="AI321" i="30" s="1"/>
  <c r="J325" i="30" s="1"/>
  <c r="J327" i="30" s="1"/>
  <c r="G75" i="30"/>
  <c r="AI297" i="30" s="1"/>
  <c r="J301" i="30" s="1"/>
  <c r="J303" i="30" s="1"/>
  <c r="F75" i="30"/>
  <c r="AI273" i="30" s="1"/>
  <c r="I75" i="30"/>
  <c r="AI345" i="30" s="1"/>
  <c r="H277" i="30"/>
  <c r="H279" i="30" s="1"/>
  <c r="AB277" i="30"/>
  <c r="AB279" i="30" s="1"/>
  <c r="AA349" i="30"/>
  <c r="AA351" i="30" s="1"/>
  <c r="AC349" i="30"/>
  <c r="AC351" i="30" s="1"/>
  <c r="AJ276" i="30"/>
  <c r="AJ324" i="30"/>
  <c r="AB326" i="30" s="1"/>
  <c r="AB328" i="30" s="1"/>
  <c r="I91" i="30"/>
  <c r="AJ345" i="30" s="1"/>
  <c r="F91" i="30"/>
  <c r="AJ273" i="30" s="1"/>
  <c r="G91" i="30"/>
  <c r="AJ297" i="30" s="1"/>
  <c r="J302" i="30" s="1"/>
  <c r="J304" i="30" s="1"/>
  <c r="H91" i="30"/>
  <c r="AJ321" i="30" s="1"/>
  <c r="J326" i="30" s="1"/>
  <c r="J328" i="30" s="1"/>
  <c r="AA325" i="30"/>
  <c r="AA327" i="30" s="1"/>
  <c r="H325" i="30"/>
  <c r="H327" i="30" s="1"/>
  <c r="H483" i="30"/>
  <c r="I480" i="30" s="1"/>
  <c r="L16" i="26"/>
  <c r="L39" i="10"/>
  <c r="L32" i="26"/>
  <c r="L49" i="10"/>
  <c r="L43" i="26"/>
  <c r="L58" i="10"/>
  <c r="AC191" i="34"/>
  <c r="D120" i="34"/>
  <c r="H70" i="34"/>
  <c r="N6" i="56" s="1"/>
  <c r="AC193" i="34"/>
  <c r="D122" i="34"/>
  <c r="AC189" i="34"/>
  <c r="D118" i="34"/>
  <c r="AC185" i="34"/>
  <c r="D114" i="34"/>
  <c r="D112" i="34"/>
  <c r="AC183" i="34"/>
  <c r="AC190" i="34"/>
  <c r="D119" i="34"/>
  <c r="L11" i="26"/>
  <c r="L36" i="10"/>
  <c r="L45" i="10"/>
  <c r="L38" i="26"/>
  <c r="L54" i="10"/>
  <c r="AC192" i="34"/>
  <c r="D121" i="34"/>
  <c r="AC194" i="34"/>
  <c r="D123" i="34"/>
  <c r="AC182" i="34"/>
  <c r="D111" i="34"/>
  <c r="AC186" i="34"/>
  <c r="D115" i="34"/>
  <c r="AC184" i="34"/>
  <c r="D113" i="34"/>
  <c r="AC188" i="34"/>
  <c r="D117" i="34"/>
  <c r="AC187" i="34"/>
  <c r="J199" i="34" s="1"/>
  <c r="D116" i="34"/>
  <c r="L15" i="26"/>
  <c r="L38" i="10"/>
  <c r="L40" i="10"/>
  <c r="L22" i="26"/>
  <c r="L30" i="26"/>
  <c r="L48" i="10"/>
  <c r="L37" i="26"/>
  <c r="L53" i="10"/>
  <c r="L42" i="26"/>
  <c r="L57" i="10"/>
  <c r="L46" i="26"/>
  <c r="L61" i="10"/>
  <c r="L48" i="26"/>
  <c r="L63" i="10"/>
  <c r="L20" i="26"/>
  <c r="L42" i="10"/>
  <c r="L35" i="26"/>
  <c r="L52" i="10"/>
  <c r="L45" i="26"/>
  <c r="L60" i="10"/>
  <c r="E29" i="34"/>
  <c r="I25" i="10" s="1"/>
  <c r="D10" i="34"/>
  <c r="L18" i="26"/>
  <c r="L41" i="10"/>
  <c r="L46" i="10"/>
  <c r="L33" i="26"/>
  <c r="L50" i="10"/>
  <c r="L55" i="10"/>
  <c r="L44" i="26"/>
  <c r="L59" i="10"/>
  <c r="L47" i="26"/>
  <c r="L62" i="10"/>
  <c r="L13" i="26"/>
  <c r="L37" i="10"/>
  <c r="L28" i="26"/>
  <c r="L47" i="10"/>
  <c r="L40" i="26"/>
  <c r="L56" i="10"/>
  <c r="M7" i="56" l="1"/>
  <c r="M17" i="56" s="1"/>
  <c r="C46" i="56"/>
  <c r="C48" i="56"/>
  <c r="C40" i="56"/>
  <c r="C42" i="56"/>
  <c r="C44" i="56"/>
  <c r="C47" i="56"/>
  <c r="C41" i="56"/>
  <c r="C43" i="56"/>
  <c r="C45" i="56"/>
  <c r="AH350" i="30"/>
  <c r="AH352" i="30" s="1"/>
  <c r="X350" i="30"/>
  <c r="X352" i="30" s="1"/>
  <c r="AC198" i="34"/>
  <c r="AB199" i="34" s="1"/>
  <c r="AB200" i="34" s="1"/>
  <c r="G474" i="30"/>
  <c r="D11" i="31" s="1"/>
  <c r="C11" i="31" s="1"/>
  <c r="D127" i="34"/>
  <c r="H86" i="34"/>
  <c r="U350" i="30"/>
  <c r="U352" i="30" s="1"/>
  <c r="AF350" i="30"/>
  <c r="AF352" i="30" s="1"/>
  <c r="U349" i="30"/>
  <c r="U351" i="30" s="1"/>
  <c r="AF349" i="30"/>
  <c r="AF351" i="30" s="1"/>
  <c r="AH326" i="30"/>
  <c r="AH328" i="30" s="1"/>
  <c r="AF326" i="30"/>
  <c r="AF328" i="30" s="1"/>
  <c r="AH325" i="30"/>
  <c r="AH327" i="30" s="1"/>
  <c r="AF325" i="30"/>
  <c r="AF327" i="30" s="1"/>
  <c r="H199" i="34"/>
  <c r="H200" i="34" s="1"/>
  <c r="M24" i="26"/>
  <c r="M34" i="26"/>
  <c r="AF34" i="26"/>
  <c r="I481" i="30"/>
  <c r="I482" i="30"/>
  <c r="E481" i="30"/>
  <c r="E482" i="30"/>
  <c r="G480" i="30"/>
  <c r="D17" i="31" s="1"/>
  <c r="C17" i="31" s="1"/>
  <c r="G482" i="30"/>
  <c r="D19" i="31" s="1"/>
  <c r="C19" i="31" s="1"/>
  <c r="G481" i="30"/>
  <c r="D18" i="31" s="1"/>
  <c r="C18" i="31" s="1"/>
  <c r="I473" i="30"/>
  <c r="G124" i="34"/>
  <c r="F154" i="34" s="1"/>
  <c r="H154" i="34"/>
  <c r="U199" i="34"/>
  <c r="U200" i="34" s="1"/>
  <c r="E199" i="34"/>
  <c r="E200" i="34" s="1"/>
  <c r="H156" i="34"/>
  <c r="D156" i="34"/>
  <c r="H155" i="34"/>
  <c r="D155" i="34"/>
  <c r="I199" i="34"/>
  <c r="I200" i="34" s="1"/>
  <c r="F200" i="34"/>
  <c r="F202" i="34" s="1"/>
  <c r="M199" i="34"/>
  <c r="M200" i="34" s="1"/>
  <c r="G199" i="34"/>
  <c r="G200" i="34" s="1"/>
  <c r="N199" i="34"/>
  <c r="N200" i="34" s="1"/>
  <c r="K199" i="34"/>
  <c r="K200" i="34" s="1"/>
  <c r="D154" i="34"/>
  <c r="D105" i="56"/>
  <c r="D107" i="13" s="1"/>
  <c r="F6" i="10"/>
  <c r="H8" i="17"/>
  <c r="I8" i="17"/>
  <c r="G478" i="30"/>
  <c r="D15" i="31" s="1"/>
  <c r="C15" i="31" s="1"/>
  <c r="G476" i="30"/>
  <c r="D13" i="31" s="1"/>
  <c r="C13" i="31" s="1"/>
  <c r="G475" i="30"/>
  <c r="D12" i="31" s="1"/>
  <c r="C12" i="31" s="1"/>
  <c r="G473" i="30"/>
  <c r="D10" i="31" s="1"/>
  <c r="I479" i="30"/>
  <c r="I475" i="30"/>
  <c r="I474" i="30"/>
  <c r="I478" i="30"/>
  <c r="I476" i="30"/>
  <c r="I477" i="30"/>
  <c r="V278" i="30"/>
  <c r="V280" i="30" s="1"/>
  <c r="K278" i="30"/>
  <c r="K280" i="30" s="1"/>
  <c r="H278" i="30"/>
  <c r="H280" i="30" s="1"/>
  <c r="AB278" i="30"/>
  <c r="AB280" i="30" s="1"/>
  <c r="V277" i="30"/>
  <c r="V279" i="30" s="1"/>
  <c r="K277" i="30"/>
  <c r="K279" i="30" s="1"/>
  <c r="V302" i="30"/>
  <c r="V304" i="30" s="1"/>
  <c r="AH302" i="30"/>
  <c r="AH304" i="30" s="1"/>
  <c r="H302" i="30"/>
  <c r="H304" i="30" s="1"/>
  <c r="AB302" i="30"/>
  <c r="AB304" i="30" s="1"/>
  <c r="V349" i="30"/>
  <c r="V351" i="30" s="1"/>
  <c r="AG349" i="30"/>
  <c r="AG351" i="30" s="1"/>
  <c r="AG326" i="30"/>
  <c r="AG328" i="30" s="1"/>
  <c r="V326" i="30"/>
  <c r="V328" i="30" s="1"/>
  <c r="H326" i="30"/>
  <c r="H328" i="30" s="1"/>
  <c r="AA326" i="30"/>
  <c r="AA328" i="30" s="1"/>
  <c r="AG325" i="30"/>
  <c r="AG327" i="30" s="1"/>
  <c r="V325" i="30"/>
  <c r="V327" i="30" s="1"/>
  <c r="E478" i="30"/>
  <c r="E475" i="30"/>
  <c r="E476" i="30"/>
  <c r="E473" i="30"/>
  <c r="E474" i="30"/>
  <c r="E477" i="30"/>
  <c r="AG350" i="30"/>
  <c r="AG352" i="30" s="1"/>
  <c r="V350" i="30"/>
  <c r="V352" i="30" s="1"/>
  <c r="AA350" i="30"/>
  <c r="AA352" i="30" s="1"/>
  <c r="AC350" i="30"/>
  <c r="AC352" i="30" s="1"/>
  <c r="AH301" i="30"/>
  <c r="AH303" i="30" s="1"/>
  <c r="V301" i="30"/>
  <c r="V303" i="30" s="1"/>
  <c r="G479" i="30"/>
  <c r="D16" i="31" s="1"/>
  <c r="C16" i="31" s="1"/>
  <c r="G477" i="30"/>
  <c r="D14" i="31" s="1"/>
  <c r="C14" i="31" s="1"/>
  <c r="E479" i="30"/>
  <c r="J200" i="34"/>
  <c r="J201" i="34" s="1"/>
  <c r="L70" i="34"/>
  <c r="I10" i="34"/>
  <c r="I11" i="34" s="1"/>
  <c r="D110" i="34"/>
  <c r="AC181" i="34"/>
  <c r="M45" i="26"/>
  <c r="M35" i="26"/>
  <c r="M20" i="26"/>
  <c r="M48" i="26"/>
  <c r="M46" i="26"/>
  <c r="M42" i="26"/>
  <c r="M37" i="26"/>
  <c r="M30" i="26"/>
  <c r="M15" i="26"/>
  <c r="D146" i="34"/>
  <c r="H146" i="34"/>
  <c r="D147" i="34"/>
  <c r="H147" i="34"/>
  <c r="D145" i="34"/>
  <c r="H145" i="34"/>
  <c r="M38" i="26"/>
  <c r="M26" i="26"/>
  <c r="M11" i="26"/>
  <c r="N11" i="26" s="1"/>
  <c r="H149" i="34"/>
  <c r="D149" i="34"/>
  <c r="M40" i="26"/>
  <c r="M28" i="26"/>
  <c r="M13" i="26"/>
  <c r="M47" i="26"/>
  <c r="M44" i="26"/>
  <c r="M39" i="26"/>
  <c r="M33" i="26"/>
  <c r="M27" i="26"/>
  <c r="M18" i="26"/>
  <c r="M22" i="26"/>
  <c r="H143" i="34"/>
  <c r="D143" i="34"/>
  <c r="D141" i="34"/>
  <c r="H141" i="34"/>
  <c r="H142" i="34"/>
  <c r="D142" i="34"/>
  <c r="H144" i="34"/>
  <c r="D144" i="34"/>
  <c r="D148" i="34"/>
  <c r="H148" i="34"/>
  <c r="H69" i="34"/>
  <c r="H85" i="34" s="1"/>
  <c r="I13" i="34"/>
  <c r="M43" i="26"/>
  <c r="M32" i="26"/>
  <c r="M16" i="26"/>
  <c r="L64" i="10"/>
  <c r="N7" i="56" l="1"/>
  <c r="F43" i="56"/>
  <c r="L43" i="56"/>
  <c r="I43" i="56"/>
  <c r="I42" i="56"/>
  <c r="L42" i="56"/>
  <c r="F42" i="56"/>
  <c r="F45" i="56"/>
  <c r="I45" i="56"/>
  <c r="L45" i="56"/>
  <c r="F44" i="56"/>
  <c r="L44" i="56"/>
  <c r="I44" i="56"/>
  <c r="F46" i="56"/>
  <c r="I46" i="56"/>
  <c r="L46" i="56"/>
  <c r="F47" i="56"/>
  <c r="L47" i="56"/>
  <c r="I47" i="56"/>
  <c r="I48" i="56"/>
  <c r="F48" i="56"/>
  <c r="L48" i="56"/>
  <c r="L41" i="56"/>
  <c r="F41" i="56"/>
  <c r="I41" i="56"/>
  <c r="L40" i="56"/>
  <c r="I40" i="56"/>
  <c r="F40" i="56"/>
  <c r="AA199" i="34"/>
  <c r="AA200" i="34" s="1"/>
  <c r="AA201" i="34" s="1"/>
  <c r="R199" i="34"/>
  <c r="R200" i="34" s="1"/>
  <c r="R201" i="34" s="1"/>
  <c r="Z199" i="34"/>
  <c r="Z200" i="34" s="1"/>
  <c r="Z202" i="34" s="1"/>
  <c r="W199" i="34"/>
  <c r="W200" i="34" s="1"/>
  <c r="W201" i="34" s="1"/>
  <c r="X199" i="34"/>
  <c r="X200" i="34" s="1"/>
  <c r="X202" i="34" s="1"/>
  <c r="S199" i="34"/>
  <c r="S200" i="34" s="1"/>
  <c r="S201" i="34" s="1"/>
  <c r="V199" i="34"/>
  <c r="V200" i="34" s="1"/>
  <c r="V201" i="34" s="1"/>
  <c r="Q199" i="34"/>
  <c r="Q200" i="34" s="1"/>
  <c r="Q202" i="34" s="1"/>
  <c r="L199" i="34"/>
  <c r="L200" i="34" s="1"/>
  <c r="L202" i="34" s="1"/>
  <c r="T199" i="34"/>
  <c r="T200" i="34" s="1"/>
  <c r="T201" i="34" s="1"/>
  <c r="Y199" i="34"/>
  <c r="Y200" i="34" s="1"/>
  <c r="Y202" i="34" s="1"/>
  <c r="P199" i="34"/>
  <c r="P200" i="34" s="1"/>
  <c r="P201" i="34" s="1"/>
  <c r="I7" i="17"/>
  <c r="C10" i="31"/>
  <c r="F201" i="34"/>
  <c r="F361" i="30" a="1"/>
  <c r="F364" i="30" s="1"/>
  <c r="E397" i="30" a="1"/>
  <c r="E404" i="30" s="1"/>
  <c r="N34" i="26"/>
  <c r="R34" i="26"/>
  <c r="S34" i="26" s="1"/>
  <c r="N24" i="26"/>
  <c r="G361" i="30" a="1"/>
  <c r="G364" i="30" s="1"/>
  <c r="H361" i="30" a="1"/>
  <c r="H364" i="30" s="1"/>
  <c r="H397" i="30" a="1"/>
  <c r="H400" i="30" s="1"/>
  <c r="E361" i="30" a="1"/>
  <c r="E364" i="30" s="1"/>
  <c r="G397" i="30" a="1"/>
  <c r="F397" i="30" a="1"/>
  <c r="C93" i="31"/>
  <c r="C77" i="31"/>
  <c r="H474" i="31"/>
  <c r="C86" i="31"/>
  <c r="E86" i="31" s="1"/>
  <c r="I86" i="31" s="1"/>
  <c r="AJ339" i="31" s="1"/>
  <c r="W350" i="31" s="1"/>
  <c r="W352" i="31" s="1"/>
  <c r="K202" i="34"/>
  <c r="K201" i="34"/>
  <c r="E201" i="34"/>
  <c r="E202" i="34"/>
  <c r="I201" i="34"/>
  <c r="I202" i="34"/>
  <c r="D199" i="34"/>
  <c r="D200" i="34" s="1"/>
  <c r="AB201" i="34"/>
  <c r="AB202" i="34"/>
  <c r="D106" i="56"/>
  <c r="D108" i="13" s="1"/>
  <c r="C70" i="31"/>
  <c r="E70" i="31" s="1"/>
  <c r="I70" i="31" s="1"/>
  <c r="AI339" i="31" s="1"/>
  <c r="W349" i="31" s="1"/>
  <c r="W351" i="31" s="1"/>
  <c r="D474" i="31"/>
  <c r="H13" i="17"/>
  <c r="I13" i="17"/>
  <c r="H475" i="31"/>
  <c r="I9" i="17"/>
  <c r="H11" i="17"/>
  <c r="I11" i="17"/>
  <c r="D478" i="31"/>
  <c r="I12" i="17"/>
  <c r="I10" i="17"/>
  <c r="C74" i="31"/>
  <c r="E74" i="31" s="1"/>
  <c r="F74" i="31" s="1"/>
  <c r="AI271" i="31" s="1"/>
  <c r="J202" i="34"/>
  <c r="N202" i="34"/>
  <c r="N201" i="34"/>
  <c r="N22" i="26"/>
  <c r="N18" i="26"/>
  <c r="N27" i="26"/>
  <c r="N33" i="26"/>
  <c r="N39" i="26"/>
  <c r="N44" i="26"/>
  <c r="N47" i="26"/>
  <c r="N13" i="26"/>
  <c r="N28" i="26"/>
  <c r="N40" i="26"/>
  <c r="H202" i="34"/>
  <c r="H201" i="34"/>
  <c r="U202" i="34"/>
  <c r="U201" i="34"/>
  <c r="N15" i="26"/>
  <c r="N30" i="26"/>
  <c r="N37" i="26"/>
  <c r="N42" i="26"/>
  <c r="N46" i="26"/>
  <c r="N48" i="26"/>
  <c r="N20" i="26"/>
  <c r="N35" i="26"/>
  <c r="N45" i="26"/>
  <c r="N16" i="26"/>
  <c r="N32" i="26"/>
  <c r="N43" i="26"/>
  <c r="H87" i="34"/>
  <c r="E133" i="13"/>
  <c r="M202" i="34"/>
  <c r="M201" i="34"/>
  <c r="N26" i="26"/>
  <c r="N38" i="26"/>
  <c r="G202" i="34"/>
  <c r="G201" i="34"/>
  <c r="D140" i="34"/>
  <c r="D129" i="34"/>
  <c r="AA202" i="34" l="1"/>
  <c r="C39" i="56"/>
  <c r="I39" i="56" s="1"/>
  <c r="N17" i="56"/>
  <c r="D108" i="56"/>
  <c r="D110" i="13" s="1"/>
  <c r="Z201" i="34"/>
  <c r="R202" i="34"/>
  <c r="S202" i="34"/>
  <c r="Y201" i="34"/>
  <c r="T202" i="34"/>
  <c r="V202" i="34"/>
  <c r="X201" i="34"/>
  <c r="F361" i="30"/>
  <c r="F385" i="30"/>
  <c r="F370" i="30"/>
  <c r="W202" i="34"/>
  <c r="L201" i="34"/>
  <c r="Q201" i="34"/>
  <c r="P202" i="34"/>
  <c r="F387" i="30"/>
  <c r="F363" i="30"/>
  <c r="F386" i="30"/>
  <c r="F369" i="30"/>
  <c r="F362" i="30"/>
  <c r="F379" i="30"/>
  <c r="F389" i="30"/>
  <c r="F384" i="30"/>
  <c r="F371" i="30"/>
  <c r="F377" i="30"/>
  <c r="F378" i="30"/>
  <c r="F376" i="30"/>
  <c r="F368" i="30"/>
  <c r="H363" i="30"/>
  <c r="H362" i="30"/>
  <c r="H373" i="30"/>
  <c r="H376" i="30"/>
  <c r="H7" i="17"/>
  <c r="E416" i="30"/>
  <c r="H387" i="30"/>
  <c r="H389" i="30"/>
  <c r="H366" i="30"/>
  <c r="H361" i="30"/>
  <c r="F367" i="30"/>
  <c r="F375" i="30"/>
  <c r="F383" i="30"/>
  <c r="F365" i="30"/>
  <c r="F373" i="30"/>
  <c r="F381" i="30"/>
  <c r="F391" i="30"/>
  <c r="F390" i="30"/>
  <c r="F382" i="30"/>
  <c r="F374" i="30"/>
  <c r="F366" i="30"/>
  <c r="F388" i="30"/>
  <c r="F380" i="30"/>
  <c r="F372" i="30"/>
  <c r="F86" i="31"/>
  <c r="AJ267" i="31" s="1"/>
  <c r="H367" i="30"/>
  <c r="H379" i="30"/>
  <c r="H365" i="30"/>
  <c r="H381" i="30"/>
  <c r="H378" i="30"/>
  <c r="H382" i="30"/>
  <c r="H384" i="30"/>
  <c r="H368" i="30"/>
  <c r="H409" i="30"/>
  <c r="H407" i="30"/>
  <c r="H406" i="30"/>
  <c r="G361" i="30"/>
  <c r="H423" i="30"/>
  <c r="H425" i="30"/>
  <c r="H412" i="30"/>
  <c r="H399" i="30"/>
  <c r="H415" i="30"/>
  <c r="H401" i="30"/>
  <c r="H417" i="30"/>
  <c r="H414" i="30"/>
  <c r="H398" i="30"/>
  <c r="H397" i="30"/>
  <c r="H375" i="30"/>
  <c r="H371" i="30"/>
  <c r="H383" i="30"/>
  <c r="H391" i="30"/>
  <c r="H369" i="30"/>
  <c r="H377" i="30"/>
  <c r="H385" i="30"/>
  <c r="H386" i="30"/>
  <c r="H370" i="30"/>
  <c r="H390" i="30"/>
  <c r="H374" i="30"/>
  <c r="H388" i="30"/>
  <c r="H380" i="30"/>
  <c r="H372" i="30"/>
  <c r="G391" i="30"/>
  <c r="G385" i="30"/>
  <c r="G362" i="30"/>
  <c r="G381" i="30"/>
  <c r="G375" i="30"/>
  <c r="G378" i="30"/>
  <c r="G376" i="30"/>
  <c r="G365" i="30"/>
  <c r="G369" i="30"/>
  <c r="G367" i="30"/>
  <c r="G383" i="30"/>
  <c r="G386" i="30"/>
  <c r="G370" i="30"/>
  <c r="G384" i="30"/>
  <c r="G368" i="30"/>
  <c r="E399" i="30"/>
  <c r="E405" i="30"/>
  <c r="E426" i="30"/>
  <c r="E401" i="30"/>
  <c r="E413" i="30"/>
  <c r="E407" i="30"/>
  <c r="E406" i="30"/>
  <c r="E361" i="30"/>
  <c r="E409" i="30"/>
  <c r="E421" i="30"/>
  <c r="E403" i="30"/>
  <c r="E415" i="30"/>
  <c r="E414" i="30"/>
  <c r="E398" i="30"/>
  <c r="E400" i="30"/>
  <c r="E417" i="30"/>
  <c r="E425" i="30"/>
  <c r="E411" i="30"/>
  <c r="E423" i="30"/>
  <c r="E418" i="30"/>
  <c r="E410" i="30"/>
  <c r="E402" i="30"/>
  <c r="E424" i="30"/>
  <c r="E408" i="30"/>
  <c r="E397" i="30"/>
  <c r="E419" i="30"/>
  <c r="E427" i="30"/>
  <c r="E422" i="30"/>
  <c r="E420" i="30"/>
  <c r="E412" i="30"/>
  <c r="E365" i="30"/>
  <c r="E391" i="30"/>
  <c r="E389" i="30"/>
  <c r="E362" i="30"/>
  <c r="E373" i="30"/>
  <c r="E375" i="30"/>
  <c r="E378" i="30"/>
  <c r="E376" i="30"/>
  <c r="AG34" i="26"/>
  <c r="H86" i="31"/>
  <c r="AJ315" i="31" s="1"/>
  <c r="W326" i="31" s="1"/>
  <c r="W328" i="31" s="1"/>
  <c r="H403" i="30"/>
  <c r="H411" i="30"/>
  <c r="H419" i="30"/>
  <c r="H427" i="30"/>
  <c r="H405" i="30"/>
  <c r="H413" i="30"/>
  <c r="H421" i="30"/>
  <c r="H422" i="30"/>
  <c r="H410" i="30"/>
  <c r="H402" i="30"/>
  <c r="H420" i="30"/>
  <c r="H404" i="30"/>
  <c r="H426" i="30"/>
  <c r="H418" i="30"/>
  <c r="H424" i="30"/>
  <c r="H416" i="30"/>
  <c r="H408" i="30"/>
  <c r="E381" i="30"/>
  <c r="E367" i="30"/>
  <c r="E383" i="30"/>
  <c r="E386" i="30"/>
  <c r="E370" i="30"/>
  <c r="E384" i="30"/>
  <c r="E368" i="30"/>
  <c r="M278" i="31"/>
  <c r="M280" i="31" s="1"/>
  <c r="W278" i="31"/>
  <c r="W280" i="31" s="1"/>
  <c r="G373" i="30"/>
  <c r="G389" i="30"/>
  <c r="G377" i="30"/>
  <c r="G363" i="30"/>
  <c r="G371" i="30"/>
  <c r="G379" i="30"/>
  <c r="G387" i="30"/>
  <c r="G390" i="30"/>
  <c r="G382" i="30"/>
  <c r="G374" i="30"/>
  <c r="G366" i="30"/>
  <c r="G388" i="30"/>
  <c r="G380" i="30"/>
  <c r="G372" i="30"/>
  <c r="E369" i="30"/>
  <c r="E377" i="30"/>
  <c r="E385" i="30"/>
  <c r="E363" i="30"/>
  <c r="E371" i="30"/>
  <c r="E379" i="30"/>
  <c r="E387" i="30"/>
  <c r="E390" i="30"/>
  <c r="E382" i="30"/>
  <c r="E374" i="30"/>
  <c r="E366" i="30"/>
  <c r="E388" i="30"/>
  <c r="E380" i="30"/>
  <c r="E372" i="30"/>
  <c r="H12" i="31"/>
  <c r="H49" i="31" s="1"/>
  <c r="G397" i="30"/>
  <c r="G400" i="30"/>
  <c r="G404" i="30"/>
  <c r="G408" i="30"/>
  <c r="G412" i="30"/>
  <c r="G416" i="30"/>
  <c r="G420" i="30"/>
  <c r="G424" i="30"/>
  <c r="G398" i="30"/>
  <c r="G402" i="30"/>
  <c r="G406" i="30"/>
  <c r="G410" i="30"/>
  <c r="G414" i="30"/>
  <c r="G418" i="30"/>
  <c r="G422" i="30"/>
  <c r="G426" i="30"/>
  <c r="G427" i="30"/>
  <c r="G423" i="30"/>
  <c r="G419" i="30"/>
  <c r="G415" i="30"/>
  <c r="G411" i="30"/>
  <c r="G407" i="30"/>
  <c r="G403" i="30"/>
  <c r="G399" i="30"/>
  <c r="G425" i="30"/>
  <c r="G421" i="30"/>
  <c r="G417" i="30"/>
  <c r="G413" i="30"/>
  <c r="G409" i="30"/>
  <c r="G405" i="30"/>
  <c r="G401" i="30"/>
  <c r="G86" i="31"/>
  <c r="AJ291" i="31" s="1"/>
  <c r="F397" i="30"/>
  <c r="F400" i="30"/>
  <c r="F404" i="30"/>
  <c r="F408" i="30"/>
  <c r="F412" i="30"/>
  <c r="F416" i="30"/>
  <c r="F420" i="30"/>
  <c r="F424" i="30"/>
  <c r="F398" i="30"/>
  <c r="F402" i="30"/>
  <c r="F406" i="30"/>
  <c r="F410" i="30"/>
  <c r="F414" i="30"/>
  <c r="F418" i="30"/>
  <c r="F422" i="30"/>
  <c r="F426" i="30"/>
  <c r="F425" i="30"/>
  <c r="F421" i="30"/>
  <c r="F417" i="30"/>
  <c r="F413" i="30"/>
  <c r="F409" i="30"/>
  <c r="F405" i="30"/>
  <c r="F401" i="30"/>
  <c r="F427" i="30"/>
  <c r="F423" i="30"/>
  <c r="F419" i="30"/>
  <c r="F415" i="30"/>
  <c r="F411" i="30"/>
  <c r="F407" i="30"/>
  <c r="F403" i="30"/>
  <c r="F399" i="30"/>
  <c r="F70" i="31"/>
  <c r="AI267" i="31" s="1"/>
  <c r="I74" i="31"/>
  <c r="AI343" i="31" s="1"/>
  <c r="AH349" i="31" s="1"/>
  <c r="AH351" i="31" s="1"/>
  <c r="C92" i="31"/>
  <c r="C76" i="31"/>
  <c r="D20" i="31"/>
  <c r="D477" i="31"/>
  <c r="G70" i="31"/>
  <c r="AI291" i="31" s="1"/>
  <c r="G74" i="31"/>
  <c r="AI295" i="31" s="1"/>
  <c r="D201" i="34"/>
  <c r="D202" i="34"/>
  <c r="L349" i="31"/>
  <c r="L351" i="31" s="1"/>
  <c r="M349" i="31"/>
  <c r="M351" i="31" s="1"/>
  <c r="H74" i="31"/>
  <c r="AI319" i="31" s="1"/>
  <c r="H477" i="31"/>
  <c r="H70" i="31"/>
  <c r="AI315" i="31" s="1"/>
  <c r="C87" i="31"/>
  <c r="E87" i="31" s="1"/>
  <c r="L350" i="31"/>
  <c r="L352" i="31" s="1"/>
  <c r="M350" i="31"/>
  <c r="M352" i="31" s="1"/>
  <c r="L325" i="31"/>
  <c r="L327" i="31" s="1"/>
  <c r="L326" i="31"/>
  <c r="L328" i="31" s="1"/>
  <c r="C89" i="31"/>
  <c r="E89" i="31" s="1"/>
  <c r="I89" i="31" s="1"/>
  <c r="AJ342" i="31" s="1"/>
  <c r="AE350" i="31" s="1"/>
  <c r="AE352" i="31" s="1"/>
  <c r="C73" i="31"/>
  <c r="E73" i="31" s="1"/>
  <c r="F73" i="31" s="1"/>
  <c r="AI270" i="31" s="1"/>
  <c r="U277" i="31" s="1"/>
  <c r="U279" i="31" s="1"/>
  <c r="C75" i="31"/>
  <c r="C90" i="31"/>
  <c r="E90" i="31" s="1"/>
  <c r="H12" i="17"/>
  <c r="H478" i="31"/>
  <c r="C71" i="31"/>
  <c r="E71" i="31" s="1"/>
  <c r="H9" i="17"/>
  <c r="D475" i="31"/>
  <c r="C91" i="31"/>
  <c r="H10" i="17"/>
  <c r="H476" i="31"/>
  <c r="C88" i="31"/>
  <c r="E88" i="31" s="1"/>
  <c r="D476" i="31"/>
  <c r="C72" i="31"/>
  <c r="E72" i="31" s="1"/>
  <c r="D473" i="31"/>
  <c r="C85" i="31"/>
  <c r="E85" i="31" s="1"/>
  <c r="C69" i="31"/>
  <c r="E69" i="31" s="1"/>
  <c r="C20" i="31"/>
  <c r="H10" i="31"/>
  <c r="AE193" i="34"/>
  <c r="AE192" i="34"/>
  <c r="L87" i="34"/>
  <c r="F127" i="34"/>
  <c r="AE191" i="34"/>
  <c r="D80" i="34"/>
  <c r="AE194" i="34"/>
  <c r="D160" i="34"/>
  <c r="N59" i="26"/>
  <c r="F39" i="56" l="1"/>
  <c r="D104" i="56" s="1"/>
  <c r="D106" i="13" s="1"/>
  <c r="L39" i="56"/>
  <c r="D110" i="56" s="1"/>
  <c r="D112" i="13" s="1"/>
  <c r="D109" i="56"/>
  <c r="D111" i="13" s="1"/>
  <c r="P226" i="34" a="1"/>
  <c r="P250" i="34" s="1"/>
  <c r="J226" i="34" a="1"/>
  <c r="J226" i="34" s="1"/>
  <c r="J382" i="30"/>
  <c r="J457" i="30" s="1"/>
  <c r="M49" i="17" s="1"/>
  <c r="J418" i="30"/>
  <c r="J416" i="30"/>
  <c r="J373" i="30"/>
  <c r="J448" i="30" s="1"/>
  <c r="M38" i="17" s="1"/>
  <c r="H73" i="31"/>
  <c r="AI318" i="31" s="1"/>
  <c r="AE325" i="31" s="1"/>
  <c r="AE327" i="31" s="1"/>
  <c r="M326" i="31"/>
  <c r="M328" i="31" s="1"/>
  <c r="C94" i="31"/>
  <c r="J417" i="30"/>
  <c r="N301" i="31"/>
  <c r="N303" i="31" s="1"/>
  <c r="AD325" i="31"/>
  <c r="AD327" i="31" s="1"/>
  <c r="J380" i="30"/>
  <c r="J455" i="30" s="1"/>
  <c r="J381" i="30"/>
  <c r="J456" i="30" s="1"/>
  <c r="M46" i="17" s="1"/>
  <c r="O25" i="26" s="1"/>
  <c r="C78" i="31"/>
  <c r="M301" i="31"/>
  <c r="M303" i="31" s="1"/>
  <c r="W301" i="31"/>
  <c r="W303" i="31" s="1"/>
  <c r="M277" i="31"/>
  <c r="M279" i="31" s="1"/>
  <c r="W277" i="31"/>
  <c r="W279" i="31" s="1"/>
  <c r="M45" i="17"/>
  <c r="O24" i="26" s="1"/>
  <c r="M325" i="31"/>
  <c r="M327" i="31" s="1"/>
  <c r="W325" i="31"/>
  <c r="W327" i="31" s="1"/>
  <c r="M302" i="31"/>
  <c r="M304" i="31" s="1"/>
  <c r="W302" i="31"/>
  <c r="W304" i="31" s="1"/>
  <c r="N46" i="17"/>
  <c r="P25" i="26" s="1"/>
  <c r="N49" i="17"/>
  <c r="G73" i="31"/>
  <c r="AI294" i="31" s="1"/>
  <c r="U301" i="31" s="1"/>
  <c r="U303" i="31" s="1"/>
  <c r="I73" i="31"/>
  <c r="AI342" i="31" s="1"/>
  <c r="AE349" i="31" s="1"/>
  <c r="AE351" i="31" s="1"/>
  <c r="F89" i="31"/>
  <c r="AJ270" i="31" s="1"/>
  <c r="U278" i="31" s="1"/>
  <c r="U280" i="31" s="1"/>
  <c r="H48" i="31"/>
  <c r="H50" i="31" s="1"/>
  <c r="L50" i="31" s="1"/>
  <c r="H17" i="17"/>
  <c r="H89" i="31"/>
  <c r="AJ318" i="31" s="1"/>
  <c r="J369" i="30"/>
  <c r="J444" i="30" s="1"/>
  <c r="M34" i="17" s="1"/>
  <c r="J371" i="30"/>
  <c r="J446" i="30" s="1"/>
  <c r="M36" i="17" s="1"/>
  <c r="U208" i="34"/>
  <c r="U209" i="34" s="1"/>
  <c r="G89" i="31"/>
  <c r="AJ294" i="31" s="1"/>
  <c r="U302" i="31" s="1"/>
  <c r="U304" i="31" s="1"/>
  <c r="J389" i="30"/>
  <c r="J464" i="30" s="1"/>
  <c r="M56" i="17" s="1"/>
  <c r="O29" i="26" s="1"/>
  <c r="H87" i="31"/>
  <c r="AJ316" i="31" s="1"/>
  <c r="AF326" i="31" s="1"/>
  <c r="AF328" i="31" s="1"/>
  <c r="G87" i="31"/>
  <c r="AJ292" i="31" s="1"/>
  <c r="I87" i="31"/>
  <c r="AJ340" i="31" s="1"/>
  <c r="AF350" i="31" s="1"/>
  <c r="AF352" i="31" s="1"/>
  <c r="AD349" i="31"/>
  <c r="AD351" i="31" s="1"/>
  <c r="AE278" i="31"/>
  <c r="AE280" i="31" s="1"/>
  <c r="AD350" i="31"/>
  <c r="AD352" i="31" s="1"/>
  <c r="AE277" i="31"/>
  <c r="AE279" i="31" s="1"/>
  <c r="I277" i="31"/>
  <c r="I279" i="31" s="1"/>
  <c r="J377" i="30"/>
  <c r="J452" i="30" s="1"/>
  <c r="M42" i="17" s="1"/>
  <c r="O14" i="26" s="1"/>
  <c r="J427" i="30"/>
  <c r="J387" i="30"/>
  <c r="J462" i="30" s="1"/>
  <c r="M54" i="17" s="1"/>
  <c r="J379" i="30"/>
  <c r="J454" i="30" s="1"/>
  <c r="J388" i="30"/>
  <c r="J463" i="30" s="1"/>
  <c r="J414" i="30"/>
  <c r="J361" i="30"/>
  <c r="J435" i="30" s="1"/>
  <c r="M25" i="17" s="1"/>
  <c r="O51" i="26" s="1"/>
  <c r="J367" i="30"/>
  <c r="J441" i="30" s="1"/>
  <c r="M31" i="17" s="1"/>
  <c r="O57" i="26" s="1"/>
  <c r="J419" i="30"/>
  <c r="J426" i="30"/>
  <c r="J406" i="30"/>
  <c r="J423" i="30"/>
  <c r="J397" i="30"/>
  <c r="J409" i="30"/>
  <c r="J398" i="30"/>
  <c r="J364" i="30"/>
  <c r="J438" i="30" s="1"/>
  <c r="M28" i="17" s="1"/>
  <c r="O54" i="26" s="1"/>
  <c r="J362" i="30"/>
  <c r="J436" i="30" s="1"/>
  <c r="M26" i="17" s="1"/>
  <c r="O52" i="26" s="1"/>
  <c r="J378" i="30"/>
  <c r="J453" i="30" s="1"/>
  <c r="M43" i="17" s="1"/>
  <c r="J374" i="30"/>
  <c r="J449" i="30" s="1"/>
  <c r="M39" i="17" s="1"/>
  <c r="O19" i="26" s="1"/>
  <c r="J366" i="30"/>
  <c r="J440" i="30" s="1"/>
  <c r="M30" i="17" s="1"/>
  <c r="O56" i="26" s="1"/>
  <c r="J383" i="30"/>
  <c r="J458" i="30" s="1"/>
  <c r="J402" i="30"/>
  <c r="J408" i="30"/>
  <c r="J410" i="30"/>
  <c r="J365" i="30"/>
  <c r="J439" i="30" s="1"/>
  <c r="M29" i="17" s="1"/>
  <c r="O55" i="26" s="1"/>
  <c r="J363" i="30"/>
  <c r="J437" i="30" s="1"/>
  <c r="M27" i="17" s="1"/>
  <c r="O53" i="26" s="1"/>
  <c r="J407" i="30"/>
  <c r="J390" i="30"/>
  <c r="J465" i="30" s="1"/>
  <c r="M57" i="17" s="1"/>
  <c r="J386" i="30"/>
  <c r="J461" i="30" s="1"/>
  <c r="M53" i="17" s="1"/>
  <c r="M44" i="17"/>
  <c r="O23" i="26" s="1"/>
  <c r="I72" i="31"/>
  <c r="AI341" i="31" s="1"/>
  <c r="H72" i="31"/>
  <c r="AI317" i="31" s="1"/>
  <c r="T325" i="31" s="1"/>
  <c r="T327" i="31" s="1"/>
  <c r="G72" i="31"/>
  <c r="AI293" i="31" s="1"/>
  <c r="K301" i="31" s="1"/>
  <c r="K303" i="31" s="1"/>
  <c r="F72" i="31"/>
  <c r="AI269" i="31" s="1"/>
  <c r="F90" i="31"/>
  <c r="AJ271" i="31" s="1"/>
  <c r="H90" i="31"/>
  <c r="AJ319" i="31" s="1"/>
  <c r="I90" i="31"/>
  <c r="AJ343" i="31" s="1"/>
  <c r="G90" i="31"/>
  <c r="AJ295" i="31" s="1"/>
  <c r="J421" i="30"/>
  <c r="J415" i="30"/>
  <c r="J420" i="30"/>
  <c r="J368" i="30"/>
  <c r="J442" i="30" s="1"/>
  <c r="M32" i="17" s="1"/>
  <c r="O58" i="26" s="1"/>
  <c r="J385" i="30"/>
  <c r="J460" i="30" s="1"/>
  <c r="M52" i="17" s="1"/>
  <c r="O36" i="26" s="1"/>
  <c r="J401" i="30"/>
  <c r="G88" i="31"/>
  <c r="AJ293" i="31" s="1"/>
  <c r="I88" i="31"/>
  <c r="AJ341" i="31" s="1"/>
  <c r="F88" i="31"/>
  <c r="AJ269" i="31" s="1"/>
  <c r="T278" i="31" s="1"/>
  <c r="T280" i="31" s="1"/>
  <c r="H88" i="31"/>
  <c r="AJ317" i="31" s="1"/>
  <c r="T326" i="31" s="1"/>
  <c r="T328" i="31" s="1"/>
  <c r="J424" i="30"/>
  <c r="J403" i="30"/>
  <c r="J404" i="30"/>
  <c r="H71" i="31"/>
  <c r="AI316" i="31" s="1"/>
  <c r="O325" i="31" s="1"/>
  <c r="O327" i="31" s="1"/>
  <c r="G71" i="31"/>
  <c r="AI292" i="31" s="1"/>
  <c r="J301" i="31" s="1"/>
  <c r="J303" i="31" s="1"/>
  <c r="I71" i="31"/>
  <c r="AI340" i="31" s="1"/>
  <c r="O349" i="31" s="1"/>
  <c r="O351" i="31" s="1"/>
  <c r="J425" i="30"/>
  <c r="J411" i="30"/>
  <c r="J422" i="30"/>
  <c r="J372" i="30"/>
  <c r="J447" i="30" s="1"/>
  <c r="M37" i="17" s="1"/>
  <c r="O17" i="26" s="1"/>
  <c r="J375" i="30"/>
  <c r="J450" i="30" s="1"/>
  <c r="M40" i="17" s="1"/>
  <c r="O21" i="26" s="1"/>
  <c r="H13" i="31"/>
  <c r="J376" i="30"/>
  <c r="J451" i="30" s="1"/>
  <c r="M41" i="17" s="1"/>
  <c r="J384" i="30"/>
  <c r="J459" i="30" s="1"/>
  <c r="M51" i="17" s="1"/>
  <c r="J413" i="30"/>
  <c r="J391" i="30"/>
  <c r="J466" i="30" s="1"/>
  <c r="M58" i="17" s="1"/>
  <c r="O41" i="26" s="1"/>
  <c r="J370" i="30"/>
  <c r="J445" i="30" s="1"/>
  <c r="M35" i="17" s="1"/>
  <c r="O12" i="26" s="1"/>
  <c r="J399" i="30"/>
  <c r="J405" i="30"/>
  <c r="J400" i="30"/>
  <c r="J412" i="30"/>
  <c r="H11" i="31"/>
  <c r="G85" i="31"/>
  <c r="AJ290" i="31" s="1"/>
  <c r="Q302" i="31" s="1"/>
  <c r="Q304" i="31" s="1"/>
  <c r="F85" i="31"/>
  <c r="AJ266" i="31" s="1"/>
  <c r="Q278" i="31" s="1"/>
  <c r="Q280" i="31" s="1"/>
  <c r="H85" i="31"/>
  <c r="AJ314" i="31" s="1"/>
  <c r="I85" i="31"/>
  <c r="AJ338" i="31" s="1"/>
  <c r="H69" i="31"/>
  <c r="AI314" i="31" s="1"/>
  <c r="G69" i="31"/>
  <c r="AI290" i="31" s="1"/>
  <c r="Q301" i="31" s="1"/>
  <c r="Q303" i="31" s="1"/>
  <c r="F69" i="31"/>
  <c r="AI266" i="31" s="1"/>
  <c r="Q277" i="31" s="1"/>
  <c r="Q279" i="31" s="1"/>
  <c r="I69" i="31"/>
  <c r="AI338" i="31" s="1"/>
  <c r="H75" i="34"/>
  <c r="H76" i="34"/>
  <c r="H74" i="34"/>
  <c r="F80" i="34"/>
  <c r="G80" i="34"/>
  <c r="H73" i="34"/>
  <c r="D157" i="34"/>
  <c r="G127" i="34"/>
  <c r="F157" i="34" s="1"/>
  <c r="F121" i="34"/>
  <c r="F123" i="34"/>
  <c r="C80" i="34"/>
  <c r="AE198" i="34"/>
  <c r="E102" i="34"/>
  <c r="E101" i="34"/>
  <c r="E98" i="34"/>
  <c r="E97" i="34"/>
  <c r="E96" i="34"/>
  <c r="E100" i="34"/>
  <c r="E94" i="34"/>
  <c r="E99" i="34"/>
  <c r="E95" i="34"/>
  <c r="E93" i="34"/>
  <c r="F122" i="34"/>
  <c r="D113" i="13" l="1"/>
  <c r="D111" i="56"/>
  <c r="K409" i="30"/>
  <c r="L409" i="30" s="1"/>
  <c r="K448" i="30" s="1"/>
  <c r="P243" i="34"/>
  <c r="P245" i="34"/>
  <c r="P230" i="34"/>
  <c r="P242" i="34"/>
  <c r="P241" i="34"/>
  <c r="P226" i="34"/>
  <c r="P244" i="34"/>
  <c r="P248" i="34"/>
  <c r="P232" i="34"/>
  <c r="P249" i="34"/>
  <c r="P239" i="34"/>
  <c r="P229" i="34"/>
  <c r="P227" i="34"/>
  <c r="P247" i="34"/>
  <c r="P228" i="34"/>
  <c r="P240" i="34"/>
  <c r="P237" i="34"/>
  <c r="P236" i="34"/>
  <c r="P233" i="34"/>
  <c r="P231" i="34"/>
  <c r="P238" i="34"/>
  <c r="P246" i="34"/>
  <c r="P235" i="34"/>
  <c r="P234" i="34"/>
  <c r="J237" i="34"/>
  <c r="J244" i="34"/>
  <c r="J232" i="34"/>
  <c r="J231" i="34"/>
  <c r="J229" i="34"/>
  <c r="J240" i="34"/>
  <c r="J242" i="34"/>
  <c r="J241" i="34"/>
  <c r="J235" i="34"/>
  <c r="J238" i="34"/>
  <c r="J250" i="34"/>
  <c r="J234" i="34"/>
  <c r="J247" i="34"/>
  <c r="J243" i="34"/>
  <c r="J227" i="34"/>
  <c r="J233" i="34"/>
  <c r="J236" i="34"/>
  <c r="J246" i="34"/>
  <c r="J230" i="34"/>
  <c r="J248" i="34"/>
  <c r="J239" i="34"/>
  <c r="J228" i="34"/>
  <c r="J245" i="34"/>
  <c r="J249" i="34"/>
  <c r="K405" i="30"/>
  <c r="L405" i="30" s="1"/>
  <c r="K444" i="30" s="1"/>
  <c r="L444" i="30" s="1"/>
  <c r="K418" i="30"/>
  <c r="L418" i="30" s="1"/>
  <c r="K457" i="30" s="1"/>
  <c r="L457" i="30" s="1"/>
  <c r="O49" i="17" s="1"/>
  <c r="P49" i="17" s="1"/>
  <c r="AJ49" i="17" s="1"/>
  <c r="AE302" i="31"/>
  <c r="AE304" i="31" s="1"/>
  <c r="AE301" i="31"/>
  <c r="AE303" i="31" s="1"/>
  <c r="I302" i="31"/>
  <c r="I304" i="31" s="1"/>
  <c r="I301" i="31"/>
  <c r="I303" i="31" s="1"/>
  <c r="I278" i="31"/>
  <c r="I280" i="31" s="1"/>
  <c r="K416" i="30"/>
  <c r="L416" i="30" s="1"/>
  <c r="K455" i="30" s="1"/>
  <c r="N45" i="17" s="1"/>
  <c r="P24" i="26" s="1"/>
  <c r="O350" i="31"/>
  <c r="O352" i="31" s="1"/>
  <c r="AH350" i="31"/>
  <c r="AH352" i="31" s="1"/>
  <c r="K302" i="31"/>
  <c r="K304" i="31" s="1"/>
  <c r="N302" i="31"/>
  <c r="N304" i="31" s="1"/>
  <c r="AF302" i="31"/>
  <c r="AF304" i="31" s="1"/>
  <c r="J302" i="31"/>
  <c r="J304" i="31" s="1"/>
  <c r="AD326" i="31"/>
  <c r="AD328" i="31" s="1"/>
  <c r="AE326" i="31"/>
  <c r="AE328" i="31" s="1"/>
  <c r="K417" i="30"/>
  <c r="L417" i="30" s="1"/>
  <c r="K456" i="30" s="1"/>
  <c r="L456" i="30" s="1"/>
  <c r="O46" i="17" s="1"/>
  <c r="P46" i="17" s="1"/>
  <c r="AJ46" i="17" s="1"/>
  <c r="D53" i="31"/>
  <c r="D57" i="31" s="1"/>
  <c r="D55" i="31"/>
  <c r="D54" i="31"/>
  <c r="K397" i="30"/>
  <c r="L397" i="30" s="1"/>
  <c r="K435" i="30" s="1"/>
  <c r="L435" i="30" s="1"/>
  <c r="O25" i="17" s="1"/>
  <c r="Q51" i="26" s="1"/>
  <c r="R51" i="26" s="1"/>
  <c r="S51" i="26" s="1"/>
  <c r="D56" i="31"/>
  <c r="I56" i="31" s="1"/>
  <c r="D78" i="31" s="1"/>
  <c r="E78" i="31" s="1"/>
  <c r="G78" i="31" s="1"/>
  <c r="AI300" i="31" s="1"/>
  <c r="K407" i="30"/>
  <c r="L407" i="30" s="1"/>
  <c r="K446" i="30" s="1"/>
  <c r="N36" i="17" s="1"/>
  <c r="P349" i="31"/>
  <c r="P351" i="31" s="1"/>
  <c r="Q349" i="31"/>
  <c r="Q351" i="31" s="1"/>
  <c r="P350" i="31"/>
  <c r="P352" i="31" s="1"/>
  <c r="Q350" i="31"/>
  <c r="Q352" i="31" s="1"/>
  <c r="F114" i="34"/>
  <c r="F113" i="34"/>
  <c r="F112" i="34"/>
  <c r="F119" i="34"/>
  <c r="F117" i="34"/>
  <c r="F116" i="34"/>
  <c r="F111" i="34"/>
  <c r="F110" i="34"/>
  <c r="G110" i="34" s="1"/>
  <c r="F118" i="34"/>
  <c r="F115" i="34"/>
  <c r="AB208" i="34"/>
  <c r="AB209" i="34" s="1"/>
  <c r="Z208" i="34"/>
  <c r="Z209" i="34" s="1"/>
  <c r="X208" i="34"/>
  <c r="X209" i="34" s="1"/>
  <c r="V208" i="34"/>
  <c r="V209" i="34" s="1"/>
  <c r="T208" i="34"/>
  <c r="T209" i="34" s="1"/>
  <c r="R208" i="34"/>
  <c r="R209" i="34" s="1"/>
  <c r="P208" i="34"/>
  <c r="P209" i="34" s="1"/>
  <c r="L208" i="34"/>
  <c r="L209" i="34" s="1"/>
  <c r="AA208" i="34"/>
  <c r="AA209" i="34" s="1"/>
  <c r="Y208" i="34"/>
  <c r="Y209" i="34" s="1"/>
  <c r="W208" i="34"/>
  <c r="W209" i="34" s="1"/>
  <c r="S208" i="34"/>
  <c r="S209" i="34" s="1"/>
  <c r="Q208" i="34"/>
  <c r="Q209" i="34" s="1"/>
  <c r="E76" i="34"/>
  <c r="E79" i="34"/>
  <c r="E77" i="34"/>
  <c r="E78" i="34"/>
  <c r="K401" i="30"/>
  <c r="L401" i="30" s="1"/>
  <c r="K439" i="30" s="1"/>
  <c r="N29" i="17" s="1"/>
  <c r="P55" i="26" s="1"/>
  <c r="M50" i="17"/>
  <c r="K425" i="30"/>
  <c r="L425" i="30" s="1"/>
  <c r="K464" i="30" s="1"/>
  <c r="O302" i="31"/>
  <c r="O304" i="31" s="1"/>
  <c r="S349" i="31"/>
  <c r="S351" i="31" s="1"/>
  <c r="T349" i="31"/>
  <c r="T351" i="31" s="1"/>
  <c r="S350" i="31"/>
  <c r="S352" i="31" s="1"/>
  <c r="T350" i="31"/>
  <c r="T352" i="31" s="1"/>
  <c r="M55" i="17"/>
  <c r="O31" i="26" s="1"/>
  <c r="K398" i="30"/>
  <c r="L398" i="30" s="1"/>
  <c r="K436" i="30" s="1"/>
  <c r="L436" i="30" s="1"/>
  <c r="O26" i="17" s="1"/>
  <c r="Q52" i="26" s="1"/>
  <c r="R52" i="26" s="1"/>
  <c r="S52" i="26" s="1"/>
  <c r="K413" i="30"/>
  <c r="L413" i="30" s="1"/>
  <c r="K452" i="30" s="1"/>
  <c r="L452" i="30" s="1"/>
  <c r="O42" i="17" s="1"/>
  <c r="P42" i="17" s="1"/>
  <c r="K422" i="30"/>
  <c r="K404" i="30"/>
  <c r="L404" i="30" s="1"/>
  <c r="K442" i="30" s="1"/>
  <c r="N32" i="17" s="1"/>
  <c r="P58" i="26" s="1"/>
  <c r="K424" i="30"/>
  <c r="L424" i="30" s="1"/>
  <c r="K463" i="30" s="1"/>
  <c r="N55" i="17" s="1"/>
  <c r="P31" i="26" s="1"/>
  <c r="K423" i="30"/>
  <c r="L423" i="30" s="1"/>
  <c r="K462" i="30" s="1"/>
  <c r="N54" i="17" s="1"/>
  <c r="N38" i="17"/>
  <c r="L448" i="30"/>
  <c r="S326" i="31"/>
  <c r="S328" i="31" s="1"/>
  <c r="O326" i="31"/>
  <c r="O328" i="31" s="1"/>
  <c r="T301" i="31"/>
  <c r="T303" i="31" s="1"/>
  <c r="S301" i="31"/>
  <c r="S303" i="31" s="1"/>
  <c r="N350" i="31"/>
  <c r="N352" i="31" s="1"/>
  <c r="O278" i="31"/>
  <c r="O280" i="31" s="1"/>
  <c r="P325" i="31"/>
  <c r="P327" i="31" s="1"/>
  <c r="Q325" i="31"/>
  <c r="Q327" i="31" s="1"/>
  <c r="P326" i="31"/>
  <c r="P328" i="31" s="1"/>
  <c r="Q326" i="31"/>
  <c r="Q328" i="31" s="1"/>
  <c r="T302" i="31"/>
  <c r="T304" i="31" s="1"/>
  <c r="S302" i="31"/>
  <c r="S304" i="31" s="1"/>
  <c r="N326" i="31"/>
  <c r="N328" i="31" s="1"/>
  <c r="T277" i="31"/>
  <c r="T279" i="31" s="1"/>
  <c r="O277" i="31"/>
  <c r="O279" i="31" s="1"/>
  <c r="S325" i="31"/>
  <c r="S327" i="31" s="1"/>
  <c r="K419" i="30"/>
  <c r="L419" i="30" s="1"/>
  <c r="K458" i="30" s="1"/>
  <c r="N50" i="17" s="1"/>
  <c r="K426" i="30"/>
  <c r="L426" i="30" s="1"/>
  <c r="K465" i="30" s="1"/>
  <c r="K400" i="30"/>
  <c r="L400" i="30" s="1"/>
  <c r="K438" i="30" s="1"/>
  <c r="L438" i="30" s="1"/>
  <c r="O28" i="17" s="1"/>
  <c r="Q54" i="26" s="1"/>
  <c r="R54" i="26" s="1"/>
  <c r="S54" i="26" s="1"/>
  <c r="K402" i="30"/>
  <c r="L402" i="30" s="1"/>
  <c r="K440" i="30" s="1"/>
  <c r="L440" i="30" s="1"/>
  <c r="O30" i="17" s="1"/>
  <c r="K414" i="30"/>
  <c r="L414" i="30" s="1"/>
  <c r="K453" i="30" s="1"/>
  <c r="N43" i="17" s="1"/>
  <c r="K399" i="30"/>
  <c r="L399" i="30" s="1"/>
  <c r="K437" i="30" s="1"/>
  <c r="L437" i="30" s="1"/>
  <c r="O27" i="17" s="1"/>
  <c r="Q53" i="26" s="1"/>
  <c r="R53" i="26" s="1"/>
  <c r="S53" i="26" s="1"/>
  <c r="K421" i="30"/>
  <c r="K403" i="30"/>
  <c r="L403" i="30" s="1"/>
  <c r="K441" i="30" s="1"/>
  <c r="L441" i="30" s="1"/>
  <c r="O31" i="17" s="1"/>
  <c r="P31" i="17" s="1"/>
  <c r="K415" i="30"/>
  <c r="L415" i="30" s="1"/>
  <c r="K454" i="30" s="1"/>
  <c r="L454" i="30" s="1"/>
  <c r="O44" i="17" s="1"/>
  <c r="Q23" i="26" s="1"/>
  <c r="R23" i="26" s="1"/>
  <c r="S23" i="26" s="1"/>
  <c r="K411" i="30"/>
  <c r="L411" i="30" s="1"/>
  <c r="K450" i="30" s="1"/>
  <c r="L450" i="30" s="1"/>
  <c r="O40" i="17" s="1"/>
  <c r="K410" i="30"/>
  <c r="L410" i="30" s="1"/>
  <c r="K449" i="30" s="1"/>
  <c r="N39" i="17" s="1"/>
  <c r="P19" i="26" s="1"/>
  <c r="K408" i="30"/>
  <c r="L408" i="30" s="1"/>
  <c r="K447" i="30" s="1"/>
  <c r="N37" i="17" s="1"/>
  <c r="P17" i="26" s="1"/>
  <c r="O36" i="17"/>
  <c r="P36" i="17" s="1"/>
  <c r="N27" i="17"/>
  <c r="P53" i="26" s="1"/>
  <c r="AF301" i="31"/>
  <c r="AF303" i="31" s="1"/>
  <c r="O301" i="31"/>
  <c r="O303" i="31" s="1"/>
  <c r="N26" i="17"/>
  <c r="P52" i="26" s="1"/>
  <c r="N34" i="17"/>
  <c r="AF349" i="31"/>
  <c r="AF351" i="31" s="1"/>
  <c r="N349" i="31"/>
  <c r="N351" i="31" s="1"/>
  <c r="N25" i="17"/>
  <c r="P51" i="26" s="1"/>
  <c r="O50" i="17"/>
  <c r="P50" i="17" s="1"/>
  <c r="K427" i="30"/>
  <c r="L427" i="30" s="1"/>
  <c r="K466" i="30" s="1"/>
  <c r="O38" i="17"/>
  <c r="P38" i="17" s="1"/>
  <c r="AF325" i="31"/>
  <c r="AF327" i="31" s="1"/>
  <c r="N325" i="31"/>
  <c r="N327" i="31" s="1"/>
  <c r="K420" i="30"/>
  <c r="K406" i="30"/>
  <c r="L406" i="30" s="1"/>
  <c r="K445" i="30" s="1"/>
  <c r="K412" i="30"/>
  <c r="L412" i="30" s="1"/>
  <c r="K451" i="30" s="1"/>
  <c r="E75" i="34"/>
  <c r="E73" i="34"/>
  <c r="K9" i="17"/>
  <c r="H95" i="34"/>
  <c r="F95" i="34"/>
  <c r="G95" i="34"/>
  <c r="H94" i="34"/>
  <c r="F94" i="34"/>
  <c r="G94" i="34"/>
  <c r="G96" i="34"/>
  <c r="F96" i="34"/>
  <c r="H96" i="34"/>
  <c r="F98" i="34"/>
  <c r="H98" i="34"/>
  <c r="G98" i="34"/>
  <c r="F102" i="34"/>
  <c r="H102" i="34"/>
  <c r="G102" i="34"/>
  <c r="H140" i="34"/>
  <c r="G123" i="34"/>
  <c r="F153" i="34" s="1"/>
  <c r="H153" i="34"/>
  <c r="D153" i="34"/>
  <c r="E74" i="34"/>
  <c r="K10" i="17"/>
  <c r="H152" i="34"/>
  <c r="G122" i="34"/>
  <c r="F152" i="34" s="1"/>
  <c r="D152" i="34"/>
  <c r="H93" i="34"/>
  <c r="G93" i="34"/>
  <c r="E103" i="34"/>
  <c r="F93" i="34"/>
  <c r="F99" i="34"/>
  <c r="H99" i="34"/>
  <c r="G99" i="34"/>
  <c r="H100" i="34"/>
  <c r="G100" i="34"/>
  <c r="F100" i="34"/>
  <c r="H97" i="34"/>
  <c r="G97" i="34"/>
  <c r="F97" i="34"/>
  <c r="H101" i="34"/>
  <c r="F101" i="34"/>
  <c r="G101" i="34"/>
  <c r="AB210" i="34"/>
  <c r="P205" i="34"/>
  <c r="X205" i="34"/>
  <c r="S210" i="34"/>
  <c r="AA210" i="34"/>
  <c r="W205" i="34"/>
  <c r="P210" i="34"/>
  <c r="X210" i="34"/>
  <c r="V205" i="34"/>
  <c r="Q210" i="34"/>
  <c r="S205" i="34"/>
  <c r="L210" i="34"/>
  <c r="V210" i="34"/>
  <c r="L205" i="34"/>
  <c r="T205" i="34"/>
  <c r="AB205" i="34"/>
  <c r="W210" i="34"/>
  <c r="Q205" i="34"/>
  <c r="AA205" i="34"/>
  <c r="T210" i="34"/>
  <c r="R205" i="34"/>
  <c r="Z205" i="34"/>
  <c r="Y210" i="34"/>
  <c r="Y205" i="34"/>
  <c r="R210" i="34"/>
  <c r="Z210" i="34"/>
  <c r="G120" i="34"/>
  <c r="F150" i="34" s="1"/>
  <c r="D150" i="34"/>
  <c r="H150" i="34"/>
  <c r="U212" i="34"/>
  <c r="U211" i="34"/>
  <c r="H151" i="34"/>
  <c r="D151" i="34"/>
  <c r="G121" i="34"/>
  <c r="F151" i="34" s="1"/>
  <c r="I78" i="31" l="1"/>
  <c r="AI348" i="31" s="1"/>
  <c r="Q211" i="34"/>
  <c r="L446" i="30"/>
  <c r="L455" i="30"/>
  <c r="O45" i="17" s="1"/>
  <c r="P45" i="17" s="1"/>
  <c r="AJ45" i="17" s="1"/>
  <c r="P25" i="17"/>
  <c r="H78" i="31"/>
  <c r="AI324" i="31" s="1"/>
  <c r="AB325" i="31" s="1"/>
  <c r="AB327" i="31" s="1"/>
  <c r="J56" i="31"/>
  <c r="K56" i="31" s="1"/>
  <c r="R211" i="34"/>
  <c r="Y211" i="34"/>
  <c r="F78" i="31"/>
  <c r="AI276" i="31" s="1"/>
  <c r="AB277" i="31" s="1"/>
  <c r="AB279" i="31" s="1"/>
  <c r="E56" i="31"/>
  <c r="H482" i="31" s="1"/>
  <c r="Q25" i="26"/>
  <c r="R25" i="26" s="1"/>
  <c r="S25" i="26" s="1"/>
  <c r="AG25" i="26" s="1"/>
  <c r="L421" i="30"/>
  <c r="K460" i="30" s="1"/>
  <c r="L422" i="30"/>
  <c r="K461" i="30" s="1"/>
  <c r="N56" i="17"/>
  <c r="P29" i="26" s="1"/>
  <c r="L464" i="30"/>
  <c r="O56" i="17" s="1"/>
  <c r="L462" i="30"/>
  <c r="O54" i="17" s="1"/>
  <c r="P54" i="17" s="1"/>
  <c r="L463" i="30"/>
  <c r="O55" i="17" s="1"/>
  <c r="L420" i="30"/>
  <c r="K459" i="30" s="1"/>
  <c r="L459" i="30" s="1"/>
  <c r="L458" i="30"/>
  <c r="E54" i="31"/>
  <c r="F480" i="31" s="1"/>
  <c r="I54" i="31"/>
  <c r="D76" i="31" s="1"/>
  <c r="E76" i="31" s="1"/>
  <c r="J54" i="31"/>
  <c r="J53" i="31"/>
  <c r="I53" i="31"/>
  <c r="E53" i="31"/>
  <c r="E55" i="31"/>
  <c r="F481" i="31" s="1"/>
  <c r="I55" i="31"/>
  <c r="D77" i="31" s="1"/>
  <c r="E77" i="31" s="1"/>
  <c r="J55" i="31"/>
  <c r="L212" i="34"/>
  <c r="S212" i="34"/>
  <c r="L439" i="30"/>
  <c r="O29" i="17" s="1"/>
  <c r="Q55" i="26" s="1"/>
  <c r="R55" i="26" s="1"/>
  <c r="S55" i="26" s="1"/>
  <c r="N30" i="17"/>
  <c r="P56" i="26" s="1"/>
  <c r="N42" i="17"/>
  <c r="P14" i="26" s="1"/>
  <c r="N28" i="17"/>
  <c r="P54" i="26" s="1"/>
  <c r="Q14" i="26"/>
  <c r="R14" i="26" s="1"/>
  <c r="S14" i="26" s="1"/>
  <c r="P28" i="17"/>
  <c r="L442" i="30"/>
  <c r="O32" i="17" s="1"/>
  <c r="Q58" i="26" s="1"/>
  <c r="R58" i="26" s="1"/>
  <c r="S58" i="26" s="1"/>
  <c r="L453" i="30"/>
  <c r="O43" i="17" s="1"/>
  <c r="P43" i="17" s="1"/>
  <c r="N44" i="17"/>
  <c r="P23" i="26" s="1"/>
  <c r="P27" i="17"/>
  <c r="L447" i="30"/>
  <c r="O37" i="17" s="1"/>
  <c r="P37" i="17" s="1"/>
  <c r="N57" i="17"/>
  <c r="L465" i="30"/>
  <c r="O57" i="17" s="1"/>
  <c r="P57" i="17" s="1"/>
  <c r="P26" i="17"/>
  <c r="P44" i="17"/>
  <c r="Q57" i="26"/>
  <c r="R57" i="26" s="1"/>
  <c r="S57" i="26" s="1"/>
  <c r="N31" i="17"/>
  <c r="P57" i="26" s="1"/>
  <c r="L449" i="30"/>
  <c r="O39" i="17" s="1"/>
  <c r="N40" i="17"/>
  <c r="P21" i="26" s="1"/>
  <c r="O34" i="17"/>
  <c r="P34" i="17" s="1"/>
  <c r="N58" i="17"/>
  <c r="P41" i="26" s="1"/>
  <c r="L466" i="30"/>
  <c r="O58" i="17" s="1"/>
  <c r="L451" i="30"/>
  <c r="N41" i="17"/>
  <c r="N51" i="17"/>
  <c r="N35" i="17"/>
  <c r="P12" i="26" s="1"/>
  <c r="L445" i="30"/>
  <c r="O35" i="17" s="1"/>
  <c r="P40" i="17"/>
  <c r="Q21" i="26"/>
  <c r="R21" i="26" s="1"/>
  <c r="S21" i="26" s="1"/>
  <c r="AA325" i="31"/>
  <c r="AA327" i="31" s="1"/>
  <c r="H325" i="31"/>
  <c r="H327" i="31" s="1"/>
  <c r="P30" i="17"/>
  <c r="Q56" i="26"/>
  <c r="R56" i="26" s="1"/>
  <c r="S56" i="26" s="1"/>
  <c r="H277" i="31"/>
  <c r="H279" i="31" s="1"/>
  <c r="AC349" i="31"/>
  <c r="AC351" i="31" s="1"/>
  <c r="AA349" i="31"/>
  <c r="AA351" i="31" s="1"/>
  <c r="AB301" i="31"/>
  <c r="AB303" i="31" s="1"/>
  <c r="H301" i="31"/>
  <c r="H303" i="31" s="1"/>
  <c r="S211" i="34"/>
  <c r="R212" i="34"/>
  <c r="I97" i="34"/>
  <c r="I93" i="34"/>
  <c r="I96" i="34"/>
  <c r="I98" i="34"/>
  <c r="Y212" i="34"/>
  <c r="R207" i="34"/>
  <c r="R206" i="34"/>
  <c r="AA206" i="34"/>
  <c r="AA207" i="34"/>
  <c r="W212" i="34"/>
  <c r="W211" i="34"/>
  <c r="T206" i="34"/>
  <c r="T207" i="34"/>
  <c r="V212" i="34"/>
  <c r="V211" i="34"/>
  <c r="S207" i="34"/>
  <c r="S206" i="34"/>
  <c r="V206" i="34"/>
  <c r="V207" i="34"/>
  <c r="P211" i="34"/>
  <c r="P212" i="34"/>
  <c r="AA211" i="34"/>
  <c r="AA212" i="34"/>
  <c r="X207" i="34"/>
  <c r="X206" i="34"/>
  <c r="AB211" i="34"/>
  <c r="AB212" i="34"/>
  <c r="J10" i="17"/>
  <c r="K13" i="17"/>
  <c r="K12" i="17"/>
  <c r="AF186" i="34"/>
  <c r="G115" i="34"/>
  <c r="F145" i="34" s="1"/>
  <c r="AF182" i="34"/>
  <c r="G111" i="34"/>
  <c r="F141" i="34" s="1"/>
  <c r="AF190" i="34"/>
  <c r="G119" i="34"/>
  <c r="F149" i="34" s="1"/>
  <c r="AF181" i="34"/>
  <c r="AF187" i="34"/>
  <c r="G116" i="34"/>
  <c r="F146" i="34" s="1"/>
  <c r="Q212" i="34"/>
  <c r="L211" i="34"/>
  <c r="I95" i="34"/>
  <c r="K8" i="17"/>
  <c r="Z211" i="34"/>
  <c r="Z212" i="34"/>
  <c r="Y207" i="34"/>
  <c r="Y206" i="34"/>
  <c r="Z207" i="34"/>
  <c r="Z206" i="34"/>
  <c r="T212" i="34"/>
  <c r="T211" i="34"/>
  <c r="Q206" i="34"/>
  <c r="Q207" i="34"/>
  <c r="AB206" i="34"/>
  <c r="AB207" i="34"/>
  <c r="L207" i="34"/>
  <c r="L206" i="34"/>
  <c r="X211" i="34"/>
  <c r="X212" i="34"/>
  <c r="W207" i="34"/>
  <c r="W206" i="34"/>
  <c r="P207" i="34"/>
  <c r="P206" i="34"/>
  <c r="K11" i="17"/>
  <c r="K7" i="17"/>
  <c r="I154" i="34"/>
  <c r="AF188" i="34"/>
  <c r="G117" i="34"/>
  <c r="F147" i="34" s="1"/>
  <c r="AF183" i="34"/>
  <c r="G112" i="34"/>
  <c r="F142" i="34" s="1"/>
  <c r="AF185" i="34"/>
  <c r="G114" i="34"/>
  <c r="F144" i="34" s="1"/>
  <c r="AF189" i="34"/>
  <c r="G118" i="34"/>
  <c r="F148" i="34" s="1"/>
  <c r="AF184" i="34"/>
  <c r="G113" i="34"/>
  <c r="F143" i="34" s="1"/>
  <c r="J9" i="17"/>
  <c r="I101" i="34"/>
  <c r="I100" i="34"/>
  <c r="I99" i="34"/>
  <c r="F103" i="34"/>
  <c r="I102" i="34"/>
  <c r="I94" i="34"/>
  <c r="I151" i="34" l="1"/>
  <c r="R217" i="34"/>
  <c r="Y217" i="34"/>
  <c r="AF25" i="26"/>
  <c r="Q24" i="26"/>
  <c r="AF24" i="26" s="1"/>
  <c r="S218" i="34"/>
  <c r="D94" i="31"/>
  <c r="E94" i="31" s="1"/>
  <c r="F94" i="31" s="1"/>
  <c r="AJ276" i="31" s="1"/>
  <c r="H278" i="31" s="1"/>
  <c r="H280" i="31" s="1"/>
  <c r="E57" i="31"/>
  <c r="F479" i="31"/>
  <c r="D482" i="31"/>
  <c r="F482" i="31"/>
  <c r="H473" i="31"/>
  <c r="N52" i="17"/>
  <c r="P36" i="26" s="1"/>
  <c r="L460" i="30"/>
  <c r="O52" i="17" s="1"/>
  <c r="P52" i="17" s="1"/>
  <c r="N53" i="17"/>
  <c r="L461" i="30"/>
  <c r="O53" i="17" s="1"/>
  <c r="P53" i="17" s="1"/>
  <c r="Q31" i="26"/>
  <c r="R31" i="26" s="1"/>
  <c r="S31" i="26" s="1"/>
  <c r="P55" i="17"/>
  <c r="P56" i="17"/>
  <c r="Q29" i="26"/>
  <c r="R29" i="26" s="1"/>
  <c r="S29" i="26" s="1"/>
  <c r="D481" i="31"/>
  <c r="H481" i="31"/>
  <c r="D480" i="31"/>
  <c r="H480" i="31"/>
  <c r="K55" i="31"/>
  <c r="D93" i="31"/>
  <c r="E93" i="31" s="1"/>
  <c r="I57" i="31"/>
  <c r="D75" i="31"/>
  <c r="E75" i="31" s="1"/>
  <c r="K54" i="31"/>
  <c r="D92" i="31"/>
  <c r="E92" i="31" s="1"/>
  <c r="F77" i="31"/>
  <c r="AI275" i="31" s="1"/>
  <c r="I77" i="31"/>
  <c r="AI347" i="31" s="1"/>
  <c r="G77" i="31"/>
  <c r="AI299" i="31" s="1"/>
  <c r="H77" i="31"/>
  <c r="AI323" i="31" s="1"/>
  <c r="D479" i="31"/>
  <c r="D483" i="31" s="1"/>
  <c r="E479" i="31" s="1"/>
  <c r="H479" i="31"/>
  <c r="K53" i="31"/>
  <c r="K57" i="31" s="1"/>
  <c r="J57" i="31"/>
  <c r="D91" i="31"/>
  <c r="E91" i="31" s="1"/>
  <c r="F76" i="31"/>
  <c r="AI274" i="31" s="1"/>
  <c r="I76" i="31"/>
  <c r="AI346" i="31" s="1"/>
  <c r="X349" i="31" s="1"/>
  <c r="X351" i="31" s="1"/>
  <c r="H76" i="31"/>
  <c r="AI322" i="31" s="1"/>
  <c r="G76" i="31"/>
  <c r="AI298" i="31" s="1"/>
  <c r="P29" i="17"/>
  <c r="I152" i="34"/>
  <c r="I156" i="34"/>
  <c r="I155" i="34"/>
  <c r="U215" i="34"/>
  <c r="U217" i="34" s="1"/>
  <c r="U216" i="34"/>
  <c r="U218" i="34" s="1"/>
  <c r="K215" i="34"/>
  <c r="K217" i="34" s="1"/>
  <c r="K216" i="34"/>
  <c r="K218" i="34" s="1"/>
  <c r="H216" i="34"/>
  <c r="H218" i="34" s="1"/>
  <c r="H215" i="34"/>
  <c r="H217" i="34" s="1"/>
  <c r="E215" i="34"/>
  <c r="E217" i="34" s="1"/>
  <c r="E216" i="34"/>
  <c r="E218" i="34" s="1"/>
  <c r="J216" i="34"/>
  <c r="J218" i="34" s="1"/>
  <c r="J215" i="34"/>
  <c r="J217" i="34" s="1"/>
  <c r="D216" i="34"/>
  <c r="D215" i="34"/>
  <c r="N216" i="34"/>
  <c r="N218" i="34" s="1"/>
  <c r="L216" i="34"/>
  <c r="L218" i="34" s="1"/>
  <c r="N215" i="34"/>
  <c r="N217" i="34" s="1"/>
  <c r="L215" i="34"/>
  <c r="L217" i="34" s="1"/>
  <c r="M215" i="34"/>
  <c r="M217" i="34" s="1"/>
  <c r="G215" i="34"/>
  <c r="G217" i="34" s="1"/>
  <c r="M216" i="34"/>
  <c r="M218" i="34" s="1"/>
  <c r="G216" i="34"/>
  <c r="G218" i="34" s="1"/>
  <c r="I215" i="34"/>
  <c r="I217" i="34" s="1"/>
  <c r="I216" i="34"/>
  <c r="I218" i="34" s="1"/>
  <c r="E152" i="34"/>
  <c r="E154" i="34"/>
  <c r="E156" i="34"/>
  <c r="E155" i="34"/>
  <c r="P32" i="17"/>
  <c r="Q17" i="26"/>
  <c r="R17" i="26" s="1"/>
  <c r="S17" i="26" s="1"/>
  <c r="P39" i="17"/>
  <c r="Q19" i="26"/>
  <c r="R19" i="26" s="1"/>
  <c r="S19" i="26" s="1"/>
  <c r="P218" i="34"/>
  <c r="Y218" i="34"/>
  <c r="Q41" i="26"/>
  <c r="P58" i="17"/>
  <c r="O51" i="17"/>
  <c r="P51" i="17" s="1"/>
  <c r="Q12" i="26"/>
  <c r="R12" i="26" s="1"/>
  <c r="S12" i="26" s="1"/>
  <c r="P35" i="17"/>
  <c r="O41" i="17"/>
  <c r="P41" i="17" s="1"/>
  <c r="S217" i="34"/>
  <c r="AA326" i="31"/>
  <c r="AA328" i="31" s="1"/>
  <c r="AA350" i="31"/>
  <c r="AA352" i="31" s="1"/>
  <c r="P217" i="34"/>
  <c r="W217" i="34"/>
  <c r="AB218" i="34"/>
  <c r="Q217" i="34"/>
  <c r="Q218" i="34"/>
  <c r="R218" i="34"/>
  <c r="W218" i="34"/>
  <c r="AB217" i="34"/>
  <c r="Z218" i="34"/>
  <c r="E150" i="34"/>
  <c r="I153" i="34"/>
  <c r="V218" i="34"/>
  <c r="S226" i="34" a="1"/>
  <c r="S226" i="34" s="1"/>
  <c r="I157" i="34"/>
  <c r="I148" i="34"/>
  <c r="I142" i="34"/>
  <c r="I143" i="34"/>
  <c r="I147" i="34"/>
  <c r="I144" i="34"/>
  <c r="I141" i="34"/>
  <c r="I149" i="34"/>
  <c r="I145" i="34"/>
  <c r="I146" i="34"/>
  <c r="J11" i="17"/>
  <c r="K226" i="34" a="1"/>
  <c r="E146" i="34"/>
  <c r="E148" i="34"/>
  <c r="E149" i="34"/>
  <c r="E145" i="34"/>
  <c r="E144" i="34"/>
  <c r="E142" i="34"/>
  <c r="E141" i="34"/>
  <c r="E143" i="34"/>
  <c r="E147" i="34"/>
  <c r="E140" i="34"/>
  <c r="E157" i="34"/>
  <c r="J8" i="17"/>
  <c r="T12" i="26"/>
  <c r="T51" i="26"/>
  <c r="T54" i="26"/>
  <c r="T21" i="26"/>
  <c r="T19" i="26"/>
  <c r="T29" i="26"/>
  <c r="T52" i="26"/>
  <c r="T17" i="26"/>
  <c r="F140" i="34"/>
  <c r="G129" i="34"/>
  <c r="J12" i="17"/>
  <c r="J13" i="17"/>
  <c r="Z217" i="34"/>
  <c r="M226" i="34" a="1"/>
  <c r="X217" i="34"/>
  <c r="T218" i="34"/>
  <c r="AA218" i="34"/>
  <c r="J7" i="17"/>
  <c r="Q226" i="34" a="1"/>
  <c r="T56" i="26"/>
  <c r="T31" i="26"/>
  <c r="T23" i="26"/>
  <c r="T41" i="26"/>
  <c r="T57" i="26"/>
  <c r="T14" i="26"/>
  <c r="T36" i="26"/>
  <c r="T55" i="26"/>
  <c r="T58" i="26"/>
  <c r="T53" i="26"/>
  <c r="F217" i="34"/>
  <c r="F218" i="34"/>
  <c r="I140" i="34"/>
  <c r="E153" i="34"/>
  <c r="I150" i="34"/>
  <c r="E151" i="34"/>
  <c r="X218" i="34"/>
  <c r="V217" i="34"/>
  <c r="T217" i="34"/>
  <c r="AA217" i="34"/>
  <c r="R24" i="26" l="1"/>
  <c r="S24" i="26" s="1"/>
  <c r="AG24" i="26" s="1"/>
  <c r="R219" i="34"/>
  <c r="Y219" i="34"/>
  <c r="S219" i="34"/>
  <c r="I94" i="31"/>
  <c r="AJ348" i="31" s="1"/>
  <c r="AC350" i="31" s="1"/>
  <c r="AC352" i="31" s="1"/>
  <c r="H94" i="31"/>
  <c r="AJ324" i="31" s="1"/>
  <c r="F473" i="31"/>
  <c r="F483" i="31" s="1"/>
  <c r="G479" i="31" s="1"/>
  <c r="D16" i="32" s="1"/>
  <c r="C16" i="32" s="1"/>
  <c r="F478" i="31"/>
  <c r="F475" i="31"/>
  <c r="F474" i="31"/>
  <c r="F476" i="31"/>
  <c r="G476" i="31" s="1"/>
  <c r="D13" i="32" s="1"/>
  <c r="C13" i="32" s="1"/>
  <c r="C72" i="32" s="1"/>
  <c r="E72" i="32" s="1"/>
  <c r="F477" i="31"/>
  <c r="G94" i="31"/>
  <c r="AJ300" i="31" s="1"/>
  <c r="H302" i="31" s="1"/>
  <c r="H304" i="31" s="1"/>
  <c r="E477" i="31"/>
  <c r="H483" i="31"/>
  <c r="Q36" i="26"/>
  <c r="R36" i="26" s="1"/>
  <c r="S36" i="26" s="1"/>
  <c r="AB278" i="31"/>
  <c r="AB280" i="31" s="1"/>
  <c r="E473" i="31"/>
  <c r="I479" i="31"/>
  <c r="E480" i="31"/>
  <c r="E481" i="31"/>
  <c r="E482" i="31"/>
  <c r="AB326" i="31"/>
  <c r="AB328" i="31" s="1"/>
  <c r="H326" i="31"/>
  <c r="H328" i="31" s="1"/>
  <c r="AB302" i="31"/>
  <c r="AB304" i="31" s="1"/>
  <c r="E474" i="31"/>
  <c r="E476" i="31"/>
  <c r="E478" i="31"/>
  <c r="E475" i="31"/>
  <c r="H91" i="31"/>
  <c r="AJ321" i="31" s="1"/>
  <c r="J326" i="31" s="1"/>
  <c r="J328" i="31" s="1"/>
  <c r="I91" i="31"/>
  <c r="AJ345" i="31" s="1"/>
  <c r="G91" i="31"/>
  <c r="AJ297" i="31" s="1"/>
  <c r="F91" i="31"/>
  <c r="AJ273" i="31" s="1"/>
  <c r="I92" i="31"/>
  <c r="AJ346" i="31" s="1"/>
  <c r="X350" i="31" s="1"/>
  <c r="X352" i="31" s="1"/>
  <c r="G92" i="31"/>
  <c r="AJ298" i="31" s="1"/>
  <c r="H92" i="31"/>
  <c r="AJ322" i="31" s="1"/>
  <c r="F92" i="31"/>
  <c r="AJ274" i="31" s="1"/>
  <c r="H75" i="31"/>
  <c r="AI321" i="31" s="1"/>
  <c r="J325" i="31" s="1"/>
  <c r="J327" i="31" s="1"/>
  <c r="F75" i="31"/>
  <c r="AI273" i="31" s="1"/>
  <c r="I75" i="31"/>
  <c r="AI345" i="31" s="1"/>
  <c r="G75" i="31"/>
  <c r="AI297" i="31" s="1"/>
  <c r="F93" i="31"/>
  <c r="AJ275" i="31" s="1"/>
  <c r="G93" i="31"/>
  <c r="AJ299" i="31" s="1"/>
  <c r="H93" i="31"/>
  <c r="AJ323" i="31" s="1"/>
  <c r="I93" i="31"/>
  <c r="AJ347" i="31" s="1"/>
  <c r="R41" i="26"/>
  <c r="S41" i="26" s="1"/>
  <c r="S349" i="32"/>
  <c r="S351" i="32" s="1"/>
  <c r="T349" i="32"/>
  <c r="T351" i="32" s="1"/>
  <c r="T301" i="32"/>
  <c r="T303" i="32" s="1"/>
  <c r="S301" i="32"/>
  <c r="S303" i="32" s="1"/>
  <c r="S325" i="32"/>
  <c r="S327" i="32" s="1"/>
  <c r="T302" i="32"/>
  <c r="T304" i="32" s="1"/>
  <c r="S302" i="32"/>
  <c r="S304" i="32" s="1"/>
  <c r="S326" i="32"/>
  <c r="S328" i="32" s="1"/>
  <c r="P219" i="34"/>
  <c r="V219" i="34"/>
  <c r="AB219" i="34"/>
  <c r="P59" i="17"/>
  <c r="W219" i="34"/>
  <c r="Z219" i="34"/>
  <c r="Q219" i="34"/>
  <c r="X219" i="34"/>
  <c r="S247" i="34"/>
  <c r="E219" i="34"/>
  <c r="S234" i="34"/>
  <c r="K219" i="34"/>
  <c r="S249" i="34"/>
  <c r="S237" i="34"/>
  <c r="S229" i="34"/>
  <c r="S246" i="34"/>
  <c r="N219" i="34"/>
  <c r="H219" i="34"/>
  <c r="S228" i="34"/>
  <c r="S240" i="34"/>
  <c r="S248" i="34"/>
  <c r="L219" i="34"/>
  <c r="J17" i="17"/>
  <c r="S232" i="34"/>
  <c r="S238" i="34"/>
  <c r="S236" i="34"/>
  <c r="I219" i="34"/>
  <c r="S241" i="34"/>
  <c r="S227" i="34"/>
  <c r="S242" i="34"/>
  <c r="S235" i="34"/>
  <c r="S233" i="34"/>
  <c r="S250" i="34"/>
  <c r="S231" i="34"/>
  <c r="S244" i="34"/>
  <c r="S243" i="34"/>
  <c r="S239" i="34"/>
  <c r="S245" i="34"/>
  <c r="S230" i="34"/>
  <c r="U57" i="26"/>
  <c r="U54" i="26"/>
  <c r="U19" i="26"/>
  <c r="U53" i="26"/>
  <c r="U23" i="26"/>
  <c r="U51" i="26"/>
  <c r="U14" i="26"/>
  <c r="U17" i="26"/>
  <c r="U52" i="26"/>
  <c r="N226" i="34" a="1"/>
  <c r="D217" i="34"/>
  <c r="Q239" i="34"/>
  <c r="Q249" i="34"/>
  <c r="Q246" i="34"/>
  <c r="Q235" i="34"/>
  <c r="Q245" i="34"/>
  <c r="Q250" i="34"/>
  <c r="Q231" i="34"/>
  <c r="Q241" i="34"/>
  <c r="Q228" i="34"/>
  <c r="Q227" i="34"/>
  <c r="Q237" i="34"/>
  <c r="Q232" i="34"/>
  <c r="Q226" i="34"/>
  <c r="Q233" i="34"/>
  <c r="Q236" i="34"/>
  <c r="Q230" i="34"/>
  <c r="Q229" i="34"/>
  <c r="Q240" i="34"/>
  <c r="Q234" i="34"/>
  <c r="Q247" i="34"/>
  <c r="Q244" i="34"/>
  <c r="Q238" i="34"/>
  <c r="Q243" i="34"/>
  <c r="Q248" i="34"/>
  <c r="Q242" i="34"/>
  <c r="M249" i="34"/>
  <c r="M240" i="34"/>
  <c r="M234" i="34"/>
  <c r="M239" i="34"/>
  <c r="M250" i="34"/>
  <c r="M237" i="34"/>
  <c r="M246" i="34"/>
  <c r="M247" i="34"/>
  <c r="M241" i="34"/>
  <c r="M242" i="34"/>
  <c r="M248" i="34"/>
  <c r="M245" i="34"/>
  <c r="M229" i="34"/>
  <c r="M238" i="34"/>
  <c r="M244" i="34"/>
  <c r="M227" i="34"/>
  <c r="M228" i="34"/>
  <c r="M233" i="34"/>
  <c r="M243" i="34"/>
  <c r="M230" i="34"/>
  <c r="M236" i="34"/>
  <c r="M231" i="34"/>
  <c r="M226" i="34"/>
  <c r="M232" i="34"/>
  <c r="M235" i="34"/>
  <c r="K226" i="34"/>
  <c r="K240" i="34"/>
  <c r="K247" i="34"/>
  <c r="K242" i="34"/>
  <c r="K244" i="34"/>
  <c r="K229" i="34"/>
  <c r="K233" i="34"/>
  <c r="K232" i="34"/>
  <c r="K227" i="34"/>
  <c r="K241" i="34"/>
  <c r="K250" i="34"/>
  <c r="K235" i="34"/>
  <c r="K249" i="34"/>
  <c r="K239" i="34"/>
  <c r="K238" i="34"/>
  <c r="K248" i="34"/>
  <c r="K230" i="34"/>
  <c r="K243" i="34"/>
  <c r="K234" i="34"/>
  <c r="K236" i="34"/>
  <c r="K237" i="34"/>
  <c r="K228" i="34"/>
  <c r="K231" i="34"/>
  <c r="K245" i="34"/>
  <c r="K246" i="34"/>
  <c r="N326" i="32"/>
  <c r="N328" i="32" s="1"/>
  <c r="AA219" i="34"/>
  <c r="M219" i="34"/>
  <c r="U219" i="34"/>
  <c r="T226" i="34" a="1"/>
  <c r="D218" i="34"/>
  <c r="AA55" i="17"/>
  <c r="AJ55" i="17" s="1"/>
  <c r="V31" i="26"/>
  <c r="G154" i="34"/>
  <c r="N350" i="32"/>
  <c r="N352" i="32" s="1"/>
  <c r="F219" i="34"/>
  <c r="J219" i="34"/>
  <c r="T219" i="34"/>
  <c r="G219" i="34"/>
  <c r="G473" i="31" l="1"/>
  <c r="D10" i="32" s="1"/>
  <c r="C10" i="32" s="1"/>
  <c r="H10" i="32" s="1"/>
  <c r="G474" i="31"/>
  <c r="D11" i="32" s="1"/>
  <c r="C11" i="32" s="1"/>
  <c r="D474" i="32" s="1"/>
  <c r="G480" i="31"/>
  <c r="D17" i="32" s="1"/>
  <c r="C17" i="32" s="1"/>
  <c r="C76" i="32" s="1"/>
  <c r="E76" i="32" s="1"/>
  <c r="F76" i="32" s="1"/>
  <c r="AI274" i="32" s="1"/>
  <c r="G481" i="31"/>
  <c r="D18" i="32" s="1"/>
  <c r="C18" i="32" s="1"/>
  <c r="C93" i="32" s="1"/>
  <c r="E93" i="32" s="1"/>
  <c r="G482" i="31"/>
  <c r="D19" i="32" s="1"/>
  <c r="C19" i="32" s="1"/>
  <c r="H12" i="32" s="1"/>
  <c r="G477" i="31"/>
  <c r="D14" i="32" s="1"/>
  <c r="C14" i="32" s="1"/>
  <c r="C89" i="32" s="1"/>
  <c r="E89" i="32" s="1"/>
  <c r="G89" i="32" s="1"/>
  <c r="AJ294" i="32" s="1"/>
  <c r="G478" i="31"/>
  <c r="D15" i="32" s="1"/>
  <c r="C15" i="32" s="1"/>
  <c r="C90" i="32" s="1"/>
  <c r="E90" i="32" s="1"/>
  <c r="G475" i="31"/>
  <c r="D12" i="32" s="1"/>
  <c r="C12" i="32" s="1"/>
  <c r="D475" i="32" s="1"/>
  <c r="D476" i="32"/>
  <c r="C88" i="32"/>
  <c r="E88" i="32" s="1"/>
  <c r="I88" i="32" s="1"/>
  <c r="AJ341" i="32" s="1"/>
  <c r="H476" i="32"/>
  <c r="I474" i="31"/>
  <c r="I478" i="31"/>
  <c r="I475" i="31"/>
  <c r="I477" i="31"/>
  <c r="I476" i="31"/>
  <c r="I482" i="31"/>
  <c r="I481" i="31"/>
  <c r="I480" i="31"/>
  <c r="I473" i="31"/>
  <c r="H72" i="32"/>
  <c r="AI317" i="32" s="1"/>
  <c r="T325" i="32" s="1"/>
  <c r="T327" i="32" s="1"/>
  <c r="I72" i="32"/>
  <c r="AI341" i="32" s="1"/>
  <c r="F72" i="32"/>
  <c r="AI269" i="32" s="1"/>
  <c r="T277" i="32" s="1"/>
  <c r="T279" i="32" s="1"/>
  <c r="G72" i="32"/>
  <c r="AI293" i="32" s="1"/>
  <c r="U349" i="32"/>
  <c r="U351" i="32" s="1"/>
  <c r="U350" i="32"/>
  <c r="U352" i="32" s="1"/>
  <c r="W277" i="32"/>
  <c r="W279" i="32" s="1"/>
  <c r="W278" i="32"/>
  <c r="W280" i="32" s="1"/>
  <c r="W301" i="32"/>
  <c r="W303" i="32" s="1"/>
  <c r="W302" i="32"/>
  <c r="W304" i="32" s="1"/>
  <c r="V301" i="31"/>
  <c r="V303" i="31" s="1"/>
  <c r="AH301" i="31"/>
  <c r="AH303" i="31" s="1"/>
  <c r="V277" i="31"/>
  <c r="V279" i="31" s="1"/>
  <c r="K277" i="31"/>
  <c r="K279" i="31" s="1"/>
  <c r="V278" i="31"/>
  <c r="V280" i="31" s="1"/>
  <c r="K278" i="31"/>
  <c r="K280" i="31" s="1"/>
  <c r="U350" i="31"/>
  <c r="U352" i="31" s="1"/>
  <c r="AG350" i="31"/>
  <c r="AG352" i="31" s="1"/>
  <c r="V350" i="31"/>
  <c r="V352" i="31" s="1"/>
  <c r="C75" i="32"/>
  <c r="C91" i="32"/>
  <c r="U349" i="31"/>
  <c r="U351" i="31" s="1"/>
  <c r="AG349" i="31"/>
  <c r="AG351" i="31" s="1"/>
  <c r="V349" i="31"/>
  <c r="V351" i="31" s="1"/>
  <c r="AH325" i="31"/>
  <c r="AH327" i="31" s="1"/>
  <c r="AG325" i="31"/>
  <c r="AG327" i="31" s="1"/>
  <c r="V325" i="31"/>
  <c r="V327" i="31" s="1"/>
  <c r="V302" i="31"/>
  <c r="V304" i="31" s="1"/>
  <c r="AH302" i="31"/>
  <c r="AH304" i="31" s="1"/>
  <c r="AH326" i="31"/>
  <c r="AH328" i="31" s="1"/>
  <c r="V326" i="31"/>
  <c r="V328" i="31" s="1"/>
  <c r="AG326" i="31"/>
  <c r="AG328" i="31" s="1"/>
  <c r="P350" i="32"/>
  <c r="P352" i="32" s="1"/>
  <c r="Q350" i="32"/>
  <c r="Q352" i="32" s="1"/>
  <c r="P349" i="32"/>
  <c r="P351" i="32" s="1"/>
  <c r="Q349" i="32"/>
  <c r="Q351" i="32" s="1"/>
  <c r="E24" i="35"/>
  <c r="G155" i="34"/>
  <c r="E25" i="35" s="1"/>
  <c r="G156" i="34"/>
  <c r="E26" i="35" s="1"/>
  <c r="L349" i="32"/>
  <c r="L351" i="32" s="1"/>
  <c r="L350" i="32"/>
  <c r="L352" i="32" s="1"/>
  <c r="S350" i="32"/>
  <c r="S352" i="32" s="1"/>
  <c r="T350" i="32"/>
  <c r="T352" i="32" s="1"/>
  <c r="P326" i="32"/>
  <c r="P328" i="32" s="1"/>
  <c r="L326" i="32"/>
  <c r="L328" i="32" s="1"/>
  <c r="P325" i="32"/>
  <c r="P327" i="32" s="1"/>
  <c r="L325" i="32"/>
  <c r="L327" i="32" s="1"/>
  <c r="D219" i="34"/>
  <c r="AA56" i="17"/>
  <c r="AJ56" i="17" s="1"/>
  <c r="V36" i="26"/>
  <c r="AA52" i="17"/>
  <c r="AJ52" i="17" s="1"/>
  <c r="AD326" i="32"/>
  <c r="AD328" i="32" s="1"/>
  <c r="AE278" i="32"/>
  <c r="AE280" i="32" s="1"/>
  <c r="D29" i="35"/>
  <c r="H25" i="10" s="1"/>
  <c r="G157" i="34"/>
  <c r="G150" i="34"/>
  <c r="E20" i="35" s="1"/>
  <c r="I16" i="10" s="1"/>
  <c r="G152" i="34"/>
  <c r="E22" i="35" s="1"/>
  <c r="I18" i="10" s="1"/>
  <c r="G153" i="34"/>
  <c r="E23" i="35" s="1"/>
  <c r="I19" i="10" s="1"/>
  <c r="G151" i="34"/>
  <c r="E21" i="35" s="1"/>
  <c r="I17" i="10" s="1"/>
  <c r="G146" i="34"/>
  <c r="E16" i="35" s="1"/>
  <c r="I12" i="10" s="1"/>
  <c r="G149" i="34"/>
  <c r="E19" i="35" s="1"/>
  <c r="I15" i="10" s="1"/>
  <c r="G141" i="34"/>
  <c r="E11" i="35" s="1"/>
  <c r="I7" i="10" s="1"/>
  <c r="G145" i="34"/>
  <c r="E15" i="35" s="1"/>
  <c r="I11" i="10" s="1"/>
  <c r="G143" i="34"/>
  <c r="E13" i="35" s="1"/>
  <c r="I9" i="10" s="1"/>
  <c r="G148" i="34"/>
  <c r="E18" i="35" s="1"/>
  <c r="I14" i="10" s="1"/>
  <c r="G144" i="34"/>
  <c r="E14" i="35" s="1"/>
  <c r="I10" i="10" s="1"/>
  <c r="G142" i="34"/>
  <c r="E12" i="35" s="1"/>
  <c r="I8" i="10" s="1"/>
  <c r="G147" i="34"/>
  <c r="E17" i="35" s="1"/>
  <c r="I13" i="10" s="1"/>
  <c r="T226" i="34"/>
  <c r="U226" i="34" s="1"/>
  <c r="T227" i="34"/>
  <c r="U227" i="34" s="1"/>
  <c r="T229" i="34"/>
  <c r="U229" i="34" s="1"/>
  <c r="T232" i="34"/>
  <c r="U232" i="34" s="1"/>
  <c r="T233" i="34"/>
  <c r="U233" i="34" s="1"/>
  <c r="T235" i="34"/>
  <c r="U235" i="34" s="1"/>
  <c r="T237" i="34"/>
  <c r="U237" i="34" s="1"/>
  <c r="T239" i="34"/>
  <c r="U239" i="34" s="1"/>
  <c r="T241" i="34"/>
  <c r="U241" i="34" s="1"/>
  <c r="T243" i="34"/>
  <c r="U243" i="34" s="1"/>
  <c r="T245" i="34"/>
  <c r="U245" i="34" s="1"/>
  <c r="T247" i="34"/>
  <c r="U247" i="34" s="1"/>
  <c r="T249" i="34"/>
  <c r="U249" i="34" s="1"/>
  <c r="T231" i="34"/>
  <c r="U231" i="34" s="1"/>
  <c r="T234" i="34"/>
  <c r="U234" i="34" s="1"/>
  <c r="T238" i="34"/>
  <c r="U238" i="34" s="1"/>
  <c r="T242" i="34"/>
  <c r="U242" i="34" s="1"/>
  <c r="T246" i="34"/>
  <c r="U246" i="34" s="1"/>
  <c r="T228" i="34"/>
  <c r="U228" i="34" s="1"/>
  <c r="T230" i="34"/>
  <c r="U230" i="34" s="1"/>
  <c r="T236" i="34"/>
  <c r="U236" i="34" s="1"/>
  <c r="T240" i="34"/>
  <c r="U240" i="34" s="1"/>
  <c r="T244" i="34"/>
  <c r="U244" i="34" s="1"/>
  <c r="T248" i="34"/>
  <c r="U248" i="34" s="1"/>
  <c r="T250" i="34"/>
  <c r="U250" i="34" s="1"/>
  <c r="V55" i="26"/>
  <c r="AA29" i="17"/>
  <c r="AJ29" i="17" s="1"/>
  <c r="AE277" i="32"/>
  <c r="AE279" i="32" s="1"/>
  <c r="AD325" i="32"/>
  <c r="AD327" i="32" s="1"/>
  <c r="N227" i="34"/>
  <c r="O227" i="34" s="1"/>
  <c r="M37" i="10" s="1"/>
  <c r="N229" i="34"/>
  <c r="O229" i="34" s="1"/>
  <c r="M39" i="10" s="1"/>
  <c r="N232" i="34"/>
  <c r="O232" i="34" s="1"/>
  <c r="M42" i="10" s="1"/>
  <c r="N233" i="34"/>
  <c r="O233" i="34" s="1"/>
  <c r="M45" i="10" s="1"/>
  <c r="O26" i="26" s="1"/>
  <c r="N235" i="34"/>
  <c r="O235" i="34" s="1"/>
  <c r="M47" i="10" s="1"/>
  <c r="N237" i="34"/>
  <c r="O237" i="34" s="1"/>
  <c r="M49" i="10" s="1"/>
  <c r="N239" i="34"/>
  <c r="O239" i="34" s="1"/>
  <c r="M52" i="10" s="1"/>
  <c r="N241" i="34"/>
  <c r="O241" i="34" s="1"/>
  <c r="M54" i="10" s="1"/>
  <c r="N243" i="34"/>
  <c r="O243" i="34" s="1"/>
  <c r="M56" i="10" s="1"/>
  <c r="N245" i="34"/>
  <c r="O245" i="34" s="1"/>
  <c r="M58" i="10" s="1"/>
  <c r="N247" i="34"/>
  <c r="O247" i="34" s="1"/>
  <c r="M60" i="10" s="1"/>
  <c r="N249" i="34"/>
  <c r="O249" i="34" s="1"/>
  <c r="M62" i="10" s="1"/>
  <c r="N226" i="34"/>
  <c r="O226" i="34" s="1"/>
  <c r="M36" i="10" s="1"/>
  <c r="N228" i="34"/>
  <c r="O228" i="34" s="1"/>
  <c r="M38" i="10" s="1"/>
  <c r="N230" i="34"/>
  <c r="O230" i="34" s="1"/>
  <c r="M40" i="10" s="1"/>
  <c r="N236" i="34"/>
  <c r="O236" i="34" s="1"/>
  <c r="M48" i="10" s="1"/>
  <c r="N240" i="34"/>
  <c r="O240" i="34" s="1"/>
  <c r="M53" i="10" s="1"/>
  <c r="N244" i="34"/>
  <c r="O244" i="34" s="1"/>
  <c r="M57" i="10" s="1"/>
  <c r="N248" i="34"/>
  <c r="O248" i="34" s="1"/>
  <c r="M61" i="10" s="1"/>
  <c r="N231" i="34"/>
  <c r="O231" i="34" s="1"/>
  <c r="M41" i="10" s="1"/>
  <c r="N234" i="34"/>
  <c r="O234" i="34" s="1"/>
  <c r="M46" i="10" s="1"/>
  <c r="O27" i="26" s="1"/>
  <c r="N238" i="34"/>
  <c r="O238" i="34" s="1"/>
  <c r="M50" i="10" s="1"/>
  <c r="N242" i="34"/>
  <c r="O242" i="34" s="1"/>
  <c r="M55" i="10" s="1"/>
  <c r="O39" i="26" s="1"/>
  <c r="N246" i="34"/>
  <c r="O246" i="34" s="1"/>
  <c r="M59" i="10" s="1"/>
  <c r="N250" i="34"/>
  <c r="O250" i="34" s="1"/>
  <c r="M63" i="10" s="1"/>
  <c r="N349" i="32"/>
  <c r="N351" i="32" s="1"/>
  <c r="V41" i="26"/>
  <c r="AA58" i="17"/>
  <c r="AJ58" i="17" s="1"/>
  <c r="AD350" i="32"/>
  <c r="AD352" i="32" s="1"/>
  <c r="W31" i="26"/>
  <c r="AG31" i="26" s="1"/>
  <c r="AF31" i="26"/>
  <c r="V12" i="26"/>
  <c r="AA35" i="17"/>
  <c r="AJ35" i="17" s="1"/>
  <c r="V58" i="26"/>
  <c r="AA32" i="17"/>
  <c r="AJ32" i="17" s="1"/>
  <c r="AD349" i="32"/>
  <c r="AD351" i="32" s="1"/>
  <c r="V52" i="26"/>
  <c r="AA26" i="17"/>
  <c r="AJ26" i="17" s="1"/>
  <c r="V17" i="26"/>
  <c r="AA37" i="17"/>
  <c r="AJ37" i="17" s="1"/>
  <c r="V14" i="26"/>
  <c r="AA42" i="17"/>
  <c r="AJ42" i="17" s="1"/>
  <c r="V23" i="26"/>
  <c r="AA44" i="17"/>
  <c r="AJ44" i="17" s="1"/>
  <c r="AA43" i="17"/>
  <c r="AJ43" i="17" s="1"/>
  <c r="V19" i="26"/>
  <c r="AA39" i="17"/>
  <c r="AJ39" i="17" s="1"/>
  <c r="V54" i="26"/>
  <c r="AA28" i="17"/>
  <c r="AJ28" i="17" s="1"/>
  <c r="G140" i="34"/>
  <c r="N325" i="32"/>
  <c r="N327" i="32" s="1"/>
  <c r="H478" i="32" l="1"/>
  <c r="I89" i="32"/>
  <c r="AJ342" i="32" s="1"/>
  <c r="AE350" i="32" s="1"/>
  <c r="AE352" i="32" s="1"/>
  <c r="C74" i="32"/>
  <c r="E74" i="32" s="1"/>
  <c r="H74" i="32" s="1"/>
  <c r="AI319" i="32" s="1"/>
  <c r="AH325" i="32" s="1"/>
  <c r="AH327" i="32" s="1"/>
  <c r="D20" i="32"/>
  <c r="C69" i="32"/>
  <c r="E69" i="32" s="1"/>
  <c r="I69" i="32" s="1"/>
  <c r="AI338" i="32" s="1"/>
  <c r="H474" i="32"/>
  <c r="D473" i="32"/>
  <c r="C94" i="32"/>
  <c r="E94" i="32" s="1"/>
  <c r="F94" i="32" s="1"/>
  <c r="H475" i="32"/>
  <c r="C85" i="32"/>
  <c r="E85" i="32" s="1"/>
  <c r="H85" i="32" s="1"/>
  <c r="AJ314" i="32" s="1"/>
  <c r="Q326" i="32" s="1"/>
  <c r="Q328" i="32" s="1"/>
  <c r="C20" i="32"/>
  <c r="H48" i="32" s="1"/>
  <c r="H50" i="32" s="1"/>
  <c r="L50" i="32" s="1"/>
  <c r="C87" i="32"/>
  <c r="E87" i="32" s="1"/>
  <c r="H87" i="32" s="1"/>
  <c r="AJ316" i="32" s="1"/>
  <c r="O326" i="32" s="1"/>
  <c r="O328" i="32" s="1"/>
  <c r="C71" i="32"/>
  <c r="E71" i="32" s="1"/>
  <c r="H71" i="32" s="1"/>
  <c r="AI316" i="32" s="1"/>
  <c r="O325" i="32" s="1"/>
  <c r="O327" i="32" s="1"/>
  <c r="C78" i="32"/>
  <c r="C70" i="32"/>
  <c r="E70" i="32" s="1"/>
  <c r="F70" i="32" s="1"/>
  <c r="AI267" i="32" s="1"/>
  <c r="M277" i="32" s="1"/>
  <c r="M279" i="32" s="1"/>
  <c r="F88" i="32"/>
  <c r="AJ269" i="32" s="1"/>
  <c r="T278" i="32" s="1"/>
  <c r="T280" i="32" s="1"/>
  <c r="C86" i="32"/>
  <c r="E86" i="32" s="1"/>
  <c r="G86" i="32" s="1"/>
  <c r="AJ291" i="32" s="1"/>
  <c r="M302" i="32" s="1"/>
  <c r="M304" i="32" s="1"/>
  <c r="C92" i="32"/>
  <c r="E92" i="32" s="1"/>
  <c r="F92" i="32" s="1"/>
  <c r="AJ274" i="32" s="1"/>
  <c r="D477" i="32"/>
  <c r="AE302" i="32"/>
  <c r="AE304" i="32" s="1"/>
  <c r="I302" i="32"/>
  <c r="I304" i="32" s="1"/>
  <c r="C73" i="32"/>
  <c r="E73" i="32" s="1"/>
  <c r="F73" i="32" s="1"/>
  <c r="AI270" i="32" s="1"/>
  <c r="H477" i="32"/>
  <c r="F89" i="32"/>
  <c r="AJ270" i="32" s="1"/>
  <c r="U278" i="32" s="1"/>
  <c r="U280" i="32" s="1"/>
  <c r="C77" i="32"/>
  <c r="E77" i="32" s="1"/>
  <c r="H77" i="32" s="1"/>
  <c r="AI323" i="32" s="1"/>
  <c r="D478" i="32"/>
  <c r="H89" i="32"/>
  <c r="AJ318" i="32" s="1"/>
  <c r="AE326" i="32" s="1"/>
  <c r="AE328" i="32" s="1"/>
  <c r="U302" i="32"/>
  <c r="U304" i="32" s="1"/>
  <c r="G76" i="32"/>
  <c r="AI298" i="32" s="1"/>
  <c r="H76" i="32"/>
  <c r="AI322" i="32" s="1"/>
  <c r="H88" i="32"/>
  <c r="AJ317" i="32" s="1"/>
  <c r="T326" i="32" s="1"/>
  <c r="T328" i="32" s="1"/>
  <c r="G88" i="32"/>
  <c r="AJ293" i="32" s="1"/>
  <c r="I76" i="32"/>
  <c r="AI346" i="32" s="1"/>
  <c r="X349" i="32" s="1"/>
  <c r="X351" i="32" s="1"/>
  <c r="F90" i="32"/>
  <c r="AJ271" i="32" s="1"/>
  <c r="O278" i="32" s="1"/>
  <c r="O280" i="32" s="1"/>
  <c r="I90" i="32"/>
  <c r="AJ343" i="32" s="1"/>
  <c r="AH350" i="32" s="1"/>
  <c r="AH352" i="32" s="1"/>
  <c r="H90" i="32"/>
  <c r="AJ319" i="32" s="1"/>
  <c r="AH326" i="32" s="1"/>
  <c r="AH328" i="32" s="1"/>
  <c r="G90" i="32"/>
  <c r="AJ295" i="32" s="1"/>
  <c r="I74" i="32"/>
  <c r="AI343" i="32" s="1"/>
  <c r="AH349" i="32" s="1"/>
  <c r="AH351" i="32" s="1"/>
  <c r="E397" i="31" a="1"/>
  <c r="E400" i="31" s="1"/>
  <c r="H361" i="31" a="1"/>
  <c r="H368" i="31" s="1"/>
  <c r="H397" i="31" a="1"/>
  <c r="H397" i="31" s="1"/>
  <c r="G397" i="31" a="1"/>
  <c r="G397" i="31" s="1"/>
  <c r="G361" i="31" a="1"/>
  <c r="G361" i="31" s="1"/>
  <c r="E361" i="31" a="1"/>
  <c r="E380" i="31" s="1"/>
  <c r="G93" i="32"/>
  <c r="AJ299" i="32" s="1"/>
  <c r="H93" i="32"/>
  <c r="AJ323" i="32" s="1"/>
  <c r="F93" i="32"/>
  <c r="AJ275" i="32" s="1"/>
  <c r="I93" i="32"/>
  <c r="AJ347" i="32" s="1"/>
  <c r="F397" i="31" a="1"/>
  <c r="F361" i="31" a="1"/>
  <c r="H49" i="32"/>
  <c r="I22" i="10"/>
  <c r="D26" i="35"/>
  <c r="I20" i="10"/>
  <c r="D24" i="35"/>
  <c r="D25" i="35"/>
  <c r="I21" i="10"/>
  <c r="E27" i="35"/>
  <c r="I23" i="10" s="1"/>
  <c r="U41" i="26"/>
  <c r="U55" i="26"/>
  <c r="U12" i="26"/>
  <c r="U36" i="26"/>
  <c r="AA31" i="17"/>
  <c r="AJ31" i="17" s="1"/>
  <c r="V57" i="26"/>
  <c r="AF57" i="26" s="1"/>
  <c r="AA27" i="17"/>
  <c r="AJ27" i="17" s="1"/>
  <c r="V53" i="26"/>
  <c r="AF53" i="26" s="1"/>
  <c r="AA25" i="17"/>
  <c r="AJ25" i="17" s="1"/>
  <c r="V56" i="26"/>
  <c r="AF56" i="26" s="1"/>
  <c r="W58" i="26"/>
  <c r="AG58" i="26" s="1"/>
  <c r="AF58" i="26"/>
  <c r="W12" i="26"/>
  <c r="AG12" i="26" s="1"/>
  <c r="AF12" i="26"/>
  <c r="W41" i="26"/>
  <c r="AG41" i="26" s="1"/>
  <c r="AF41" i="26"/>
  <c r="O48" i="26"/>
  <c r="O46" i="26"/>
  <c r="O37" i="26"/>
  <c r="O22" i="26"/>
  <c r="O11" i="26"/>
  <c r="O45" i="26"/>
  <c r="O40" i="26"/>
  <c r="O35" i="26"/>
  <c r="O28" i="26"/>
  <c r="O20" i="26"/>
  <c r="O13" i="26"/>
  <c r="W55" i="26"/>
  <c r="AG55" i="26" s="1"/>
  <c r="AF55" i="26"/>
  <c r="D17" i="35"/>
  <c r="O14" i="56" s="1"/>
  <c r="P14" i="56" s="1"/>
  <c r="D14" i="35"/>
  <c r="O11" i="56" s="1"/>
  <c r="P11" i="56" s="1"/>
  <c r="D13" i="35"/>
  <c r="O10" i="56" s="1"/>
  <c r="P10" i="56" s="1"/>
  <c r="D11" i="35"/>
  <c r="O8" i="56" s="1"/>
  <c r="P8" i="56" s="1"/>
  <c r="D16" i="35"/>
  <c r="O13" i="56" s="1"/>
  <c r="P13" i="56" s="1"/>
  <c r="D23" i="35"/>
  <c r="H19" i="10" s="1"/>
  <c r="D20" i="35"/>
  <c r="H68" i="35"/>
  <c r="W36" i="26"/>
  <c r="AG36" i="26" s="1"/>
  <c r="AF36" i="26"/>
  <c r="V248" i="34"/>
  <c r="W248" i="34" s="1"/>
  <c r="V240" i="34"/>
  <c r="W240" i="34" s="1"/>
  <c r="V230" i="34"/>
  <c r="W230" i="34" s="1"/>
  <c r="V246" i="34"/>
  <c r="W246" i="34" s="1"/>
  <c r="V238" i="34"/>
  <c r="W238" i="34" s="1"/>
  <c r="V231" i="34"/>
  <c r="W231" i="34" s="1"/>
  <c r="V247" i="34"/>
  <c r="W247" i="34" s="1"/>
  <c r="V243" i="34"/>
  <c r="W243" i="34" s="1"/>
  <c r="V239" i="34"/>
  <c r="W239" i="34" s="1"/>
  <c r="V235" i="34"/>
  <c r="W235" i="34" s="1"/>
  <c r="V232" i="34"/>
  <c r="W232" i="34" s="1"/>
  <c r="V227" i="34"/>
  <c r="W227" i="34" s="1"/>
  <c r="E10" i="35"/>
  <c r="I6" i="10" s="1"/>
  <c r="W54" i="26"/>
  <c r="AG54" i="26" s="1"/>
  <c r="AF54" i="26"/>
  <c r="W19" i="26"/>
  <c r="AG19" i="26" s="1"/>
  <c r="AF19" i="26"/>
  <c r="W23" i="26"/>
  <c r="AG23" i="26" s="1"/>
  <c r="AF23" i="26"/>
  <c r="W14" i="26"/>
  <c r="AG14" i="26" s="1"/>
  <c r="AF14" i="26"/>
  <c r="W17" i="26"/>
  <c r="AG17" i="26" s="1"/>
  <c r="AF17" i="26"/>
  <c r="W52" i="26"/>
  <c r="AG52" i="26" s="1"/>
  <c r="AF52" i="26"/>
  <c r="O44" i="26"/>
  <c r="O33" i="26"/>
  <c r="O18" i="26"/>
  <c r="O42" i="26"/>
  <c r="O30" i="26"/>
  <c r="O15" i="26"/>
  <c r="O47" i="26"/>
  <c r="O43" i="26"/>
  <c r="O38" i="26"/>
  <c r="O32" i="26"/>
  <c r="O16" i="26"/>
  <c r="D12" i="35"/>
  <c r="O9" i="56" s="1"/>
  <c r="P9" i="56" s="1"/>
  <c r="D18" i="35"/>
  <c r="O15" i="56" s="1"/>
  <c r="P15" i="56" s="1"/>
  <c r="D15" i="35"/>
  <c r="O12" i="56" s="1"/>
  <c r="P12" i="56" s="1"/>
  <c r="D19" i="35"/>
  <c r="O16" i="56" s="1"/>
  <c r="P16" i="56" s="1"/>
  <c r="D21" i="35"/>
  <c r="H17" i="10" s="1"/>
  <c r="D22" i="35"/>
  <c r="H18" i="10" s="1"/>
  <c r="V250" i="34"/>
  <c r="W250" i="34" s="1"/>
  <c r="V244" i="34"/>
  <c r="W244" i="34" s="1"/>
  <c r="V236" i="34"/>
  <c r="W236" i="34" s="1"/>
  <c r="V228" i="34"/>
  <c r="W228" i="34" s="1"/>
  <c r="V242" i="34"/>
  <c r="W242" i="34" s="1"/>
  <c r="V234" i="34"/>
  <c r="W234" i="34" s="1"/>
  <c r="V249" i="34"/>
  <c r="W249" i="34" s="1"/>
  <c r="V245" i="34"/>
  <c r="W245" i="34" s="1"/>
  <c r="V241" i="34"/>
  <c r="W241" i="34" s="1"/>
  <c r="V237" i="34"/>
  <c r="W237" i="34" s="1"/>
  <c r="V233" i="34"/>
  <c r="W233" i="34" s="1"/>
  <c r="V229" i="34"/>
  <c r="W229" i="34" s="1"/>
  <c r="V226" i="34"/>
  <c r="W226" i="34" s="1"/>
  <c r="H16" i="10" l="1"/>
  <c r="I12" i="35"/>
  <c r="F74" i="32"/>
  <c r="AI271" i="32" s="1"/>
  <c r="O277" i="32" s="1"/>
  <c r="O279" i="32" s="1"/>
  <c r="G74" i="32"/>
  <c r="AI295" i="32" s="1"/>
  <c r="AF326" i="32"/>
  <c r="AF328" i="32" s="1"/>
  <c r="H69" i="32"/>
  <c r="AI314" i="32" s="1"/>
  <c r="Q325" i="32" s="1"/>
  <c r="Q327" i="32" s="1"/>
  <c r="G69" i="32"/>
  <c r="AI290" i="32" s="1"/>
  <c r="Q301" i="32" s="1"/>
  <c r="Q303" i="32" s="1"/>
  <c r="F69" i="32"/>
  <c r="AI266" i="32" s="1"/>
  <c r="Q277" i="32" s="1"/>
  <c r="Q279" i="32" s="1"/>
  <c r="E397" i="31"/>
  <c r="I85" i="32"/>
  <c r="AJ338" i="32" s="1"/>
  <c r="H375" i="31"/>
  <c r="F85" i="32"/>
  <c r="AJ266" i="32" s="1"/>
  <c r="Q278" i="32" s="1"/>
  <c r="Q280" i="32" s="1"/>
  <c r="H376" i="31"/>
  <c r="G85" i="32"/>
  <c r="AJ290" i="32" s="1"/>
  <c r="Q302" i="32" s="1"/>
  <c r="Q304" i="32" s="1"/>
  <c r="G70" i="32"/>
  <c r="AI291" i="32" s="1"/>
  <c r="M301" i="32" s="1"/>
  <c r="M303" i="32" s="1"/>
  <c r="H373" i="31"/>
  <c r="H94" i="32"/>
  <c r="AJ324" i="32" s="1"/>
  <c r="AB326" i="32" s="1"/>
  <c r="AB328" i="32" s="1"/>
  <c r="H73" i="32"/>
  <c r="AI318" i="32" s="1"/>
  <c r="AE325" i="32" s="1"/>
  <c r="AE327" i="32" s="1"/>
  <c r="I70" i="32"/>
  <c r="AI339" i="32" s="1"/>
  <c r="G405" i="31"/>
  <c r="I87" i="32"/>
  <c r="AJ340" i="32" s="1"/>
  <c r="O350" i="32" s="1"/>
  <c r="O352" i="32" s="1"/>
  <c r="I71" i="32"/>
  <c r="AI340" i="32" s="1"/>
  <c r="G71" i="32"/>
  <c r="AI292" i="32" s="1"/>
  <c r="H13" i="32"/>
  <c r="E376" i="31"/>
  <c r="H362" i="31"/>
  <c r="I94" i="32"/>
  <c r="AJ348" i="32" s="1"/>
  <c r="I278" i="32"/>
  <c r="I280" i="32" s="1"/>
  <c r="G406" i="31"/>
  <c r="H11" i="32"/>
  <c r="G87" i="32"/>
  <c r="AJ292" i="32" s="1"/>
  <c r="J302" i="32" s="1"/>
  <c r="J304" i="32" s="1"/>
  <c r="G94" i="32"/>
  <c r="AJ300" i="32" s="1"/>
  <c r="I86" i="32"/>
  <c r="AJ339" i="32" s="1"/>
  <c r="F86" i="32"/>
  <c r="AJ267" i="32" s="1"/>
  <c r="M278" i="32" s="1"/>
  <c r="M280" i="32" s="1"/>
  <c r="H86" i="32"/>
  <c r="AJ315" i="32" s="1"/>
  <c r="G399" i="31"/>
  <c r="G413" i="31"/>
  <c r="G402" i="31"/>
  <c r="I73" i="32"/>
  <c r="AI342" i="32" s="1"/>
  <c r="AE349" i="32" s="1"/>
  <c r="AE351" i="32" s="1"/>
  <c r="H70" i="32"/>
  <c r="AI315" i="32" s="1"/>
  <c r="M325" i="32" s="1"/>
  <c r="M327" i="32" s="1"/>
  <c r="G92" i="32"/>
  <c r="AJ298" i="32" s="1"/>
  <c r="G419" i="31"/>
  <c r="G422" i="31"/>
  <c r="G408" i="31"/>
  <c r="G415" i="31"/>
  <c r="G426" i="31"/>
  <c r="G416" i="31"/>
  <c r="G77" i="32"/>
  <c r="AI299" i="32" s="1"/>
  <c r="I92" i="32"/>
  <c r="AJ346" i="32" s="1"/>
  <c r="X350" i="32" s="1"/>
  <c r="X352" i="32" s="1"/>
  <c r="H92" i="32"/>
  <c r="AJ322" i="32" s="1"/>
  <c r="H426" i="31"/>
  <c r="G403" i="31"/>
  <c r="G427" i="31"/>
  <c r="G417" i="31"/>
  <c r="G418" i="31"/>
  <c r="G424" i="31"/>
  <c r="G404" i="31"/>
  <c r="I77" i="32"/>
  <c r="AI347" i="32" s="1"/>
  <c r="AF325" i="32"/>
  <c r="AF327" i="32" s="1"/>
  <c r="G73" i="32"/>
  <c r="AI294" i="32" s="1"/>
  <c r="I301" i="32" s="1"/>
  <c r="I303" i="32" s="1"/>
  <c r="F77" i="32"/>
  <c r="AI275" i="32" s="1"/>
  <c r="G411" i="31"/>
  <c r="G401" i="31"/>
  <c r="G421" i="31"/>
  <c r="G410" i="31"/>
  <c r="G420" i="31"/>
  <c r="G400" i="31"/>
  <c r="D27" i="35"/>
  <c r="H23" i="10" s="1"/>
  <c r="E366" i="31"/>
  <c r="H369" i="31"/>
  <c r="H371" i="31"/>
  <c r="H370" i="31"/>
  <c r="H380" i="31"/>
  <c r="H389" i="31"/>
  <c r="H391" i="31"/>
  <c r="H361" i="31"/>
  <c r="E365" i="31"/>
  <c r="H366" i="31"/>
  <c r="E371" i="31"/>
  <c r="H385" i="31"/>
  <c r="H387" i="31"/>
  <c r="H374" i="31"/>
  <c r="H364" i="31"/>
  <c r="G407" i="31"/>
  <c r="G423" i="31"/>
  <c r="G409" i="31"/>
  <c r="G425" i="31"/>
  <c r="G414" i="31"/>
  <c r="G398" i="31"/>
  <c r="G412" i="31"/>
  <c r="E373" i="31"/>
  <c r="E368" i="31"/>
  <c r="J368" i="31" s="1"/>
  <c r="J442" i="31" s="1"/>
  <c r="H377" i="31"/>
  <c r="H363" i="31"/>
  <c r="H379" i="31"/>
  <c r="H386" i="31"/>
  <c r="H390" i="31"/>
  <c r="H388" i="31"/>
  <c r="H372" i="31"/>
  <c r="G390" i="31"/>
  <c r="E425" i="31"/>
  <c r="E363" i="31"/>
  <c r="E374" i="31"/>
  <c r="E361" i="31"/>
  <c r="H365" i="31"/>
  <c r="H381" i="31"/>
  <c r="H367" i="31"/>
  <c r="H383" i="31"/>
  <c r="H378" i="31"/>
  <c r="H382" i="31"/>
  <c r="H384" i="31"/>
  <c r="E423" i="31"/>
  <c r="E398" i="31"/>
  <c r="H399" i="31"/>
  <c r="H424" i="31"/>
  <c r="G387" i="31"/>
  <c r="G388" i="31"/>
  <c r="W349" i="32"/>
  <c r="W351" i="32" s="1"/>
  <c r="M349" i="32"/>
  <c r="M351" i="32" s="1"/>
  <c r="W325" i="32"/>
  <c r="W327" i="32" s="1"/>
  <c r="E407" i="31"/>
  <c r="E409" i="31"/>
  <c r="E414" i="31"/>
  <c r="E412" i="31"/>
  <c r="H413" i="31"/>
  <c r="H415" i="31"/>
  <c r="H410" i="31"/>
  <c r="H408" i="31"/>
  <c r="G391" i="31"/>
  <c r="G377" i="31"/>
  <c r="G374" i="31"/>
  <c r="G372" i="31"/>
  <c r="E399" i="31"/>
  <c r="E415" i="31"/>
  <c r="E401" i="31"/>
  <c r="E417" i="31"/>
  <c r="E422" i="31"/>
  <c r="E406" i="31"/>
  <c r="E420" i="31"/>
  <c r="E404" i="31"/>
  <c r="J404" i="31" s="1"/>
  <c r="H405" i="31"/>
  <c r="H421" i="31"/>
  <c r="H407" i="31"/>
  <c r="H423" i="31"/>
  <c r="H418" i="31"/>
  <c r="H402" i="31"/>
  <c r="H416" i="31"/>
  <c r="H400" i="31"/>
  <c r="G375" i="31"/>
  <c r="G371" i="31"/>
  <c r="G369" i="31"/>
  <c r="G385" i="31"/>
  <c r="G382" i="31"/>
  <c r="G366" i="31"/>
  <c r="G380" i="31"/>
  <c r="G364" i="31"/>
  <c r="I277" i="32"/>
  <c r="I279" i="32" s="1"/>
  <c r="U277" i="32"/>
  <c r="U279" i="32" s="1"/>
  <c r="K301" i="32"/>
  <c r="K303" i="32" s="1"/>
  <c r="N301" i="32"/>
  <c r="N303" i="32" s="1"/>
  <c r="N302" i="32"/>
  <c r="N304" i="32" s="1"/>
  <c r="K302" i="32"/>
  <c r="K304" i="32" s="1"/>
  <c r="E403" i="31"/>
  <c r="E411" i="31"/>
  <c r="E419" i="31"/>
  <c r="E427" i="31"/>
  <c r="E405" i="31"/>
  <c r="E413" i="31"/>
  <c r="E421" i="31"/>
  <c r="E426" i="31"/>
  <c r="E418" i="31"/>
  <c r="E410" i="31"/>
  <c r="E402" i="31"/>
  <c r="E424" i="31"/>
  <c r="E416" i="31"/>
  <c r="E408" i="31"/>
  <c r="H401" i="31"/>
  <c r="H409" i="31"/>
  <c r="H417" i="31"/>
  <c r="H425" i="31"/>
  <c r="H403" i="31"/>
  <c r="H411" i="31"/>
  <c r="H419" i="31"/>
  <c r="H427" i="31"/>
  <c r="H422" i="31"/>
  <c r="H414" i="31"/>
  <c r="H406" i="31"/>
  <c r="H398" i="31"/>
  <c r="H420" i="31"/>
  <c r="H412" i="31"/>
  <c r="H404" i="31"/>
  <c r="G367" i="31"/>
  <c r="G383" i="31"/>
  <c r="G363" i="31"/>
  <c r="G379" i="31"/>
  <c r="G365" i="31"/>
  <c r="G373" i="31"/>
  <c r="G381" i="31"/>
  <c r="G389" i="31"/>
  <c r="G386" i="31"/>
  <c r="G378" i="31"/>
  <c r="G370" i="31"/>
  <c r="G362" i="31"/>
  <c r="G384" i="31"/>
  <c r="G376" i="31"/>
  <c r="G368" i="31"/>
  <c r="E379" i="31"/>
  <c r="E387" i="31"/>
  <c r="E381" i="31"/>
  <c r="E389" i="31"/>
  <c r="E382" i="31"/>
  <c r="E367" i="31"/>
  <c r="E375" i="31"/>
  <c r="E383" i="31"/>
  <c r="E391" i="31"/>
  <c r="E369" i="31"/>
  <c r="E377" i="31"/>
  <c r="E385" i="31"/>
  <c r="E386" i="31"/>
  <c r="E378" i="31"/>
  <c r="E370" i="31"/>
  <c r="E362" i="31"/>
  <c r="E372" i="31"/>
  <c r="E364" i="31"/>
  <c r="E384" i="31"/>
  <c r="E390" i="31"/>
  <c r="E388" i="31"/>
  <c r="F397" i="31"/>
  <c r="F400" i="31"/>
  <c r="F404" i="31"/>
  <c r="F408" i="31"/>
  <c r="F412" i="31"/>
  <c r="F416" i="31"/>
  <c r="F420" i="31"/>
  <c r="F424" i="31"/>
  <c r="F398" i="31"/>
  <c r="F402" i="31"/>
  <c r="F406" i="31"/>
  <c r="F410" i="31"/>
  <c r="F414" i="31"/>
  <c r="F418" i="31"/>
  <c r="F422" i="31"/>
  <c r="F426" i="31"/>
  <c r="F427" i="31"/>
  <c r="F423" i="31"/>
  <c r="F419" i="31"/>
  <c r="F415" i="31"/>
  <c r="F411" i="31"/>
  <c r="F407" i="31"/>
  <c r="F403" i="31"/>
  <c r="F399" i="31"/>
  <c r="F425" i="31"/>
  <c r="F421" i="31"/>
  <c r="F417" i="31"/>
  <c r="F413" i="31"/>
  <c r="F409" i="31"/>
  <c r="F405" i="31"/>
  <c r="F401" i="31"/>
  <c r="F361" i="31"/>
  <c r="F364" i="31"/>
  <c r="F368" i="31"/>
  <c r="F372" i="31"/>
  <c r="F376" i="31"/>
  <c r="F380" i="31"/>
  <c r="F384" i="31"/>
  <c r="F388" i="31"/>
  <c r="F362" i="31"/>
  <c r="F366" i="31"/>
  <c r="F370" i="31"/>
  <c r="F374" i="31"/>
  <c r="F378" i="31"/>
  <c r="F382" i="31"/>
  <c r="F386" i="31"/>
  <c r="F390" i="31"/>
  <c r="F391" i="31"/>
  <c r="F387" i="31"/>
  <c r="F383" i="31"/>
  <c r="F379" i="31"/>
  <c r="F375" i="31"/>
  <c r="F371" i="31"/>
  <c r="F367" i="31"/>
  <c r="F363" i="31"/>
  <c r="F385" i="31"/>
  <c r="F377" i="31"/>
  <c r="F369" i="31"/>
  <c r="F389" i="31"/>
  <c r="F381" i="31"/>
  <c r="F373" i="31"/>
  <c r="F365" i="31"/>
  <c r="D53" i="32"/>
  <c r="D57" i="32" s="1"/>
  <c r="D55" i="32"/>
  <c r="D54" i="32"/>
  <c r="D56" i="32"/>
  <c r="D125" i="35"/>
  <c r="G125" i="35" s="1"/>
  <c r="F155" i="35" s="1"/>
  <c r="H21" i="10"/>
  <c r="AC196" i="35"/>
  <c r="D124" i="35"/>
  <c r="AC195" i="35"/>
  <c r="H20" i="10"/>
  <c r="D126" i="35"/>
  <c r="G126" i="35" s="1"/>
  <c r="F156" i="35" s="1"/>
  <c r="AC197" i="35"/>
  <c r="H22" i="10"/>
  <c r="H15" i="10"/>
  <c r="H14" i="10"/>
  <c r="H7" i="10"/>
  <c r="H10" i="10"/>
  <c r="H11" i="10"/>
  <c r="H8" i="10"/>
  <c r="H12" i="10"/>
  <c r="H9" i="10"/>
  <c r="H13" i="10"/>
  <c r="N45" i="10"/>
  <c r="N48" i="10"/>
  <c r="O48" i="10" s="1"/>
  <c r="N58" i="10"/>
  <c r="O58" i="10" s="1"/>
  <c r="N38" i="10"/>
  <c r="O38" i="10" s="1"/>
  <c r="N52" i="10"/>
  <c r="O52" i="10" s="1"/>
  <c r="N50" i="10"/>
  <c r="O50" i="10" s="1"/>
  <c r="P50" i="10" s="1"/>
  <c r="N61" i="10"/>
  <c r="O61" i="10" s="1"/>
  <c r="N39" i="10"/>
  <c r="O39" i="10" s="1"/>
  <c r="N54" i="10"/>
  <c r="O54" i="10" s="1"/>
  <c r="N63" i="10"/>
  <c r="O63" i="10" s="1"/>
  <c r="N47" i="10"/>
  <c r="O47" i="10" s="1"/>
  <c r="N41" i="10"/>
  <c r="O41" i="10" s="1"/>
  <c r="P41" i="10" s="1"/>
  <c r="N53" i="10"/>
  <c r="O53" i="10" s="1"/>
  <c r="N62" i="10"/>
  <c r="O62" i="10" s="1"/>
  <c r="N36" i="10"/>
  <c r="O36" i="10" s="1"/>
  <c r="N55" i="10"/>
  <c r="N49" i="10"/>
  <c r="O49" i="10" s="1"/>
  <c r="N46" i="10"/>
  <c r="N57" i="10"/>
  <c r="O57" i="10" s="1"/>
  <c r="N42" i="10"/>
  <c r="O42" i="10" s="1"/>
  <c r="N60" i="10"/>
  <c r="O60" i="10" s="1"/>
  <c r="N40" i="10"/>
  <c r="O40" i="10" s="1"/>
  <c r="N37" i="10"/>
  <c r="O37" i="10" s="1"/>
  <c r="N56" i="10"/>
  <c r="O56" i="10" s="1"/>
  <c r="N59" i="10"/>
  <c r="O59" i="10" s="1"/>
  <c r="Q44" i="26" s="1"/>
  <c r="W57" i="26"/>
  <c r="AG57" i="26" s="1"/>
  <c r="U56" i="26"/>
  <c r="V21" i="26"/>
  <c r="W53" i="26"/>
  <c r="AG53" i="26" s="1"/>
  <c r="W56" i="26"/>
  <c r="AG56" i="26" s="1"/>
  <c r="E29" i="35"/>
  <c r="D10" i="35"/>
  <c r="AJ276" i="32"/>
  <c r="D122" i="35"/>
  <c r="AC193" i="35"/>
  <c r="AC192" i="35"/>
  <c r="D121" i="35"/>
  <c r="D119" i="35"/>
  <c r="AC190" i="35"/>
  <c r="AC186" i="35"/>
  <c r="D115" i="35"/>
  <c r="AC189" i="35"/>
  <c r="D118" i="35"/>
  <c r="AC183" i="35"/>
  <c r="D112" i="35"/>
  <c r="AA325" i="32"/>
  <c r="AA327" i="32" s="1"/>
  <c r="AC191" i="35"/>
  <c r="D120" i="35"/>
  <c r="D123" i="35"/>
  <c r="AC194" i="35"/>
  <c r="AC187" i="35"/>
  <c r="D116" i="35"/>
  <c r="AC182" i="35"/>
  <c r="D111" i="35"/>
  <c r="D113" i="35"/>
  <c r="AC184" i="35"/>
  <c r="AC185" i="35"/>
  <c r="D114" i="35"/>
  <c r="D117" i="35"/>
  <c r="AC188" i="35"/>
  <c r="D483" i="32"/>
  <c r="O7" i="56" l="1"/>
  <c r="O17" i="56" s="1"/>
  <c r="C61" i="56"/>
  <c r="C63" i="56"/>
  <c r="C57" i="56"/>
  <c r="C59" i="56"/>
  <c r="C60" i="56"/>
  <c r="C64" i="56"/>
  <c r="C56" i="56"/>
  <c r="C58" i="56"/>
  <c r="C62" i="56"/>
  <c r="AF302" i="32"/>
  <c r="AF304" i="32" s="1"/>
  <c r="O302" i="32"/>
  <c r="O304" i="32" s="1"/>
  <c r="AF350" i="32"/>
  <c r="AF352" i="32" s="1"/>
  <c r="AE301" i="32"/>
  <c r="AE303" i="32" s="1"/>
  <c r="J415" i="31"/>
  <c r="O301" i="32"/>
  <c r="O303" i="32" s="1"/>
  <c r="AF301" i="32"/>
  <c r="AF303" i="32" s="1"/>
  <c r="J301" i="32"/>
  <c r="J303" i="32" s="1"/>
  <c r="U301" i="32"/>
  <c r="U303" i="32" s="1"/>
  <c r="J418" i="31"/>
  <c r="O349" i="32"/>
  <c r="O351" i="32" s="1"/>
  <c r="AF349" i="32"/>
  <c r="AF351" i="32" s="1"/>
  <c r="W326" i="32"/>
  <c r="W328" i="32" s="1"/>
  <c r="M326" i="32"/>
  <c r="M328" i="32" s="1"/>
  <c r="W350" i="32"/>
  <c r="W352" i="32" s="1"/>
  <c r="M350" i="32"/>
  <c r="M352" i="32" s="1"/>
  <c r="AC198" i="35"/>
  <c r="S199" i="35" s="1"/>
  <c r="S200" i="35" s="1"/>
  <c r="D127" i="35"/>
  <c r="H86" i="35"/>
  <c r="J380" i="31"/>
  <c r="J455" i="31" s="1"/>
  <c r="J416" i="31"/>
  <c r="Q18" i="26"/>
  <c r="R18" i="26" s="1"/>
  <c r="S18" i="26" s="1"/>
  <c r="K404" i="31"/>
  <c r="L404" i="31" s="1"/>
  <c r="K442" i="31" s="1"/>
  <c r="U58" i="26" s="1"/>
  <c r="J401" i="31"/>
  <c r="J365" i="31"/>
  <c r="J439" i="31" s="1"/>
  <c r="J381" i="31"/>
  <c r="J456" i="31" s="1"/>
  <c r="J417" i="31"/>
  <c r="J379" i="31"/>
  <c r="J454" i="31" s="1"/>
  <c r="J382" i="31"/>
  <c r="J457" i="31" s="1"/>
  <c r="H199" i="35"/>
  <c r="H200" i="35" s="1"/>
  <c r="O55" i="10"/>
  <c r="Q39" i="26" s="1"/>
  <c r="P39" i="26"/>
  <c r="O46" i="10"/>
  <c r="Q27" i="26" s="1"/>
  <c r="P27" i="26"/>
  <c r="O45" i="10"/>
  <c r="Q26" i="26" s="1"/>
  <c r="P26" i="26"/>
  <c r="J423" i="31"/>
  <c r="J387" i="31"/>
  <c r="J462" i="31" s="1"/>
  <c r="E54" i="32"/>
  <c r="F480" i="32" s="1"/>
  <c r="I54" i="32"/>
  <c r="D76" i="32" s="1"/>
  <c r="J54" i="32"/>
  <c r="E53" i="32"/>
  <c r="I53" i="32"/>
  <c r="J53" i="32"/>
  <c r="J412" i="31"/>
  <c r="J405" i="31"/>
  <c r="J419" i="31"/>
  <c r="J413" i="31"/>
  <c r="J426" i="31"/>
  <c r="J424" i="31"/>
  <c r="J397" i="31"/>
  <c r="J408" i="31"/>
  <c r="J420" i="31"/>
  <c r="J425" i="31"/>
  <c r="J427" i="31"/>
  <c r="J407" i="31"/>
  <c r="J366" i="31"/>
  <c r="J440" i="31" s="1"/>
  <c r="J390" i="31"/>
  <c r="J465" i="31" s="1"/>
  <c r="J369" i="31"/>
  <c r="J444" i="31" s="1"/>
  <c r="J384" i="31"/>
  <c r="J459" i="31" s="1"/>
  <c r="J391" i="31"/>
  <c r="J466" i="31" s="1"/>
  <c r="J389" i="31"/>
  <c r="J464" i="31" s="1"/>
  <c r="J367" i="31"/>
  <c r="J441" i="31" s="1"/>
  <c r="J373" i="31"/>
  <c r="J448" i="31" s="1"/>
  <c r="J377" i="31"/>
  <c r="J452" i="31" s="1"/>
  <c r="J372" i="31"/>
  <c r="J447" i="31" s="1"/>
  <c r="J56" i="32"/>
  <c r="E56" i="32"/>
  <c r="F482" i="32" s="1"/>
  <c r="I56" i="32"/>
  <c r="D78" i="32" s="1"/>
  <c r="E78" i="32" s="1"/>
  <c r="E55" i="32"/>
  <c r="F481" i="32" s="1"/>
  <c r="I55" i="32"/>
  <c r="D77" i="32" s="1"/>
  <c r="J55" i="32"/>
  <c r="J421" i="31"/>
  <c r="J409" i="31"/>
  <c r="J410" i="31"/>
  <c r="J403" i="31"/>
  <c r="J399" i="31"/>
  <c r="J411" i="31"/>
  <c r="J402" i="31"/>
  <c r="J406" i="31"/>
  <c r="J400" i="31"/>
  <c r="J398" i="31"/>
  <c r="J422" i="31"/>
  <c r="J414" i="31"/>
  <c r="J364" i="31"/>
  <c r="J438" i="31" s="1"/>
  <c r="J361" i="31"/>
  <c r="J435" i="31" s="1"/>
  <c r="J363" i="31"/>
  <c r="J437" i="31" s="1"/>
  <c r="J370" i="31"/>
  <c r="J445" i="31" s="1"/>
  <c r="J376" i="31"/>
  <c r="J451" i="31" s="1"/>
  <c r="J375" i="31"/>
  <c r="J450" i="31" s="1"/>
  <c r="J385" i="31"/>
  <c r="J460" i="31" s="1"/>
  <c r="J374" i="31"/>
  <c r="J449" i="31" s="1"/>
  <c r="J362" i="31"/>
  <c r="J436" i="31" s="1"/>
  <c r="J383" i="31"/>
  <c r="J458" i="31" s="1"/>
  <c r="J371" i="31"/>
  <c r="J446" i="31" s="1"/>
  <c r="J388" i="31"/>
  <c r="J463" i="31" s="1"/>
  <c r="J378" i="31"/>
  <c r="J453" i="31" s="1"/>
  <c r="J386" i="31"/>
  <c r="J461" i="31" s="1"/>
  <c r="G124" i="35"/>
  <c r="F154" i="35" s="1"/>
  <c r="H154" i="35"/>
  <c r="F200" i="35"/>
  <c r="F201" i="35" s="1"/>
  <c r="M199" i="35"/>
  <c r="M200" i="35" s="1"/>
  <c r="G199" i="35"/>
  <c r="G200" i="35" s="1"/>
  <c r="N199" i="35"/>
  <c r="N200" i="35" s="1"/>
  <c r="H156" i="35"/>
  <c r="D156" i="35"/>
  <c r="H155" i="35"/>
  <c r="D155" i="35"/>
  <c r="J199" i="35"/>
  <c r="J200" i="35" s="1"/>
  <c r="E199" i="35"/>
  <c r="E200" i="35" s="1"/>
  <c r="K199" i="35"/>
  <c r="K200" i="35" s="1"/>
  <c r="I199" i="35"/>
  <c r="I200" i="35" s="1"/>
  <c r="D154" i="35"/>
  <c r="U199" i="35"/>
  <c r="U200" i="35" s="1"/>
  <c r="E105" i="56"/>
  <c r="E107" i="13" s="1"/>
  <c r="H6" i="10"/>
  <c r="P59" i="10"/>
  <c r="P40" i="26"/>
  <c r="P44" i="26"/>
  <c r="P13" i="26"/>
  <c r="P45" i="26"/>
  <c r="P42" i="26"/>
  <c r="P32" i="26"/>
  <c r="P11" i="26"/>
  <c r="P37" i="26"/>
  <c r="P28" i="26"/>
  <c r="P38" i="26"/>
  <c r="P46" i="26"/>
  <c r="P35" i="26"/>
  <c r="P43" i="26"/>
  <c r="P22" i="26"/>
  <c r="P20" i="26"/>
  <c r="P47" i="26"/>
  <c r="P18" i="26"/>
  <c r="P48" i="26"/>
  <c r="P16" i="26"/>
  <c r="P33" i="26"/>
  <c r="P15" i="26"/>
  <c r="P30" i="26"/>
  <c r="W21" i="26"/>
  <c r="AG21" i="26" s="1"/>
  <c r="AF21" i="26"/>
  <c r="Q33" i="26"/>
  <c r="R33" i="26" s="1"/>
  <c r="S33" i="26" s="1"/>
  <c r="Q48" i="26"/>
  <c r="P63" i="10"/>
  <c r="Q43" i="26"/>
  <c r="P58" i="10"/>
  <c r="Q32" i="26"/>
  <c r="P49" i="10"/>
  <c r="Q16" i="26"/>
  <c r="P39" i="10"/>
  <c r="AG349" i="32"/>
  <c r="AG351" i="32" s="1"/>
  <c r="V349" i="32"/>
  <c r="V351" i="32" s="1"/>
  <c r="AH301" i="32"/>
  <c r="AH303" i="32" s="1"/>
  <c r="H144" i="35"/>
  <c r="D144" i="35"/>
  <c r="D141" i="35"/>
  <c r="H141" i="35"/>
  <c r="H69" i="35"/>
  <c r="H85" i="35" s="1"/>
  <c r="I13" i="35"/>
  <c r="R44" i="26"/>
  <c r="S44" i="26" s="1"/>
  <c r="H142" i="35"/>
  <c r="D142" i="35"/>
  <c r="D148" i="35"/>
  <c r="H148" i="35"/>
  <c r="D145" i="35"/>
  <c r="H145" i="35"/>
  <c r="Q46" i="26"/>
  <c r="P61" i="10"/>
  <c r="P40" i="10"/>
  <c r="Q22" i="26"/>
  <c r="Q45" i="26"/>
  <c r="P60" i="10"/>
  <c r="Q35" i="26"/>
  <c r="P52" i="10"/>
  <c r="Q20" i="26"/>
  <c r="P42" i="10"/>
  <c r="Q42" i="26"/>
  <c r="P57" i="10"/>
  <c r="Q15" i="26"/>
  <c r="P38" i="10"/>
  <c r="AC350" i="32"/>
  <c r="AC352" i="32" s="1"/>
  <c r="AA350" i="32"/>
  <c r="AA352" i="32" s="1"/>
  <c r="AA326" i="32"/>
  <c r="AA328" i="32" s="1"/>
  <c r="H326" i="32"/>
  <c r="H328" i="32" s="1"/>
  <c r="AC181" i="35"/>
  <c r="I10" i="35"/>
  <c r="I11" i="35" s="1"/>
  <c r="D110" i="35"/>
  <c r="AG350" i="32"/>
  <c r="AG352" i="32" s="1"/>
  <c r="V350" i="32"/>
  <c r="V352" i="32" s="1"/>
  <c r="K278" i="32"/>
  <c r="K280" i="32" s="1"/>
  <c r="V278" i="32"/>
  <c r="V280" i="32" s="1"/>
  <c r="H70" i="35"/>
  <c r="P6" i="56" s="1"/>
  <c r="Q47" i="26"/>
  <c r="P62" i="10"/>
  <c r="Q38" i="26"/>
  <c r="P54" i="10"/>
  <c r="K277" i="32"/>
  <c r="K279" i="32" s="1"/>
  <c r="V277" i="32"/>
  <c r="V279" i="32" s="1"/>
  <c r="V325" i="32"/>
  <c r="V327" i="32" s="1"/>
  <c r="AG325" i="32"/>
  <c r="AG327" i="32" s="1"/>
  <c r="E475" i="32"/>
  <c r="E476" i="32"/>
  <c r="E478" i="32"/>
  <c r="E477" i="32"/>
  <c r="E473" i="32"/>
  <c r="E474" i="32"/>
  <c r="H147" i="35"/>
  <c r="D147" i="35"/>
  <c r="H143" i="35"/>
  <c r="D143" i="35"/>
  <c r="H146" i="35"/>
  <c r="D146" i="35"/>
  <c r="D149" i="35"/>
  <c r="H149" i="35"/>
  <c r="Q37" i="26"/>
  <c r="P53" i="10"/>
  <c r="Q11" i="26"/>
  <c r="P36" i="10"/>
  <c r="Q40" i="26"/>
  <c r="P56" i="10"/>
  <c r="Q28" i="26"/>
  <c r="P47" i="10"/>
  <c r="Q13" i="26"/>
  <c r="P37" i="10"/>
  <c r="Q30" i="26"/>
  <c r="P48" i="10"/>
  <c r="H302" i="32"/>
  <c r="H304" i="32" s="1"/>
  <c r="AB302" i="32"/>
  <c r="AB304" i="32" s="1"/>
  <c r="AB278" i="32"/>
  <c r="AB280" i="32" s="1"/>
  <c r="H278" i="32"/>
  <c r="H280" i="32" s="1"/>
  <c r="V326" i="32"/>
  <c r="V328" i="32" s="1"/>
  <c r="AG326" i="32"/>
  <c r="AG328" i="32" s="1"/>
  <c r="AH302" i="32"/>
  <c r="AH304" i="32" s="1"/>
  <c r="P7" i="56" l="1"/>
  <c r="I58" i="56"/>
  <c r="L58" i="56"/>
  <c r="F58" i="56"/>
  <c r="F59" i="56"/>
  <c r="L59" i="56"/>
  <c r="I59" i="56"/>
  <c r="I62" i="56"/>
  <c r="L62" i="56"/>
  <c r="F62" i="56"/>
  <c r="L61" i="56"/>
  <c r="F61" i="56"/>
  <c r="I61" i="56"/>
  <c r="F64" i="56"/>
  <c r="I64" i="56"/>
  <c r="L64" i="56"/>
  <c r="I63" i="56"/>
  <c r="F63" i="56"/>
  <c r="L63" i="56"/>
  <c r="F60" i="56"/>
  <c r="L60" i="56"/>
  <c r="I60" i="56"/>
  <c r="I56" i="56"/>
  <c r="F56" i="56"/>
  <c r="L56" i="56"/>
  <c r="I57" i="56"/>
  <c r="F57" i="56"/>
  <c r="L57" i="56"/>
  <c r="L442" i="31"/>
  <c r="X199" i="35"/>
  <c r="X200" i="35" s="1"/>
  <c r="X202" i="35" s="1"/>
  <c r="Q199" i="35"/>
  <c r="Q200" i="35" s="1"/>
  <c r="Q202" i="35" s="1"/>
  <c r="W199" i="35"/>
  <c r="W200" i="35" s="1"/>
  <c r="W201" i="35" s="1"/>
  <c r="V199" i="35"/>
  <c r="V200" i="35" s="1"/>
  <c r="V202" i="35" s="1"/>
  <c r="P199" i="35"/>
  <c r="P200" i="35" s="1"/>
  <c r="P202" i="35" s="1"/>
  <c r="AB199" i="35"/>
  <c r="AB200" i="35" s="1"/>
  <c r="AB201" i="35" s="1"/>
  <c r="T199" i="35"/>
  <c r="T200" i="35" s="1"/>
  <c r="T201" i="35" s="1"/>
  <c r="R199" i="35"/>
  <c r="R200" i="35" s="1"/>
  <c r="R201" i="35" s="1"/>
  <c r="L199" i="35"/>
  <c r="L200" i="35" s="1"/>
  <c r="L202" i="35" s="1"/>
  <c r="Y199" i="35"/>
  <c r="Y200" i="35" s="1"/>
  <c r="Y202" i="35" s="1"/>
  <c r="AA199" i="35"/>
  <c r="AA200" i="35" s="1"/>
  <c r="AA202" i="35" s="1"/>
  <c r="Z199" i="35"/>
  <c r="Z200" i="35" s="1"/>
  <c r="Z202" i="35" s="1"/>
  <c r="P55" i="10"/>
  <c r="F202" i="35"/>
  <c r="K415" i="31"/>
  <c r="L415" i="31" s="1"/>
  <c r="K454" i="31" s="1"/>
  <c r="L454" i="31" s="1"/>
  <c r="K416" i="31"/>
  <c r="L416" i="31" s="1"/>
  <c r="K455" i="31" s="1"/>
  <c r="L455" i="31" s="1"/>
  <c r="K417" i="31"/>
  <c r="K403" i="31"/>
  <c r="L403" i="31" s="1"/>
  <c r="K441" i="31" s="1"/>
  <c r="L441" i="31" s="1"/>
  <c r="E57" i="32"/>
  <c r="F479" i="32"/>
  <c r="K401" i="31"/>
  <c r="L401" i="31" s="1"/>
  <c r="K439" i="31" s="1"/>
  <c r="L439" i="31" s="1"/>
  <c r="K418" i="31"/>
  <c r="L418" i="31" s="1"/>
  <c r="K457" i="31" s="1"/>
  <c r="L457" i="31" s="1"/>
  <c r="P46" i="10"/>
  <c r="P45" i="10"/>
  <c r="L417" i="31"/>
  <c r="K456" i="31" s="1"/>
  <c r="L456" i="31" s="1"/>
  <c r="D481" i="32"/>
  <c r="E481" i="32" s="1"/>
  <c r="H481" i="32"/>
  <c r="D482" i="32"/>
  <c r="E482" i="32" s="1"/>
  <c r="H482" i="32"/>
  <c r="D480" i="32"/>
  <c r="E480" i="32" s="1"/>
  <c r="H480" i="32"/>
  <c r="E397" i="32" a="1"/>
  <c r="H397" i="32" a="1"/>
  <c r="K402" i="31"/>
  <c r="L402" i="31" s="1"/>
  <c r="K440" i="31" s="1"/>
  <c r="L440" i="31" s="1"/>
  <c r="AA30" i="17" s="1"/>
  <c r="AJ30" i="17" s="1"/>
  <c r="K423" i="31"/>
  <c r="L423" i="31" s="1"/>
  <c r="K462" i="31" s="1"/>
  <c r="L462" i="31" s="1"/>
  <c r="AA54" i="17" s="1"/>
  <c r="AJ54" i="17" s="1"/>
  <c r="K414" i="31"/>
  <c r="L414" i="31" s="1"/>
  <c r="K453" i="31" s="1"/>
  <c r="L453" i="31" s="1"/>
  <c r="K398" i="31"/>
  <c r="L398" i="31" s="1"/>
  <c r="K436" i="31" s="1"/>
  <c r="L436" i="31" s="1"/>
  <c r="K409" i="31"/>
  <c r="L409" i="31" s="1"/>
  <c r="K448" i="31" s="1"/>
  <c r="L448" i="31" s="1"/>
  <c r="AA38" i="17" s="1"/>
  <c r="AJ38" i="17" s="1"/>
  <c r="K420" i="31"/>
  <c r="H78" i="32"/>
  <c r="AI324" i="32" s="1"/>
  <c r="I78" i="32"/>
  <c r="AI348" i="32" s="1"/>
  <c r="G78" i="32"/>
  <c r="AI300" i="32" s="1"/>
  <c r="F78" i="32"/>
  <c r="AI276" i="32" s="1"/>
  <c r="D75" i="32"/>
  <c r="E75" i="32" s="1"/>
  <c r="I57" i="32"/>
  <c r="K54" i="32"/>
  <c r="D92" i="32"/>
  <c r="K422" i="31"/>
  <c r="K400" i="31"/>
  <c r="L400" i="31" s="1"/>
  <c r="K438" i="31" s="1"/>
  <c r="L438" i="31" s="1"/>
  <c r="K399" i="31"/>
  <c r="L399" i="31" s="1"/>
  <c r="K437" i="31" s="1"/>
  <c r="L437" i="31" s="1"/>
  <c r="K410" i="31"/>
  <c r="L410" i="31" s="1"/>
  <c r="K449" i="31" s="1"/>
  <c r="L449" i="31" s="1"/>
  <c r="K421" i="31"/>
  <c r="K407" i="31"/>
  <c r="L407" i="31" s="1"/>
  <c r="K446" i="31" s="1"/>
  <c r="L446" i="31" s="1"/>
  <c r="AA36" i="17" s="1"/>
  <c r="AJ36" i="17" s="1"/>
  <c r="K425" i="31"/>
  <c r="L425" i="31" s="1"/>
  <c r="K464" i="31" s="1"/>
  <c r="L464" i="31" s="1"/>
  <c r="V29" i="26" s="1"/>
  <c r="K408" i="31"/>
  <c r="L408" i="31" s="1"/>
  <c r="K447" i="31" s="1"/>
  <c r="L447" i="31" s="1"/>
  <c r="K424" i="31"/>
  <c r="L424" i="31" s="1"/>
  <c r="K463" i="31" s="1"/>
  <c r="L463" i="31" s="1"/>
  <c r="K413" i="31"/>
  <c r="L413" i="31" s="1"/>
  <c r="K452" i="31" s="1"/>
  <c r="L452" i="31" s="1"/>
  <c r="K405" i="31"/>
  <c r="L405" i="31" s="1"/>
  <c r="K444" i="31" s="1"/>
  <c r="L444" i="31" s="1"/>
  <c r="AA34" i="17" s="1"/>
  <c r="AJ34" i="17" s="1"/>
  <c r="K55" i="32"/>
  <c r="D93" i="32"/>
  <c r="H473" i="32"/>
  <c r="D94" i="32"/>
  <c r="K56" i="32"/>
  <c r="K53" i="32"/>
  <c r="K57" i="32" s="1"/>
  <c r="D91" i="32"/>
  <c r="E91" i="32" s="1"/>
  <c r="J57" i="32"/>
  <c r="D479" i="32"/>
  <c r="E479" i="32" s="1"/>
  <c r="H479" i="32"/>
  <c r="K406" i="31"/>
  <c r="L406" i="31" s="1"/>
  <c r="K445" i="31" s="1"/>
  <c r="L445" i="31" s="1"/>
  <c r="K411" i="31"/>
  <c r="L411" i="31" s="1"/>
  <c r="K450" i="31" s="1"/>
  <c r="U21" i="26" s="1"/>
  <c r="K427" i="31"/>
  <c r="L427" i="31" s="1"/>
  <c r="K466" i="31" s="1"/>
  <c r="L466" i="31" s="1"/>
  <c r="K397" i="31"/>
  <c r="L397" i="31" s="1"/>
  <c r="K435" i="31" s="1"/>
  <c r="L435" i="31" s="1"/>
  <c r="V51" i="26" s="1"/>
  <c r="K426" i="31"/>
  <c r="L426" i="31" s="1"/>
  <c r="K465" i="31" s="1"/>
  <c r="L465" i="31" s="1"/>
  <c r="AA57" i="17" s="1"/>
  <c r="AJ57" i="17" s="1"/>
  <c r="K419" i="31"/>
  <c r="L419" i="31" s="1"/>
  <c r="K458" i="31" s="1"/>
  <c r="L458" i="31" s="1"/>
  <c r="AA50" i="17" s="1"/>
  <c r="AJ50" i="17" s="1"/>
  <c r="K412" i="31"/>
  <c r="L412" i="31" s="1"/>
  <c r="K451" i="31" s="1"/>
  <c r="L451" i="31" s="1"/>
  <c r="AA41" i="17" s="1"/>
  <c r="AJ41" i="17" s="1"/>
  <c r="I202" i="35"/>
  <c r="I201" i="35"/>
  <c r="E202" i="35"/>
  <c r="E201" i="35"/>
  <c r="K201" i="35"/>
  <c r="K202" i="35"/>
  <c r="D199" i="35"/>
  <c r="D200" i="35" s="1"/>
  <c r="E106" i="56"/>
  <c r="E108" i="13" s="1"/>
  <c r="R30" i="26"/>
  <c r="S30" i="26" s="1"/>
  <c r="R13" i="26"/>
  <c r="S13" i="26" s="1"/>
  <c r="R28" i="26"/>
  <c r="S28" i="26" s="1"/>
  <c r="R40" i="26"/>
  <c r="S40" i="26" s="1"/>
  <c r="R11" i="26"/>
  <c r="S11" i="26" s="1"/>
  <c r="R37" i="26"/>
  <c r="S37" i="26" s="1"/>
  <c r="R27" i="26"/>
  <c r="S27" i="26" s="1"/>
  <c r="L70" i="35"/>
  <c r="D140" i="35"/>
  <c r="D129" i="35"/>
  <c r="R15" i="26"/>
  <c r="S15" i="26" s="1"/>
  <c r="R42" i="26"/>
  <c r="S42" i="26" s="1"/>
  <c r="R20" i="26"/>
  <c r="S20" i="26" s="1"/>
  <c r="R35" i="26"/>
  <c r="S35" i="26" s="1"/>
  <c r="R45" i="26"/>
  <c r="S45" i="26" s="1"/>
  <c r="R46" i="26"/>
  <c r="S46" i="26" s="1"/>
  <c r="R39" i="26"/>
  <c r="S39" i="26" s="1"/>
  <c r="S201" i="35"/>
  <c r="S202" i="35"/>
  <c r="N202" i="35"/>
  <c r="N201" i="35"/>
  <c r="E134" i="13"/>
  <c r="H87" i="35"/>
  <c r="U202" i="35"/>
  <c r="U201" i="35"/>
  <c r="M201" i="35"/>
  <c r="M202" i="35"/>
  <c r="R26" i="26"/>
  <c r="S26" i="26" s="1"/>
  <c r="R38" i="26"/>
  <c r="S38" i="26" s="1"/>
  <c r="R47" i="26"/>
  <c r="S47" i="26" s="1"/>
  <c r="J202" i="35"/>
  <c r="J201" i="35"/>
  <c r="R22" i="26"/>
  <c r="S22" i="26" s="1"/>
  <c r="G201" i="35"/>
  <c r="G202" i="35"/>
  <c r="H202" i="35"/>
  <c r="H201" i="35"/>
  <c r="R16" i="26"/>
  <c r="S16" i="26" s="1"/>
  <c r="R32" i="26"/>
  <c r="S32" i="26" s="1"/>
  <c r="R43" i="26"/>
  <c r="S43" i="26" s="1"/>
  <c r="R48" i="26"/>
  <c r="S48" i="26" s="1"/>
  <c r="C55" i="56" l="1"/>
  <c r="L55" i="56" s="1"/>
  <c r="P17" i="56"/>
  <c r="E108" i="56"/>
  <c r="E110" i="13" s="1"/>
  <c r="AA201" i="35"/>
  <c r="R202" i="35"/>
  <c r="V201" i="35"/>
  <c r="X201" i="35"/>
  <c r="L201" i="35"/>
  <c r="Q201" i="35"/>
  <c r="Y201" i="35"/>
  <c r="T202" i="35"/>
  <c r="AB202" i="35"/>
  <c r="W202" i="35"/>
  <c r="Z201" i="35"/>
  <c r="P201" i="35"/>
  <c r="F473" i="32"/>
  <c r="F483" i="32" s="1"/>
  <c r="G473" i="32" s="1"/>
  <c r="D10" i="33" s="1"/>
  <c r="D20" i="33" s="1"/>
  <c r="F475" i="32"/>
  <c r="F477" i="32"/>
  <c r="F476" i="32"/>
  <c r="F478" i="32"/>
  <c r="G478" i="32" s="1"/>
  <c r="D15" i="33" s="1"/>
  <c r="C15" i="33" s="1"/>
  <c r="F474" i="32"/>
  <c r="P64" i="10"/>
  <c r="AF29" i="26"/>
  <c r="W29" i="26"/>
  <c r="AG29" i="26" s="1"/>
  <c r="L420" i="31"/>
  <c r="K459" i="31" s="1"/>
  <c r="L459" i="31" s="1"/>
  <c r="AA51" i="17" s="1"/>
  <c r="AJ51" i="17" s="1"/>
  <c r="L421" i="31"/>
  <c r="K460" i="31" s="1"/>
  <c r="L460" i="31" s="1"/>
  <c r="L422" i="31"/>
  <c r="K461" i="31" s="1"/>
  <c r="L461" i="31" s="1"/>
  <c r="AA53" i="17" s="1"/>
  <c r="AJ53" i="17" s="1"/>
  <c r="G482" i="32"/>
  <c r="D19" i="33" s="1"/>
  <c r="E397" i="32"/>
  <c r="E400" i="32"/>
  <c r="E404" i="32"/>
  <c r="J404" i="32" s="1"/>
  <c r="E408" i="32"/>
  <c r="E412" i="32"/>
  <c r="E416" i="32"/>
  <c r="E420" i="32"/>
  <c r="E424" i="32"/>
  <c r="E398" i="32"/>
  <c r="E402" i="32"/>
  <c r="E406" i="32"/>
  <c r="E410" i="32"/>
  <c r="E414" i="32"/>
  <c r="E418" i="32"/>
  <c r="E422" i="32"/>
  <c r="E426" i="32"/>
  <c r="E427" i="32"/>
  <c r="E423" i="32"/>
  <c r="E419" i="32"/>
  <c r="E415" i="32"/>
  <c r="E411" i="32"/>
  <c r="E407" i="32"/>
  <c r="E403" i="32"/>
  <c r="E399" i="32"/>
  <c r="E425" i="32"/>
  <c r="E421" i="32"/>
  <c r="E417" i="32"/>
  <c r="E413" i="32"/>
  <c r="E409" i="32"/>
  <c r="E405" i="32"/>
  <c r="E401" i="32"/>
  <c r="H397" i="32"/>
  <c r="H400" i="32"/>
  <c r="H404" i="32"/>
  <c r="H408" i="32"/>
  <c r="H412" i="32"/>
  <c r="H416" i="32"/>
  <c r="H420" i="32"/>
  <c r="H424" i="32"/>
  <c r="H398" i="32"/>
  <c r="H402" i="32"/>
  <c r="H406" i="32"/>
  <c r="H410" i="32"/>
  <c r="H414" i="32"/>
  <c r="H418" i="32"/>
  <c r="H422" i="32"/>
  <c r="H426" i="32"/>
  <c r="H425" i="32"/>
  <c r="H421" i="32"/>
  <c r="H417" i="32"/>
  <c r="H413" i="32"/>
  <c r="H409" i="32"/>
  <c r="H405" i="32"/>
  <c r="H401" i="32"/>
  <c r="H427" i="32"/>
  <c r="H423" i="32"/>
  <c r="H419" i="32"/>
  <c r="H415" i="32"/>
  <c r="H411" i="32"/>
  <c r="H407" i="32"/>
  <c r="H403" i="32"/>
  <c r="H399" i="32"/>
  <c r="W51" i="26"/>
  <c r="AG51" i="26" s="1"/>
  <c r="AF51" i="26"/>
  <c r="G91" i="32"/>
  <c r="AJ297" i="32" s="1"/>
  <c r="V302" i="32" s="1"/>
  <c r="V304" i="32" s="1"/>
  <c r="F397" i="32" s="1" a="1"/>
  <c r="F400" i="32" s="1"/>
  <c r="H91" i="32"/>
  <c r="AJ321" i="32" s="1"/>
  <c r="J326" i="32" s="1"/>
  <c r="J328" i="32" s="1"/>
  <c r="G397" i="32" s="1" a="1"/>
  <c r="G397" i="32" s="1"/>
  <c r="F91" i="32"/>
  <c r="AJ273" i="32" s="1"/>
  <c r="I91" i="32"/>
  <c r="AJ345" i="32" s="1"/>
  <c r="H483" i="32"/>
  <c r="I481" i="32" s="1"/>
  <c r="AB277" i="32"/>
  <c r="AB279" i="32" s="1"/>
  <c r="H277" i="32"/>
  <c r="H279" i="32" s="1"/>
  <c r="AA349" i="32"/>
  <c r="AA351" i="32" s="1"/>
  <c r="AC349" i="32"/>
  <c r="AC351" i="32" s="1"/>
  <c r="L450" i="31"/>
  <c r="AA40" i="17" s="1"/>
  <c r="G75" i="32"/>
  <c r="AI297" i="32" s="1"/>
  <c r="V301" i="32" s="1"/>
  <c r="V303" i="32" s="1"/>
  <c r="I75" i="32"/>
  <c r="AI345" i="32" s="1"/>
  <c r="H75" i="32"/>
  <c r="AI321" i="32" s="1"/>
  <c r="J325" i="32" s="1"/>
  <c r="J327" i="32" s="1"/>
  <c r="F75" i="32"/>
  <c r="AI273" i="32" s="1"/>
  <c r="H301" i="32"/>
  <c r="H303" i="32" s="1"/>
  <c r="AB301" i="32"/>
  <c r="AB303" i="32" s="1"/>
  <c r="AB325" i="32"/>
  <c r="AB327" i="32" s="1"/>
  <c r="H325" i="32"/>
  <c r="H327" i="32" s="1"/>
  <c r="D201" i="35"/>
  <c r="D202" i="35"/>
  <c r="S349" i="33"/>
  <c r="S351" i="33" s="1"/>
  <c r="L349" i="33"/>
  <c r="L351" i="33" s="1"/>
  <c r="S350" i="33"/>
  <c r="S352" i="33" s="1"/>
  <c r="L350" i="33"/>
  <c r="L352" i="33" s="1"/>
  <c r="S302" i="33"/>
  <c r="S304" i="33" s="1"/>
  <c r="S301" i="33"/>
  <c r="S303" i="33" s="1"/>
  <c r="L326" i="33"/>
  <c r="L328" i="33" s="1"/>
  <c r="S326" i="33"/>
  <c r="S328" i="33" s="1"/>
  <c r="S325" i="33"/>
  <c r="S327" i="33" s="1"/>
  <c r="L325" i="33"/>
  <c r="L327" i="33" s="1"/>
  <c r="N350" i="33"/>
  <c r="N352" i="33" s="1"/>
  <c r="L87" i="35"/>
  <c r="F127" i="35"/>
  <c r="N325" i="33"/>
  <c r="N327" i="33" s="1"/>
  <c r="N349" i="33"/>
  <c r="N351" i="33" s="1"/>
  <c r="AE277" i="33"/>
  <c r="AE279" i="33" s="1"/>
  <c r="N326" i="33"/>
  <c r="N328" i="33" s="1"/>
  <c r="AA325" i="33"/>
  <c r="AA327" i="33" s="1"/>
  <c r="AA326" i="33"/>
  <c r="AA328" i="33" s="1"/>
  <c r="AE278" i="33"/>
  <c r="AE280" i="33" s="1"/>
  <c r="D160" i="35"/>
  <c r="S59" i="26"/>
  <c r="F55" i="56" l="1"/>
  <c r="E104" i="56" s="1"/>
  <c r="E106" i="13" s="1"/>
  <c r="I55" i="56"/>
  <c r="G405" i="32"/>
  <c r="G421" i="32"/>
  <c r="G423" i="32"/>
  <c r="G418" i="32"/>
  <c r="G402" i="32"/>
  <c r="G416" i="32"/>
  <c r="G400" i="32"/>
  <c r="J400" i="32" s="1"/>
  <c r="G401" i="32"/>
  <c r="G417" i="32"/>
  <c r="G403" i="32"/>
  <c r="G419" i="32"/>
  <c r="G422" i="32"/>
  <c r="G406" i="32"/>
  <c r="G420" i="32"/>
  <c r="G404" i="32"/>
  <c r="G407" i="32"/>
  <c r="G413" i="32"/>
  <c r="G399" i="32"/>
  <c r="G415" i="32"/>
  <c r="G426" i="32"/>
  <c r="G410" i="32"/>
  <c r="G424" i="32"/>
  <c r="G408" i="32"/>
  <c r="G409" i="32"/>
  <c r="G425" i="32"/>
  <c r="G411" i="32"/>
  <c r="G427" i="32"/>
  <c r="G414" i="32"/>
  <c r="G398" i="32"/>
  <c r="G412" i="32"/>
  <c r="P226" i="35" a="1"/>
  <c r="P235" i="35" s="1"/>
  <c r="J226" i="35" a="1"/>
  <c r="J243" i="35" s="1"/>
  <c r="I473" i="32"/>
  <c r="G475" i="32"/>
  <c r="D12" i="33" s="1"/>
  <c r="C12" i="33" s="1"/>
  <c r="G476" i="32"/>
  <c r="D13" i="33" s="1"/>
  <c r="C13" i="33" s="1"/>
  <c r="H476" i="33" s="1"/>
  <c r="G474" i="32"/>
  <c r="D11" i="33" s="1"/>
  <c r="C11" i="33" s="1"/>
  <c r="H474" i="33" s="1"/>
  <c r="G479" i="32"/>
  <c r="D16" i="33" s="1"/>
  <c r="C16" i="33" s="1"/>
  <c r="C75" i="33" s="1"/>
  <c r="E75" i="33" s="1"/>
  <c r="G480" i="32"/>
  <c r="D17" i="33" s="1"/>
  <c r="C17" i="33" s="1"/>
  <c r="C10" i="33"/>
  <c r="H10" i="33" s="1"/>
  <c r="G477" i="32"/>
  <c r="D14" i="33" s="1"/>
  <c r="C14" i="33" s="1"/>
  <c r="D477" i="33" s="1"/>
  <c r="G481" i="32"/>
  <c r="D18" i="33" s="1"/>
  <c r="C18" i="33" s="1"/>
  <c r="C74" i="33"/>
  <c r="E74" i="33" s="1"/>
  <c r="I74" i="33" s="1"/>
  <c r="AI343" i="33" s="1"/>
  <c r="H478" i="33"/>
  <c r="D478" i="33"/>
  <c r="C90" i="33"/>
  <c r="E90" i="33" s="1"/>
  <c r="F399" i="32"/>
  <c r="J399" i="32" s="1"/>
  <c r="F407" i="32"/>
  <c r="F415" i="32"/>
  <c r="J415" i="32" s="1"/>
  <c r="F423" i="32"/>
  <c r="F401" i="32"/>
  <c r="F409" i="32"/>
  <c r="F417" i="32"/>
  <c r="F425" i="32"/>
  <c r="J425" i="32" s="1"/>
  <c r="F422" i="32"/>
  <c r="F414" i="32"/>
  <c r="F406" i="32"/>
  <c r="F398" i="32"/>
  <c r="F420" i="32"/>
  <c r="J420" i="32" s="1"/>
  <c r="F412" i="32"/>
  <c r="J412" i="32" s="1"/>
  <c r="F404" i="32"/>
  <c r="F397" i="32"/>
  <c r="J397" i="32" s="1"/>
  <c r="AG350" i="33"/>
  <c r="AG352" i="33" s="1"/>
  <c r="I479" i="32"/>
  <c r="F403" i="32"/>
  <c r="J403" i="32" s="1"/>
  <c r="F411" i="32"/>
  <c r="F419" i="32"/>
  <c r="F427" i="32"/>
  <c r="J427" i="32" s="1"/>
  <c r="F405" i="32"/>
  <c r="F413" i="32"/>
  <c r="J413" i="32" s="1"/>
  <c r="F421" i="32"/>
  <c r="F426" i="32"/>
  <c r="J426" i="32" s="1"/>
  <c r="F418" i="32"/>
  <c r="J418" i="32" s="1"/>
  <c r="F410" i="32"/>
  <c r="F402" i="32"/>
  <c r="F424" i="32"/>
  <c r="J424" i="32" s="1"/>
  <c r="F416" i="32"/>
  <c r="J416" i="32" s="1"/>
  <c r="F408" i="32"/>
  <c r="F361" i="32" a="1"/>
  <c r="F361" i="32" s="1"/>
  <c r="I482" i="32"/>
  <c r="I480" i="32"/>
  <c r="H361" i="32" a="1"/>
  <c r="H364" i="32" s="1"/>
  <c r="E361" i="32" a="1"/>
  <c r="G361" i="32" a="1"/>
  <c r="C19" i="33"/>
  <c r="AJ40" i="17"/>
  <c r="AA59" i="17"/>
  <c r="AJ59" i="17" s="1"/>
  <c r="I475" i="32"/>
  <c r="I478" i="32"/>
  <c r="I477" i="32"/>
  <c r="I476" i="32"/>
  <c r="I474" i="32"/>
  <c r="G74" i="33"/>
  <c r="AI295" i="33" s="1"/>
  <c r="H74" i="33"/>
  <c r="AI319" i="33" s="1"/>
  <c r="C87" i="33"/>
  <c r="E87" i="33" s="1"/>
  <c r="C71" i="33"/>
  <c r="E71" i="33" s="1"/>
  <c r="D475" i="33"/>
  <c r="H475" i="33"/>
  <c r="P350" i="33"/>
  <c r="P352" i="33" s="1"/>
  <c r="P349" i="33"/>
  <c r="P351" i="33" s="1"/>
  <c r="J421" i="32"/>
  <c r="P325" i="33"/>
  <c r="P327" i="33" s="1"/>
  <c r="P326" i="33"/>
  <c r="P328" i="33" s="1"/>
  <c r="AE193" i="35"/>
  <c r="AE194" i="35"/>
  <c r="E101" i="35"/>
  <c r="E100" i="35"/>
  <c r="E99" i="35"/>
  <c r="E94" i="35"/>
  <c r="E97" i="35"/>
  <c r="AE198" i="35"/>
  <c r="T208" i="35" s="1"/>
  <c r="T209" i="35" s="1"/>
  <c r="E102" i="35"/>
  <c r="E98" i="35"/>
  <c r="E96" i="35"/>
  <c r="E95" i="35"/>
  <c r="E93" i="35"/>
  <c r="J408" i="32"/>
  <c r="J406" i="32"/>
  <c r="J423" i="32"/>
  <c r="AE191" i="35"/>
  <c r="D80" i="35"/>
  <c r="AE192" i="35"/>
  <c r="D157" i="35"/>
  <c r="G127" i="35"/>
  <c r="F157" i="35" s="1"/>
  <c r="J402" i="32"/>
  <c r="J414" i="32"/>
  <c r="J419" i="32" l="1"/>
  <c r="E109" i="56"/>
  <c r="E110" i="56"/>
  <c r="E112" i="13" s="1"/>
  <c r="J422" i="32"/>
  <c r="D474" i="33"/>
  <c r="J409" i="32"/>
  <c r="J407" i="32"/>
  <c r="H477" i="33"/>
  <c r="J401" i="32"/>
  <c r="J410" i="32"/>
  <c r="J411" i="32"/>
  <c r="J398" i="32"/>
  <c r="J405" i="32"/>
  <c r="J417" i="32"/>
  <c r="P226" i="35"/>
  <c r="P238" i="35"/>
  <c r="P233" i="35"/>
  <c r="P250" i="35"/>
  <c r="P244" i="35"/>
  <c r="P242" i="35"/>
  <c r="P237" i="35"/>
  <c r="P234" i="35"/>
  <c r="P243" i="35"/>
  <c r="P232" i="35"/>
  <c r="P247" i="35"/>
  <c r="P249" i="35"/>
  <c r="P228" i="35"/>
  <c r="P229" i="35"/>
  <c r="P246" i="35"/>
  <c r="P227" i="35"/>
  <c r="P240" i="35"/>
  <c r="P245" i="35"/>
  <c r="P231" i="35"/>
  <c r="P236" i="35"/>
  <c r="P248" i="35"/>
  <c r="P241" i="35"/>
  <c r="P230" i="35"/>
  <c r="P239" i="35"/>
  <c r="C86" i="33"/>
  <c r="E86" i="33" s="1"/>
  <c r="F86" i="33" s="1"/>
  <c r="AJ267" i="33" s="1"/>
  <c r="C73" i="33"/>
  <c r="E73" i="33" s="1"/>
  <c r="H73" i="33" s="1"/>
  <c r="AI318" i="33" s="1"/>
  <c r="AE325" i="33" s="1"/>
  <c r="AE327" i="33" s="1"/>
  <c r="C20" i="33"/>
  <c r="H48" i="33" s="1"/>
  <c r="C70" i="33"/>
  <c r="E70" i="33" s="1"/>
  <c r="F70" i="33" s="1"/>
  <c r="AI267" i="33" s="1"/>
  <c r="C89" i="33"/>
  <c r="E89" i="33" s="1"/>
  <c r="F89" i="33" s="1"/>
  <c r="AJ270" i="33" s="1"/>
  <c r="U278" i="33" s="1"/>
  <c r="U280" i="33" s="1"/>
  <c r="D473" i="33"/>
  <c r="D483" i="33" s="1"/>
  <c r="E473" i="33" s="1"/>
  <c r="D476" i="33"/>
  <c r="C69" i="33"/>
  <c r="E69" i="33" s="1"/>
  <c r="G69" i="33" s="1"/>
  <c r="AI290" i="33" s="1"/>
  <c r="Q301" i="33" s="1"/>
  <c r="Q303" i="33" s="1"/>
  <c r="C72" i="33"/>
  <c r="E72" i="33" s="1"/>
  <c r="I72" i="33" s="1"/>
  <c r="AI341" i="33" s="1"/>
  <c r="T349" i="33" s="1"/>
  <c r="T351" i="33" s="1"/>
  <c r="C88" i="33"/>
  <c r="E88" i="33" s="1"/>
  <c r="I88" i="33" s="1"/>
  <c r="AJ341" i="33" s="1"/>
  <c r="T350" i="33" s="1"/>
  <c r="T352" i="33" s="1"/>
  <c r="C85" i="33"/>
  <c r="E85" i="33" s="1"/>
  <c r="H85" i="33" s="1"/>
  <c r="AJ314" i="33" s="1"/>
  <c r="Q326" i="33" s="1"/>
  <c r="Q328" i="33" s="1"/>
  <c r="J246" i="35"/>
  <c r="J235" i="35"/>
  <c r="J245" i="35"/>
  <c r="J229" i="35"/>
  <c r="J240" i="35"/>
  <c r="J241" i="35"/>
  <c r="J230" i="35"/>
  <c r="J236" i="35"/>
  <c r="J242" i="35"/>
  <c r="J233" i="35"/>
  <c r="J238" i="35"/>
  <c r="J227" i="35"/>
  <c r="J226" i="35"/>
  <c r="J244" i="35"/>
  <c r="J249" i="35"/>
  <c r="J228" i="35"/>
  <c r="J239" i="35"/>
  <c r="J231" i="35"/>
  <c r="J237" i="35"/>
  <c r="J248" i="35"/>
  <c r="J247" i="35"/>
  <c r="J232" i="35"/>
  <c r="J250" i="35"/>
  <c r="J234" i="35"/>
  <c r="F74" i="33"/>
  <c r="AI271" i="33" s="1"/>
  <c r="K277" i="33" s="1"/>
  <c r="K279" i="33" s="1"/>
  <c r="C91" i="33"/>
  <c r="E91" i="33" s="1"/>
  <c r="I91" i="33" s="1"/>
  <c r="AJ345" i="33" s="1"/>
  <c r="G90" i="33"/>
  <c r="AJ295" i="33" s="1"/>
  <c r="H90" i="33"/>
  <c r="AJ319" i="33" s="1"/>
  <c r="F90" i="33"/>
  <c r="AJ271" i="33" s="1"/>
  <c r="I90" i="33"/>
  <c r="AJ343" i="33" s="1"/>
  <c r="AH350" i="33" s="1"/>
  <c r="AH352" i="33" s="1"/>
  <c r="AH301" i="33"/>
  <c r="AH303" i="33" s="1"/>
  <c r="N301" i="33"/>
  <c r="N303" i="33" s="1"/>
  <c r="AG325" i="33"/>
  <c r="AG327" i="33" s="1"/>
  <c r="AH325" i="33"/>
  <c r="AH327" i="33" s="1"/>
  <c r="AG349" i="33"/>
  <c r="AG351" i="33" s="1"/>
  <c r="AH349" i="33"/>
  <c r="AH351" i="33" s="1"/>
  <c r="H361" i="32"/>
  <c r="F390" i="32"/>
  <c r="F387" i="32"/>
  <c r="F388" i="32"/>
  <c r="H389" i="32"/>
  <c r="F391" i="32"/>
  <c r="F377" i="32"/>
  <c r="F374" i="32"/>
  <c r="F372" i="32"/>
  <c r="H387" i="32"/>
  <c r="H366" i="32"/>
  <c r="F375" i="32"/>
  <c r="F371" i="32"/>
  <c r="F369" i="32"/>
  <c r="F385" i="32"/>
  <c r="F382" i="32"/>
  <c r="F366" i="32"/>
  <c r="F380" i="32"/>
  <c r="F364" i="32"/>
  <c r="H371" i="32"/>
  <c r="H373" i="32"/>
  <c r="H362" i="32"/>
  <c r="H376" i="32"/>
  <c r="F367" i="32"/>
  <c r="F383" i="32"/>
  <c r="F363" i="32"/>
  <c r="F379" i="32"/>
  <c r="F365" i="32"/>
  <c r="F373" i="32"/>
  <c r="F381" i="32"/>
  <c r="F389" i="32"/>
  <c r="F386" i="32"/>
  <c r="F378" i="32"/>
  <c r="F370" i="32"/>
  <c r="F362" i="32"/>
  <c r="F384" i="32"/>
  <c r="F376" i="32"/>
  <c r="F368" i="32"/>
  <c r="H12" i="33"/>
  <c r="H49" i="33" s="1"/>
  <c r="H363" i="32"/>
  <c r="H379" i="32"/>
  <c r="H365" i="32"/>
  <c r="H381" i="32"/>
  <c r="H378" i="32"/>
  <c r="H382" i="32"/>
  <c r="H384" i="32"/>
  <c r="H368" i="32"/>
  <c r="H367" i="32"/>
  <c r="H375" i="32"/>
  <c r="H383" i="32"/>
  <c r="H391" i="32"/>
  <c r="H369" i="32"/>
  <c r="H377" i="32"/>
  <c r="H385" i="32"/>
  <c r="H386" i="32"/>
  <c r="H370" i="32"/>
  <c r="H390" i="32"/>
  <c r="H374" i="32"/>
  <c r="H388" i="32"/>
  <c r="H380" i="32"/>
  <c r="H372" i="32"/>
  <c r="G361" i="32"/>
  <c r="G364" i="32"/>
  <c r="G368" i="32"/>
  <c r="G372" i="32"/>
  <c r="G376" i="32"/>
  <c r="G380" i="32"/>
  <c r="G384" i="32"/>
  <c r="G388" i="32"/>
  <c r="G362" i="32"/>
  <c r="G366" i="32"/>
  <c r="G370" i="32"/>
  <c r="G374" i="32"/>
  <c r="G378" i="32"/>
  <c r="G382" i="32"/>
  <c r="G386" i="32"/>
  <c r="G390" i="32"/>
  <c r="G391" i="32"/>
  <c r="G387" i="32"/>
  <c r="G383" i="32"/>
  <c r="G379" i="32"/>
  <c r="G375" i="32"/>
  <c r="G371" i="32"/>
  <c r="G367" i="32"/>
  <c r="G363" i="32"/>
  <c r="G389" i="32"/>
  <c r="G381" i="32"/>
  <c r="G373" i="32"/>
  <c r="G365" i="32"/>
  <c r="G385" i="32"/>
  <c r="G377" i="32"/>
  <c r="G369" i="32"/>
  <c r="E361" i="32"/>
  <c r="E364" i="32"/>
  <c r="E368" i="32"/>
  <c r="J368" i="32" s="1"/>
  <c r="E372" i="32"/>
  <c r="J372" i="32" s="1"/>
  <c r="J447" i="32" s="1"/>
  <c r="E376" i="32"/>
  <c r="E380" i="32"/>
  <c r="E384" i="32"/>
  <c r="E388" i="32"/>
  <c r="E362" i="32"/>
  <c r="E366" i="32"/>
  <c r="J366" i="32" s="1"/>
  <c r="J440" i="32" s="1"/>
  <c r="E370" i="32"/>
  <c r="J370" i="32" s="1"/>
  <c r="J445" i="32" s="1"/>
  <c r="E374" i="32"/>
  <c r="E378" i="32"/>
  <c r="J378" i="32" s="1"/>
  <c r="J453" i="32" s="1"/>
  <c r="E382" i="32"/>
  <c r="E386" i="32"/>
  <c r="E390" i="32"/>
  <c r="E391" i="32"/>
  <c r="E387" i="32"/>
  <c r="E383" i="32"/>
  <c r="E379" i="32"/>
  <c r="E375" i="32"/>
  <c r="E371" i="32"/>
  <c r="E367" i="32"/>
  <c r="E363" i="32"/>
  <c r="E389" i="32"/>
  <c r="E385" i="32"/>
  <c r="J385" i="32" s="1"/>
  <c r="J460" i="32" s="1"/>
  <c r="E381" i="32"/>
  <c r="E377" i="32"/>
  <c r="E373" i="32"/>
  <c r="E369" i="32"/>
  <c r="E365" i="32"/>
  <c r="G71" i="33"/>
  <c r="AI292" i="33" s="1"/>
  <c r="J301" i="33" s="1"/>
  <c r="J303" i="33" s="1"/>
  <c r="I71" i="33"/>
  <c r="AI340" i="33" s="1"/>
  <c r="H71" i="33"/>
  <c r="AI316" i="33" s="1"/>
  <c r="I75" i="33"/>
  <c r="AI345" i="33" s="1"/>
  <c r="H75" i="33"/>
  <c r="AI321" i="33" s="1"/>
  <c r="J325" i="33" s="1"/>
  <c r="J327" i="33" s="1"/>
  <c r="G75" i="33"/>
  <c r="AI297" i="33" s="1"/>
  <c r="F75" i="33"/>
  <c r="AI273" i="33" s="1"/>
  <c r="C78" i="33"/>
  <c r="E78" i="33" s="1"/>
  <c r="C94" i="33"/>
  <c r="E94" i="33" s="1"/>
  <c r="H87" i="33"/>
  <c r="AJ316" i="33" s="1"/>
  <c r="G87" i="33"/>
  <c r="AJ292" i="33" s="1"/>
  <c r="J302" i="33" s="1"/>
  <c r="J304" i="33" s="1"/>
  <c r="I87" i="33"/>
  <c r="AJ340" i="33" s="1"/>
  <c r="C93" i="33"/>
  <c r="E93" i="33" s="1"/>
  <c r="C77" i="33"/>
  <c r="E77" i="33" s="1"/>
  <c r="AK61" i="17"/>
  <c r="AK62" i="17"/>
  <c r="AK69" i="17"/>
  <c r="C76" i="33"/>
  <c r="E76" i="33" s="1"/>
  <c r="C92" i="33"/>
  <c r="E92" i="33" s="1"/>
  <c r="Y208" i="35"/>
  <c r="Y209" i="35" s="1"/>
  <c r="U208" i="35"/>
  <c r="U209" i="35" s="1"/>
  <c r="L208" i="35"/>
  <c r="L209" i="35" s="1"/>
  <c r="S208" i="35"/>
  <c r="S209" i="35" s="1"/>
  <c r="Q208" i="35"/>
  <c r="Q209" i="35" s="1"/>
  <c r="R208" i="35"/>
  <c r="R209" i="35" s="1"/>
  <c r="AA208" i="35"/>
  <c r="AA209" i="35" s="1"/>
  <c r="W208" i="35"/>
  <c r="W209" i="35" s="1"/>
  <c r="AB208" i="35"/>
  <c r="AB209" i="35" s="1"/>
  <c r="Z208" i="35"/>
  <c r="Z209" i="35" s="1"/>
  <c r="X208" i="35"/>
  <c r="X209" i="35" s="1"/>
  <c r="V208" i="35"/>
  <c r="V209" i="35" s="1"/>
  <c r="P208" i="35"/>
  <c r="P209" i="35" s="1"/>
  <c r="H76" i="35"/>
  <c r="H75" i="35"/>
  <c r="H74" i="35"/>
  <c r="F121" i="35"/>
  <c r="C80" i="35"/>
  <c r="F95" i="35"/>
  <c r="G95" i="35"/>
  <c r="H95" i="35"/>
  <c r="H98" i="35"/>
  <c r="G98" i="35"/>
  <c r="F98" i="35"/>
  <c r="AB210" i="35"/>
  <c r="P205" i="35"/>
  <c r="X205" i="35"/>
  <c r="S210" i="35"/>
  <c r="AA210" i="35"/>
  <c r="W205" i="35"/>
  <c r="P210" i="35"/>
  <c r="X210" i="35"/>
  <c r="V205" i="35"/>
  <c r="Q210" i="35"/>
  <c r="S205" i="35"/>
  <c r="L210" i="35"/>
  <c r="V210" i="35"/>
  <c r="L205" i="35"/>
  <c r="T205" i="35"/>
  <c r="AB205" i="35"/>
  <c r="W210" i="35"/>
  <c r="Q205" i="35"/>
  <c r="AA205" i="35"/>
  <c r="T210" i="35"/>
  <c r="R205" i="35"/>
  <c r="Z205" i="35"/>
  <c r="Y210" i="35"/>
  <c r="Y205" i="35"/>
  <c r="R210" i="35"/>
  <c r="Z210" i="35"/>
  <c r="H94" i="35"/>
  <c r="F94" i="35"/>
  <c r="G94" i="35"/>
  <c r="H100" i="35"/>
  <c r="F100" i="35"/>
  <c r="G100" i="35"/>
  <c r="F80" i="35"/>
  <c r="H73" i="35"/>
  <c r="G80" i="35"/>
  <c r="F93" i="35"/>
  <c r="E103" i="35"/>
  <c r="G93" i="35"/>
  <c r="H93" i="35"/>
  <c r="G96" i="35"/>
  <c r="F96" i="35"/>
  <c r="H96" i="35"/>
  <c r="H102" i="35"/>
  <c r="F102" i="35"/>
  <c r="G102" i="35"/>
  <c r="G97" i="35"/>
  <c r="H97" i="35"/>
  <c r="F97" i="35"/>
  <c r="F99" i="35"/>
  <c r="H99" i="35"/>
  <c r="G99" i="35"/>
  <c r="G101" i="35"/>
  <c r="H101" i="35"/>
  <c r="F101" i="35"/>
  <c r="F123" i="35"/>
  <c r="F122" i="35"/>
  <c r="F69" i="33" l="1"/>
  <c r="AI266" i="33" s="1"/>
  <c r="Q277" i="33" s="1"/>
  <c r="Q279" i="33" s="1"/>
  <c r="E111" i="13"/>
  <c r="E113" i="13" s="1"/>
  <c r="E111" i="56"/>
  <c r="G73" i="33"/>
  <c r="AI294" i="33" s="1"/>
  <c r="U301" i="33" s="1"/>
  <c r="U303" i="33" s="1"/>
  <c r="I89" i="33"/>
  <c r="AJ342" i="33" s="1"/>
  <c r="AE350" i="33" s="1"/>
  <c r="AE352" i="33" s="1"/>
  <c r="F73" i="33"/>
  <c r="AI270" i="33" s="1"/>
  <c r="U277" i="33" s="1"/>
  <c r="U279" i="33" s="1"/>
  <c r="F72" i="33"/>
  <c r="AI269" i="33" s="1"/>
  <c r="T277" i="33" s="1"/>
  <c r="T279" i="33" s="1"/>
  <c r="H86" i="33"/>
  <c r="AJ315" i="33" s="1"/>
  <c r="M326" i="33" s="1"/>
  <c r="M328" i="33" s="1"/>
  <c r="H72" i="33"/>
  <c r="AI317" i="33" s="1"/>
  <c r="T325" i="33" s="1"/>
  <c r="T327" i="33" s="1"/>
  <c r="G86" i="33"/>
  <c r="AJ291" i="33" s="1"/>
  <c r="M302" i="33" s="1"/>
  <c r="M304" i="33" s="1"/>
  <c r="I73" i="33"/>
  <c r="AI342" i="33" s="1"/>
  <c r="AE349" i="33" s="1"/>
  <c r="AE351" i="33" s="1"/>
  <c r="G89" i="33"/>
  <c r="AJ294" i="33" s="1"/>
  <c r="U302" i="33" s="1"/>
  <c r="U304" i="33" s="1"/>
  <c r="J388" i="32"/>
  <c r="J463" i="32" s="1"/>
  <c r="E476" i="33"/>
  <c r="H91" i="33"/>
  <c r="AJ321" i="33" s="1"/>
  <c r="J326" i="33" s="1"/>
  <c r="J328" i="33" s="1"/>
  <c r="I86" i="33"/>
  <c r="AJ339" i="33" s="1"/>
  <c r="M350" i="33" s="1"/>
  <c r="M352" i="33" s="1"/>
  <c r="H89" i="33"/>
  <c r="AJ318" i="33" s="1"/>
  <c r="AE326" i="33" s="1"/>
  <c r="AE328" i="33" s="1"/>
  <c r="G72" i="33"/>
  <c r="AI293" i="33" s="1"/>
  <c r="V301" i="33" s="1"/>
  <c r="V303" i="33" s="1"/>
  <c r="I70" i="33"/>
  <c r="AI339" i="33" s="1"/>
  <c r="M349" i="33" s="1"/>
  <c r="M351" i="33" s="1"/>
  <c r="H69" i="33"/>
  <c r="AI314" i="33" s="1"/>
  <c r="Q325" i="33" s="1"/>
  <c r="Q327" i="33" s="1"/>
  <c r="H70" i="33"/>
  <c r="AI315" i="33" s="1"/>
  <c r="M325" i="33" s="1"/>
  <c r="M327" i="33" s="1"/>
  <c r="F85" i="33"/>
  <c r="AJ266" i="33" s="1"/>
  <c r="Q278" i="33" s="1"/>
  <c r="Q280" i="33" s="1"/>
  <c r="O277" i="33"/>
  <c r="O279" i="33" s="1"/>
  <c r="G70" i="33"/>
  <c r="AI291" i="33" s="1"/>
  <c r="M301" i="33" s="1"/>
  <c r="M303" i="33" s="1"/>
  <c r="I85" i="33"/>
  <c r="AJ338" i="33" s="1"/>
  <c r="Q350" i="33" s="1"/>
  <c r="Q352" i="33" s="1"/>
  <c r="I69" i="33"/>
  <c r="AI338" i="33" s="1"/>
  <c r="Q349" i="33" s="1"/>
  <c r="Q351" i="33" s="1"/>
  <c r="H11" i="33"/>
  <c r="E475" i="33"/>
  <c r="G85" i="33"/>
  <c r="AJ290" i="33" s="1"/>
  <c r="Q302" i="33" s="1"/>
  <c r="Q304" i="33" s="1"/>
  <c r="K402" i="32"/>
  <c r="L402" i="32" s="1"/>
  <c r="K440" i="32" s="1"/>
  <c r="L440" i="32" s="1"/>
  <c r="E474" i="33"/>
  <c r="F88" i="33"/>
  <c r="AJ269" i="33" s="1"/>
  <c r="T278" i="33" s="1"/>
  <c r="T280" i="33" s="1"/>
  <c r="E478" i="33"/>
  <c r="E477" i="33"/>
  <c r="H13" i="33"/>
  <c r="H50" i="33"/>
  <c r="L50" i="33" s="1"/>
  <c r="D54" i="33" s="1"/>
  <c r="I54" i="33" s="1"/>
  <c r="D76" i="33" s="1"/>
  <c r="G88" i="33"/>
  <c r="AJ293" i="33" s="1"/>
  <c r="T302" i="33" s="1"/>
  <c r="T304" i="33" s="1"/>
  <c r="H88" i="33"/>
  <c r="AJ317" i="33" s="1"/>
  <c r="T326" i="33" s="1"/>
  <c r="T328" i="33" s="1"/>
  <c r="F91" i="33"/>
  <c r="AJ273" i="33" s="1"/>
  <c r="K408" i="32"/>
  <c r="L408" i="32" s="1"/>
  <c r="K447" i="32" s="1"/>
  <c r="L447" i="32" s="1"/>
  <c r="G91" i="33"/>
  <c r="AJ297" i="33" s="1"/>
  <c r="V302" i="33" s="1"/>
  <c r="V304" i="33" s="1"/>
  <c r="J389" i="32"/>
  <c r="J464" i="32" s="1"/>
  <c r="J391" i="32"/>
  <c r="AG326" i="33"/>
  <c r="AG328" i="33" s="1"/>
  <c r="AH326" i="33"/>
  <c r="AH328" i="33" s="1"/>
  <c r="O278" i="33"/>
  <c r="O280" i="33" s="1"/>
  <c r="K278" i="33"/>
  <c r="K280" i="33" s="1"/>
  <c r="AH302" i="33"/>
  <c r="AH304" i="33" s="1"/>
  <c r="N302" i="33"/>
  <c r="N304" i="33" s="1"/>
  <c r="J381" i="32"/>
  <c r="J456" i="32" s="1"/>
  <c r="J363" i="32"/>
  <c r="J437" i="32" s="1"/>
  <c r="J377" i="32"/>
  <c r="J452" i="32" s="1"/>
  <c r="J361" i="32"/>
  <c r="J435" i="32" s="1"/>
  <c r="J365" i="32"/>
  <c r="J439" i="32" s="1"/>
  <c r="J376" i="32"/>
  <c r="J451" i="32" s="1"/>
  <c r="J375" i="32"/>
  <c r="J450" i="32" s="1"/>
  <c r="J383" i="32"/>
  <c r="J458" i="32" s="1"/>
  <c r="J379" i="32"/>
  <c r="K415" i="32" s="1"/>
  <c r="L415" i="32" s="1"/>
  <c r="K454" i="32" s="1"/>
  <c r="J374" i="32"/>
  <c r="J449" i="32" s="1"/>
  <c r="J380" i="32"/>
  <c r="K416" i="32" s="1"/>
  <c r="L416" i="32" s="1"/>
  <c r="K455" i="32" s="1"/>
  <c r="J373" i="32"/>
  <c r="J448" i="32" s="1"/>
  <c r="J367" i="32"/>
  <c r="J441" i="32" s="1"/>
  <c r="J362" i="32"/>
  <c r="K398" i="32" s="1"/>
  <c r="L398" i="32" s="1"/>
  <c r="K436" i="32" s="1"/>
  <c r="J384" i="32"/>
  <c r="J459" i="32" s="1"/>
  <c r="J371" i="32"/>
  <c r="K407" i="32" s="1"/>
  <c r="L407" i="32" s="1"/>
  <c r="K446" i="32" s="1"/>
  <c r="J390" i="32"/>
  <c r="J465" i="32" s="1"/>
  <c r="J364" i="32"/>
  <c r="K400" i="32" s="1"/>
  <c r="L400" i="32" s="1"/>
  <c r="K438" i="32" s="1"/>
  <c r="J369" i="32"/>
  <c r="J444" i="32" s="1"/>
  <c r="J382" i="32"/>
  <c r="J457" i="32" s="1"/>
  <c r="W325" i="33"/>
  <c r="W327" i="33" s="1"/>
  <c r="M277" i="33"/>
  <c r="M279" i="33" s="1"/>
  <c r="W277" i="33"/>
  <c r="W279" i="33" s="1"/>
  <c r="W302" i="33"/>
  <c r="W304" i="33" s="1"/>
  <c r="W326" i="33"/>
  <c r="W328" i="33" s="1"/>
  <c r="W301" i="33"/>
  <c r="W303" i="33" s="1"/>
  <c r="W349" i="33"/>
  <c r="W351" i="33" s="1"/>
  <c r="W350" i="33"/>
  <c r="W352" i="33" s="1"/>
  <c r="M278" i="33"/>
  <c r="M280" i="33" s="1"/>
  <c r="W278" i="33"/>
  <c r="W280" i="33" s="1"/>
  <c r="K406" i="32"/>
  <c r="L406" i="32" s="1"/>
  <c r="K445" i="32" s="1"/>
  <c r="L445" i="32" s="1"/>
  <c r="J442" i="32"/>
  <c r="K404" i="32"/>
  <c r="L404" i="32" s="1"/>
  <c r="K442" i="32" s="1"/>
  <c r="J386" i="32"/>
  <c r="J387" i="32"/>
  <c r="J462" i="32" s="1"/>
  <c r="V325" i="33"/>
  <c r="V327" i="33" s="1"/>
  <c r="AD325" i="33"/>
  <c r="AD327" i="33" s="1"/>
  <c r="I278" i="33"/>
  <c r="I280" i="33" s="1"/>
  <c r="V278" i="33"/>
  <c r="V280" i="33" s="1"/>
  <c r="V277" i="33"/>
  <c r="V279" i="33" s="1"/>
  <c r="U349" i="33"/>
  <c r="U351" i="33" s="1"/>
  <c r="AD349" i="33"/>
  <c r="AD351" i="33" s="1"/>
  <c r="U350" i="33"/>
  <c r="U352" i="33" s="1"/>
  <c r="AD350" i="33"/>
  <c r="AD352" i="33" s="1"/>
  <c r="AD326" i="33"/>
  <c r="AD328" i="33" s="1"/>
  <c r="K421" i="32"/>
  <c r="AK65" i="17"/>
  <c r="AK71" i="17" s="1"/>
  <c r="K414" i="32"/>
  <c r="L414" i="32" s="1"/>
  <c r="K453" i="32" s="1"/>
  <c r="L453" i="32" s="1"/>
  <c r="H92" i="33"/>
  <c r="AJ322" i="33" s="1"/>
  <c r="F92" i="33"/>
  <c r="AJ274" i="33" s="1"/>
  <c r="G92" i="33"/>
  <c r="AJ298" i="33" s="1"/>
  <c r="I92" i="33"/>
  <c r="AJ346" i="33" s="1"/>
  <c r="X350" i="33" s="1"/>
  <c r="X352" i="33" s="1"/>
  <c r="F93" i="33"/>
  <c r="AJ275" i="33" s="1"/>
  <c r="I93" i="33"/>
  <c r="AJ347" i="33" s="1"/>
  <c r="H93" i="33"/>
  <c r="AJ323" i="33" s="1"/>
  <c r="G93" i="33"/>
  <c r="AJ299" i="33" s="1"/>
  <c r="AF302" i="33"/>
  <c r="AF304" i="33" s="1"/>
  <c r="O302" i="33"/>
  <c r="O304" i="33" s="1"/>
  <c r="H94" i="33"/>
  <c r="AJ324" i="33" s="1"/>
  <c r="F94" i="33"/>
  <c r="AJ276" i="33" s="1"/>
  <c r="I94" i="33"/>
  <c r="AJ348" i="33" s="1"/>
  <c r="G94" i="33"/>
  <c r="AJ300" i="33" s="1"/>
  <c r="O325" i="33"/>
  <c r="O327" i="33" s="1"/>
  <c r="AF325" i="33"/>
  <c r="AF327" i="33" s="1"/>
  <c r="AF301" i="33"/>
  <c r="AF303" i="33" s="1"/>
  <c r="O301" i="33"/>
  <c r="O303" i="33" s="1"/>
  <c r="F76" i="33"/>
  <c r="AI274" i="33" s="1"/>
  <c r="H76" i="33"/>
  <c r="AI322" i="33" s="1"/>
  <c r="I76" i="33"/>
  <c r="AI346" i="33" s="1"/>
  <c r="X349" i="33" s="1"/>
  <c r="X351" i="33" s="1"/>
  <c r="G76" i="33"/>
  <c r="AI298" i="33" s="1"/>
  <c r="G77" i="33"/>
  <c r="AI299" i="33" s="1"/>
  <c r="H77" i="33"/>
  <c r="AI323" i="33" s="1"/>
  <c r="F77" i="33"/>
  <c r="AI275" i="33" s="1"/>
  <c r="I77" i="33"/>
  <c r="AI347" i="33" s="1"/>
  <c r="O350" i="33"/>
  <c r="O352" i="33" s="1"/>
  <c r="AF350" i="33"/>
  <c r="AF352" i="33" s="1"/>
  <c r="O326" i="33"/>
  <c r="O328" i="33" s="1"/>
  <c r="AF326" i="33"/>
  <c r="AF328" i="33" s="1"/>
  <c r="H78" i="33"/>
  <c r="AI324" i="33" s="1"/>
  <c r="G78" i="33"/>
  <c r="AI300" i="33" s="1"/>
  <c r="F78" i="33"/>
  <c r="AI276" i="33" s="1"/>
  <c r="I78" i="33"/>
  <c r="AI348" i="33" s="1"/>
  <c r="O349" i="33"/>
  <c r="O351" i="33" s="1"/>
  <c r="AF349" i="33"/>
  <c r="AF351" i="33" s="1"/>
  <c r="Y212" i="35"/>
  <c r="F119" i="35"/>
  <c r="F117" i="35"/>
  <c r="F113" i="35"/>
  <c r="F114" i="35"/>
  <c r="F112" i="35"/>
  <c r="F110" i="35"/>
  <c r="G110" i="35" s="1"/>
  <c r="F111" i="35"/>
  <c r="F118" i="35"/>
  <c r="F116" i="35"/>
  <c r="F115" i="35"/>
  <c r="Y211" i="35"/>
  <c r="E75" i="35"/>
  <c r="E77" i="35"/>
  <c r="E78" i="35"/>
  <c r="E79" i="35"/>
  <c r="E76" i="35"/>
  <c r="I96" i="35"/>
  <c r="I101" i="35"/>
  <c r="I95" i="35"/>
  <c r="I93" i="35"/>
  <c r="I97" i="35"/>
  <c r="D152" i="35"/>
  <c r="G122" i="35"/>
  <c r="F152" i="35" s="1"/>
  <c r="H152" i="35"/>
  <c r="S212" i="35"/>
  <c r="S211" i="35"/>
  <c r="Z212" i="35"/>
  <c r="Z211" i="35"/>
  <c r="Y206" i="35"/>
  <c r="Y207" i="35"/>
  <c r="Z206" i="35"/>
  <c r="Z207" i="35"/>
  <c r="T211" i="35"/>
  <c r="T212" i="35"/>
  <c r="Q206" i="35"/>
  <c r="Q207" i="35"/>
  <c r="AB207" i="35"/>
  <c r="AB206" i="35"/>
  <c r="L206" i="35"/>
  <c r="L207" i="35"/>
  <c r="X211" i="35"/>
  <c r="X212" i="35"/>
  <c r="W207" i="35"/>
  <c r="W206" i="35"/>
  <c r="P207" i="35"/>
  <c r="P206" i="35"/>
  <c r="U212" i="35"/>
  <c r="U211" i="35"/>
  <c r="H140" i="35"/>
  <c r="I99" i="35"/>
  <c r="F103" i="35"/>
  <c r="I100" i="35"/>
  <c r="I98" i="35"/>
  <c r="E74" i="35"/>
  <c r="D153" i="35"/>
  <c r="H153" i="35"/>
  <c r="G123" i="35"/>
  <c r="F153" i="35" s="1"/>
  <c r="Q212" i="35"/>
  <c r="Q211" i="35"/>
  <c r="R212" i="35"/>
  <c r="R211" i="35"/>
  <c r="R206" i="35"/>
  <c r="R207" i="35"/>
  <c r="AA207" i="35"/>
  <c r="AA206" i="35"/>
  <c r="W211" i="35"/>
  <c r="W212" i="35"/>
  <c r="T207" i="35"/>
  <c r="T206" i="35"/>
  <c r="V212" i="35"/>
  <c r="V211" i="35"/>
  <c r="S207" i="35"/>
  <c r="S206" i="35"/>
  <c r="V206" i="35"/>
  <c r="V207" i="35"/>
  <c r="P211" i="35"/>
  <c r="P212" i="35"/>
  <c r="AA211" i="35"/>
  <c r="AA212" i="35"/>
  <c r="X207" i="35"/>
  <c r="X206" i="35"/>
  <c r="AB211" i="35"/>
  <c r="AB212" i="35"/>
  <c r="L211" i="35"/>
  <c r="L212" i="35"/>
  <c r="H150" i="35"/>
  <c r="G120" i="35"/>
  <c r="F150" i="35" s="1"/>
  <c r="D150" i="35"/>
  <c r="H151" i="35"/>
  <c r="G121" i="35"/>
  <c r="F151" i="35" s="1"/>
  <c r="D151" i="35"/>
  <c r="I102" i="35"/>
  <c r="I94" i="35"/>
  <c r="E73" i="35"/>
  <c r="K302" i="33" l="1"/>
  <c r="K304" i="33" s="1"/>
  <c r="T301" i="33"/>
  <c r="T303" i="33" s="1"/>
  <c r="K301" i="33"/>
  <c r="K303" i="33" s="1"/>
  <c r="I301" i="33"/>
  <c r="I303" i="33" s="1"/>
  <c r="AE302" i="33"/>
  <c r="AE304" i="33" s="1"/>
  <c r="AE301" i="33"/>
  <c r="AE303" i="33" s="1"/>
  <c r="V350" i="33"/>
  <c r="V352" i="33" s="1"/>
  <c r="V349" i="33"/>
  <c r="V351" i="33" s="1"/>
  <c r="I277" i="33"/>
  <c r="I279" i="33" s="1"/>
  <c r="V326" i="33"/>
  <c r="V328" i="33" s="1"/>
  <c r="I302" i="33"/>
  <c r="I304" i="33" s="1"/>
  <c r="K424" i="32"/>
  <c r="L424" i="32" s="1"/>
  <c r="K463" i="32" s="1"/>
  <c r="L463" i="32" s="1"/>
  <c r="J54" i="33"/>
  <c r="D92" i="33" s="1"/>
  <c r="K403" i="32"/>
  <c r="L403" i="32" s="1"/>
  <c r="K441" i="32" s="1"/>
  <c r="L441" i="32" s="1"/>
  <c r="D56" i="33"/>
  <c r="I56" i="33" s="1"/>
  <c r="D78" i="33" s="1"/>
  <c r="K423" i="32"/>
  <c r="L423" i="32" s="1"/>
  <c r="K462" i="32" s="1"/>
  <c r="L462" i="32" s="1"/>
  <c r="D53" i="33"/>
  <c r="E54" i="33"/>
  <c r="F480" i="33" s="1"/>
  <c r="D55" i="33"/>
  <c r="K399" i="32"/>
  <c r="L399" i="32" s="1"/>
  <c r="K437" i="32" s="1"/>
  <c r="L437" i="32" s="1"/>
  <c r="Y218" i="35"/>
  <c r="K425" i="32"/>
  <c r="L425" i="32" s="1"/>
  <c r="K464" i="32" s="1"/>
  <c r="L464" i="32" s="1"/>
  <c r="J466" i="32"/>
  <c r="K427" i="32"/>
  <c r="L427" i="32" s="1"/>
  <c r="K466" i="32" s="1"/>
  <c r="J436" i="32"/>
  <c r="L436" i="32" s="1"/>
  <c r="K405" i="32"/>
  <c r="L405" i="32" s="1"/>
  <c r="K444" i="32" s="1"/>
  <c r="L444" i="32" s="1"/>
  <c r="K397" i="32"/>
  <c r="L397" i="32" s="1"/>
  <c r="K435" i="32" s="1"/>
  <c r="L435" i="32" s="1"/>
  <c r="K420" i="32"/>
  <c r="L420" i="32" s="1"/>
  <c r="K459" i="32" s="1"/>
  <c r="L459" i="32" s="1"/>
  <c r="K410" i="32"/>
  <c r="L410" i="32" s="1"/>
  <c r="K449" i="32" s="1"/>
  <c r="L449" i="32" s="1"/>
  <c r="K412" i="32"/>
  <c r="L412" i="32" s="1"/>
  <c r="K451" i="32" s="1"/>
  <c r="L451" i="32" s="1"/>
  <c r="K413" i="32"/>
  <c r="L413" i="32" s="1"/>
  <c r="K452" i="32" s="1"/>
  <c r="L452" i="32" s="1"/>
  <c r="J455" i="32"/>
  <c r="L455" i="32" s="1"/>
  <c r="K417" i="32"/>
  <c r="L417" i="32" s="1"/>
  <c r="K456" i="32" s="1"/>
  <c r="L456" i="32" s="1"/>
  <c r="J454" i="32"/>
  <c r="L454" i="32" s="1"/>
  <c r="K401" i="32"/>
  <c r="L401" i="32" s="1"/>
  <c r="K439" i="32" s="1"/>
  <c r="L439" i="32" s="1"/>
  <c r="K411" i="32"/>
  <c r="L411" i="32" s="1"/>
  <c r="K450" i="32" s="1"/>
  <c r="L450" i="32" s="1"/>
  <c r="K418" i="32"/>
  <c r="L418" i="32" s="1"/>
  <c r="K457" i="32" s="1"/>
  <c r="L457" i="32" s="1"/>
  <c r="J438" i="32"/>
  <c r="L438" i="32" s="1"/>
  <c r="K419" i="32"/>
  <c r="L419" i="32" s="1"/>
  <c r="K458" i="32" s="1"/>
  <c r="L458" i="32" s="1"/>
  <c r="J446" i="32"/>
  <c r="L446" i="32" s="1"/>
  <c r="K409" i="32"/>
  <c r="L409" i="32" s="1"/>
  <c r="K448" i="32" s="1"/>
  <c r="L448" i="32" s="1"/>
  <c r="K426" i="32"/>
  <c r="L426" i="32" s="1"/>
  <c r="K465" i="32" s="1"/>
  <c r="L465" i="32" s="1"/>
  <c r="S217" i="35"/>
  <c r="L421" i="32"/>
  <c r="K460" i="32" s="1"/>
  <c r="L460" i="32" s="1"/>
  <c r="L442" i="32"/>
  <c r="D480" i="33"/>
  <c r="E480" i="33" s="1"/>
  <c r="J461" i="32"/>
  <c r="K422" i="32"/>
  <c r="AA349" i="33"/>
  <c r="AA351" i="33" s="1"/>
  <c r="AC349" i="33"/>
  <c r="AC351" i="33" s="1"/>
  <c r="AB301" i="33"/>
  <c r="AB303" i="33" s="1"/>
  <c r="H301" i="33"/>
  <c r="H303" i="33" s="1"/>
  <c r="AA350" i="33"/>
  <c r="AA352" i="33" s="1"/>
  <c r="AC350" i="33"/>
  <c r="AC352" i="33" s="1"/>
  <c r="AB326" i="33"/>
  <c r="AB328" i="33" s="1"/>
  <c r="H326" i="33"/>
  <c r="H328" i="33" s="1"/>
  <c r="H277" i="33"/>
  <c r="H279" i="33" s="1"/>
  <c r="AB277" i="33"/>
  <c r="AB279" i="33" s="1"/>
  <c r="AB325" i="33"/>
  <c r="AB327" i="33" s="1"/>
  <c r="H325" i="33"/>
  <c r="H327" i="33" s="1"/>
  <c r="AB302" i="33"/>
  <c r="AB304" i="33" s="1"/>
  <c r="H302" i="33"/>
  <c r="H304" i="33" s="1"/>
  <c r="AB278" i="33"/>
  <c r="AB280" i="33" s="1"/>
  <c r="H278" i="33"/>
  <c r="H280" i="33" s="1"/>
  <c r="Y217" i="35"/>
  <c r="S218" i="35"/>
  <c r="X217" i="35"/>
  <c r="T217" i="35"/>
  <c r="X218" i="35"/>
  <c r="T218" i="35"/>
  <c r="Z218" i="35"/>
  <c r="M226" i="35" a="1"/>
  <c r="M249" i="35" s="1"/>
  <c r="S226" i="35" a="1"/>
  <c r="S244" i="35" s="1"/>
  <c r="Z217" i="35"/>
  <c r="V217" i="35"/>
  <c r="R217" i="35"/>
  <c r="AF182" i="35"/>
  <c r="G111" i="35"/>
  <c r="F141" i="35" s="1"/>
  <c r="AF188" i="35"/>
  <c r="G117" i="35"/>
  <c r="F147" i="35" s="1"/>
  <c r="AF184" i="35"/>
  <c r="G113" i="35"/>
  <c r="F143" i="35" s="1"/>
  <c r="AF181" i="35"/>
  <c r="AF190" i="35"/>
  <c r="G119" i="35"/>
  <c r="F149" i="35" s="1"/>
  <c r="Q226" i="35" a="1"/>
  <c r="AA218" i="35"/>
  <c r="P217" i="35"/>
  <c r="W217" i="35"/>
  <c r="AB217" i="35"/>
  <c r="I154" i="35"/>
  <c r="AF186" i="35"/>
  <c r="G115" i="35"/>
  <c r="F145" i="35" s="1"/>
  <c r="AF189" i="35"/>
  <c r="G118" i="35"/>
  <c r="F148" i="35" s="1"/>
  <c r="AF187" i="35"/>
  <c r="G116" i="35"/>
  <c r="F146" i="35" s="1"/>
  <c r="AF183" i="35"/>
  <c r="G112" i="35"/>
  <c r="F142" i="35" s="1"/>
  <c r="AF185" i="35"/>
  <c r="G114" i="35"/>
  <c r="F144" i="35" s="1"/>
  <c r="K226" i="35" a="1"/>
  <c r="V218" i="35"/>
  <c r="AA217" i="35"/>
  <c r="R218" i="35"/>
  <c r="P218" i="35"/>
  <c r="W218" i="35"/>
  <c r="AB218" i="35"/>
  <c r="J56" i="33" l="1"/>
  <c r="K56" i="33" s="1"/>
  <c r="E56" i="33"/>
  <c r="F482" i="33" s="1"/>
  <c r="K54" i="33"/>
  <c r="H480" i="33"/>
  <c r="D57" i="33"/>
  <c r="E53" i="33"/>
  <c r="J55" i="33"/>
  <c r="E55" i="33"/>
  <c r="I55" i="33"/>
  <c r="D77" i="33" s="1"/>
  <c r="I53" i="33"/>
  <c r="J53" i="33"/>
  <c r="J57" i="33" s="1"/>
  <c r="Y219" i="35"/>
  <c r="L466" i="32"/>
  <c r="S219" i="35"/>
  <c r="H361" i="33" a="1"/>
  <c r="H364" i="33" s="1"/>
  <c r="L422" i="32"/>
  <c r="K461" i="32" s="1"/>
  <c r="L461" i="32" s="1"/>
  <c r="E397" i="33" a="1"/>
  <c r="E420" i="33" s="1"/>
  <c r="F397" i="33" a="1"/>
  <c r="F397" i="33" s="1"/>
  <c r="E361" i="33" a="1"/>
  <c r="E361" i="33" s="1"/>
  <c r="H397" i="33" a="1"/>
  <c r="H400" i="33" s="1"/>
  <c r="F361" i="33" a="1"/>
  <c r="F361" i="33" s="1"/>
  <c r="G361" i="33" a="1"/>
  <c r="G397" i="33" a="1"/>
  <c r="H216" i="35"/>
  <c r="H215" i="35"/>
  <c r="H217" i="35" s="1"/>
  <c r="E215" i="35"/>
  <c r="E217" i="35" s="1"/>
  <c r="E216" i="35"/>
  <c r="E218" i="35" s="1"/>
  <c r="J216" i="35"/>
  <c r="J218" i="35" s="1"/>
  <c r="J215" i="35"/>
  <c r="J217" i="35" s="1"/>
  <c r="K215" i="35"/>
  <c r="K217" i="35" s="1"/>
  <c r="K216" i="35"/>
  <c r="K218" i="35" s="1"/>
  <c r="I215" i="35"/>
  <c r="I217" i="35" s="1"/>
  <c r="I216" i="35"/>
  <c r="I218" i="35" s="1"/>
  <c r="I140" i="35"/>
  <c r="I156" i="35"/>
  <c r="I155" i="35"/>
  <c r="N216" i="35"/>
  <c r="N218" i="35" s="1"/>
  <c r="L216" i="35"/>
  <c r="L218" i="35" s="1"/>
  <c r="N215" i="35"/>
  <c r="N217" i="35" s="1"/>
  <c r="L215" i="35"/>
  <c r="L217" i="35" s="1"/>
  <c r="D216" i="35"/>
  <c r="D215" i="35"/>
  <c r="U215" i="35"/>
  <c r="U217" i="35" s="1"/>
  <c r="U216" i="35"/>
  <c r="U218" i="35" s="1"/>
  <c r="M215" i="35"/>
  <c r="M217" i="35" s="1"/>
  <c r="G215" i="35"/>
  <c r="G217" i="35" s="1"/>
  <c r="M216" i="35"/>
  <c r="G216" i="35"/>
  <c r="G218" i="35" s="1"/>
  <c r="E150" i="35"/>
  <c r="E155" i="35"/>
  <c r="E154" i="35"/>
  <c r="E156" i="35"/>
  <c r="T219" i="35"/>
  <c r="X219" i="35"/>
  <c r="Q217" i="35"/>
  <c r="Q218" i="35"/>
  <c r="Z219" i="35"/>
  <c r="E153" i="35"/>
  <c r="E151" i="35"/>
  <c r="E152" i="35"/>
  <c r="S229" i="35"/>
  <c r="S239" i="35"/>
  <c r="S231" i="35"/>
  <c r="S230" i="35"/>
  <c r="S227" i="35"/>
  <c r="S226" i="35"/>
  <c r="V219" i="35"/>
  <c r="S234" i="35"/>
  <c r="S241" i="35"/>
  <c r="W219" i="35"/>
  <c r="S235" i="35"/>
  <c r="M231" i="35"/>
  <c r="S246" i="35"/>
  <c r="S248" i="35"/>
  <c r="S249" i="35"/>
  <c r="M230" i="35"/>
  <c r="M228" i="35"/>
  <c r="S240" i="35"/>
  <c r="S236" i="35"/>
  <c r="S232" i="35"/>
  <c r="S228" i="35"/>
  <c r="M242" i="35"/>
  <c r="M233" i="35"/>
  <c r="R219" i="35"/>
  <c r="S243" i="35"/>
  <c r="S238" i="35"/>
  <c r="S233" i="35"/>
  <c r="M238" i="35"/>
  <c r="M229" i="35"/>
  <c r="M248" i="35"/>
  <c r="M234" i="35"/>
  <c r="M239" i="35"/>
  <c r="S250" i="35"/>
  <c r="S237" i="35"/>
  <c r="S247" i="35"/>
  <c r="S242" i="35"/>
  <c r="S245" i="35"/>
  <c r="M243" i="35"/>
  <c r="M247" i="35"/>
  <c r="M245" i="35"/>
  <c r="M236" i="35"/>
  <c r="M237" i="35"/>
  <c r="M244" i="35"/>
  <c r="M240" i="35"/>
  <c r="M246" i="35"/>
  <c r="M226" i="35"/>
  <c r="I151" i="35"/>
  <c r="M232" i="35"/>
  <c r="M227" i="35"/>
  <c r="M241" i="35"/>
  <c r="M250" i="35"/>
  <c r="M235" i="35"/>
  <c r="AB219" i="35"/>
  <c r="P219" i="35"/>
  <c r="F140" i="35"/>
  <c r="G129" i="35"/>
  <c r="AA219" i="35"/>
  <c r="K237" i="35"/>
  <c r="K248" i="35"/>
  <c r="K246" i="35"/>
  <c r="K241" i="35"/>
  <c r="K240" i="35"/>
  <c r="K242" i="35"/>
  <c r="K244" i="35"/>
  <c r="K227" i="35"/>
  <c r="K236" i="35"/>
  <c r="K226" i="35"/>
  <c r="K235" i="35"/>
  <c r="K228" i="35"/>
  <c r="K233" i="35"/>
  <c r="K243" i="35"/>
  <c r="K249" i="35"/>
  <c r="K238" i="35"/>
  <c r="K247" i="35"/>
  <c r="K245" i="35"/>
  <c r="K234" i="35"/>
  <c r="K230" i="35"/>
  <c r="K231" i="35"/>
  <c r="K232" i="35"/>
  <c r="K229" i="35"/>
  <c r="K239" i="35"/>
  <c r="K250" i="35"/>
  <c r="M218" i="35"/>
  <c r="H218" i="35"/>
  <c r="I157" i="35"/>
  <c r="I147" i="35"/>
  <c r="I145" i="35"/>
  <c r="I141" i="35"/>
  <c r="I143" i="35"/>
  <c r="I148" i="35"/>
  <c r="I142" i="35"/>
  <c r="I149" i="35"/>
  <c r="I146" i="35"/>
  <c r="I144" i="35"/>
  <c r="Q227" i="35"/>
  <c r="Q237" i="35"/>
  <c r="Q226" i="35"/>
  <c r="Q233" i="35"/>
  <c r="Q231" i="35"/>
  <c r="Q229" i="35"/>
  <c r="Q250" i="35"/>
  <c r="Q246" i="35"/>
  <c r="Q241" i="35"/>
  <c r="Q248" i="35"/>
  <c r="Q238" i="35"/>
  <c r="Q249" i="35"/>
  <c r="Q240" i="35"/>
  <c r="Q236" i="35"/>
  <c r="Q235" i="35"/>
  <c r="Q228" i="35"/>
  <c r="Q230" i="35"/>
  <c r="Q232" i="35"/>
  <c r="Q239" i="35"/>
  <c r="Q243" i="35"/>
  <c r="Q247" i="35"/>
  <c r="Q242" i="35"/>
  <c r="Q245" i="35"/>
  <c r="Q244" i="35"/>
  <c r="Q234" i="35"/>
  <c r="F217" i="35"/>
  <c r="F218" i="35"/>
  <c r="E149" i="35"/>
  <c r="E144" i="35"/>
  <c r="E147" i="35"/>
  <c r="E148" i="35"/>
  <c r="E142" i="35"/>
  <c r="E141" i="35"/>
  <c r="E146" i="35"/>
  <c r="E143" i="35"/>
  <c r="E145" i="35"/>
  <c r="E140" i="35"/>
  <c r="E157" i="35"/>
  <c r="I152" i="35"/>
  <c r="I153" i="35"/>
  <c r="I150" i="35"/>
  <c r="H473" i="33" l="1"/>
  <c r="H483" i="33" s="1"/>
  <c r="I475" i="33" s="1"/>
  <c r="D94" i="33"/>
  <c r="D482" i="33"/>
  <c r="E482" i="33" s="1"/>
  <c r="H482" i="33"/>
  <c r="I478" i="33"/>
  <c r="K53" i="33"/>
  <c r="K57" i="33" s="1"/>
  <c r="F418" i="33"/>
  <c r="F405" i="33"/>
  <c r="F408" i="33"/>
  <c r="I57" i="33"/>
  <c r="D75" i="33"/>
  <c r="D93" i="33"/>
  <c r="K55" i="33"/>
  <c r="H361" i="33"/>
  <c r="D91" i="33"/>
  <c r="H479" i="33"/>
  <c r="D479" i="33"/>
  <c r="E479" i="33" s="1"/>
  <c r="F479" i="33"/>
  <c r="E57" i="33"/>
  <c r="F481" i="33"/>
  <c r="H481" i="33"/>
  <c r="I481" i="33" s="1"/>
  <c r="D481" i="33"/>
  <c r="E481" i="33" s="1"/>
  <c r="F407" i="33"/>
  <c r="H397" i="33"/>
  <c r="I477" i="33"/>
  <c r="F421" i="33"/>
  <c r="F423" i="33"/>
  <c r="F402" i="33"/>
  <c r="H391" i="33"/>
  <c r="H389" i="33"/>
  <c r="H366" i="33"/>
  <c r="F413" i="33"/>
  <c r="F399" i="33"/>
  <c r="F415" i="33"/>
  <c r="F426" i="33"/>
  <c r="F410" i="33"/>
  <c r="F416" i="33"/>
  <c r="F400" i="33"/>
  <c r="H373" i="33"/>
  <c r="H375" i="33"/>
  <c r="H362" i="33"/>
  <c r="H376" i="33"/>
  <c r="H365" i="33"/>
  <c r="H381" i="33"/>
  <c r="H367" i="33"/>
  <c r="H383" i="33"/>
  <c r="H378" i="33"/>
  <c r="H382" i="33"/>
  <c r="H384" i="33"/>
  <c r="H368" i="33"/>
  <c r="H369" i="33"/>
  <c r="H377" i="33"/>
  <c r="H385" i="33"/>
  <c r="H363" i="33"/>
  <c r="H371" i="33"/>
  <c r="H379" i="33"/>
  <c r="H387" i="33"/>
  <c r="H386" i="33"/>
  <c r="H370" i="33"/>
  <c r="H390" i="33"/>
  <c r="H374" i="33"/>
  <c r="H388" i="33"/>
  <c r="H380" i="33"/>
  <c r="H372" i="33"/>
  <c r="F424" i="33"/>
  <c r="E364" i="33"/>
  <c r="E411" i="33"/>
  <c r="E417" i="33"/>
  <c r="E403" i="33"/>
  <c r="E401" i="33"/>
  <c r="E398" i="33"/>
  <c r="E399" i="33"/>
  <c r="E407" i="33"/>
  <c r="E423" i="33"/>
  <c r="E405" i="33"/>
  <c r="E414" i="33"/>
  <c r="E404" i="33"/>
  <c r="J404" i="33" s="1"/>
  <c r="E391" i="33"/>
  <c r="E415" i="33"/>
  <c r="E409" i="33"/>
  <c r="E426" i="33"/>
  <c r="E406" i="33"/>
  <c r="J406" i="33" s="1"/>
  <c r="E412" i="33"/>
  <c r="E397" i="33"/>
  <c r="E382" i="33"/>
  <c r="E419" i="33"/>
  <c r="E427" i="33"/>
  <c r="E413" i="33"/>
  <c r="E421" i="33"/>
  <c r="J421" i="33" s="1"/>
  <c r="E418" i="33"/>
  <c r="E410" i="33"/>
  <c r="E402" i="33"/>
  <c r="J402" i="33" s="1"/>
  <c r="E424" i="33"/>
  <c r="E408" i="33"/>
  <c r="J408" i="33" s="1"/>
  <c r="E400" i="33"/>
  <c r="E375" i="33"/>
  <c r="E377" i="33"/>
  <c r="E366" i="33"/>
  <c r="J366" i="33" s="1"/>
  <c r="J440" i="33" s="1"/>
  <c r="E425" i="33"/>
  <c r="E422" i="33"/>
  <c r="E416" i="33"/>
  <c r="E367" i="33"/>
  <c r="E383" i="33"/>
  <c r="E369" i="33"/>
  <c r="E385" i="33"/>
  <c r="J385" i="33" s="1"/>
  <c r="J460" i="33" s="1"/>
  <c r="E374" i="33"/>
  <c r="E380" i="33"/>
  <c r="E390" i="33"/>
  <c r="E388" i="33"/>
  <c r="E372" i="33"/>
  <c r="J372" i="33" s="1"/>
  <c r="J447" i="33" s="1"/>
  <c r="F371" i="33"/>
  <c r="F377" i="33"/>
  <c r="F366" i="33"/>
  <c r="F381" i="33"/>
  <c r="F390" i="33"/>
  <c r="F372" i="33"/>
  <c r="F365" i="33"/>
  <c r="F363" i="33"/>
  <c r="F379" i="33"/>
  <c r="F374" i="33"/>
  <c r="F388" i="33"/>
  <c r="J388" i="33" s="1"/>
  <c r="J463" i="33" s="1"/>
  <c r="F364" i="33"/>
  <c r="F387" i="33"/>
  <c r="F382" i="33"/>
  <c r="F380" i="33"/>
  <c r="F369" i="33"/>
  <c r="F385" i="33"/>
  <c r="F373" i="33"/>
  <c r="F389" i="33"/>
  <c r="F367" i="33"/>
  <c r="F375" i="33"/>
  <c r="F383" i="33"/>
  <c r="F391" i="33"/>
  <c r="F386" i="33"/>
  <c r="F378" i="33"/>
  <c r="F370" i="33"/>
  <c r="F362" i="33"/>
  <c r="F384" i="33"/>
  <c r="F376" i="33"/>
  <c r="F368" i="33"/>
  <c r="F401" i="33"/>
  <c r="F409" i="33"/>
  <c r="F417" i="33"/>
  <c r="F425" i="33"/>
  <c r="F403" i="33"/>
  <c r="J403" i="33" s="1"/>
  <c r="F411" i="33"/>
  <c r="F419" i="33"/>
  <c r="F427" i="33"/>
  <c r="F422" i="33"/>
  <c r="F414" i="33"/>
  <c r="F406" i="33"/>
  <c r="F398" i="33"/>
  <c r="F420" i="33"/>
  <c r="F412" i="33"/>
  <c r="F404" i="33"/>
  <c r="E363" i="33"/>
  <c r="E371" i="33"/>
  <c r="E379" i="33"/>
  <c r="E387" i="33"/>
  <c r="E365" i="33"/>
  <c r="E373" i="33"/>
  <c r="E381" i="33"/>
  <c r="E389" i="33"/>
  <c r="E386" i="33"/>
  <c r="E378" i="33"/>
  <c r="E370" i="33"/>
  <c r="J370" i="33" s="1"/>
  <c r="J445" i="33" s="1"/>
  <c r="E362" i="33"/>
  <c r="E384" i="33"/>
  <c r="E376" i="33"/>
  <c r="E368" i="33"/>
  <c r="J368" i="33" s="1"/>
  <c r="J442" i="33" s="1"/>
  <c r="H427" i="33"/>
  <c r="H425" i="33"/>
  <c r="H398" i="33"/>
  <c r="H409" i="33"/>
  <c r="H411" i="33"/>
  <c r="H414" i="33"/>
  <c r="H412" i="33"/>
  <c r="H401" i="33"/>
  <c r="H417" i="33"/>
  <c r="H403" i="33"/>
  <c r="H419" i="33"/>
  <c r="H422" i="33"/>
  <c r="H406" i="33"/>
  <c r="H420" i="33"/>
  <c r="H404" i="33"/>
  <c r="H405" i="33"/>
  <c r="H413" i="33"/>
  <c r="H421" i="33"/>
  <c r="H399" i="33"/>
  <c r="H407" i="33"/>
  <c r="H415" i="33"/>
  <c r="H423" i="33"/>
  <c r="H426" i="33"/>
  <c r="H418" i="33"/>
  <c r="H410" i="33"/>
  <c r="H402" i="33"/>
  <c r="H424" i="33"/>
  <c r="H416" i="33"/>
  <c r="H408" i="33"/>
  <c r="G361" i="33"/>
  <c r="G364" i="33"/>
  <c r="G368" i="33"/>
  <c r="G372" i="33"/>
  <c r="G376" i="33"/>
  <c r="G380" i="33"/>
  <c r="G384" i="33"/>
  <c r="G388" i="33"/>
  <c r="G362" i="33"/>
  <c r="G366" i="33"/>
  <c r="G370" i="33"/>
  <c r="G374" i="33"/>
  <c r="G378" i="33"/>
  <c r="G382" i="33"/>
  <c r="G386" i="33"/>
  <c r="G390" i="33"/>
  <c r="G389" i="33"/>
  <c r="G385" i="33"/>
  <c r="G381" i="33"/>
  <c r="G377" i="33"/>
  <c r="G373" i="33"/>
  <c r="G369" i="33"/>
  <c r="G365" i="33"/>
  <c r="G391" i="33"/>
  <c r="G383" i="33"/>
  <c r="G375" i="33"/>
  <c r="G367" i="33"/>
  <c r="G387" i="33"/>
  <c r="G379" i="33"/>
  <c r="G371" i="33"/>
  <c r="G363" i="33"/>
  <c r="G397" i="33"/>
  <c r="G400" i="33"/>
  <c r="G404" i="33"/>
  <c r="G408" i="33"/>
  <c r="G412" i="33"/>
  <c r="G416" i="33"/>
  <c r="G420" i="33"/>
  <c r="G424" i="33"/>
  <c r="G398" i="33"/>
  <c r="G402" i="33"/>
  <c r="G406" i="33"/>
  <c r="G410" i="33"/>
  <c r="G414" i="33"/>
  <c r="G418" i="33"/>
  <c r="G422" i="33"/>
  <c r="G426" i="33"/>
  <c r="G425" i="33"/>
  <c r="G421" i="33"/>
  <c r="G417" i="33"/>
  <c r="G413" i="33"/>
  <c r="G409" i="33"/>
  <c r="G405" i="33"/>
  <c r="G401" i="33"/>
  <c r="G427" i="33"/>
  <c r="G423" i="33"/>
  <c r="G419" i="33"/>
  <c r="G415" i="33"/>
  <c r="G411" i="33"/>
  <c r="G407" i="33"/>
  <c r="G403" i="33"/>
  <c r="G399" i="33"/>
  <c r="K408" i="33"/>
  <c r="L408" i="33" s="1"/>
  <c r="K447" i="33" s="1"/>
  <c r="L447" i="33" s="1"/>
  <c r="Q219" i="35"/>
  <c r="L219" i="35"/>
  <c r="H219" i="35"/>
  <c r="E219" i="35"/>
  <c r="J219" i="35"/>
  <c r="N219" i="35"/>
  <c r="N226" i="35" a="1"/>
  <c r="D217" i="35"/>
  <c r="G154" i="35"/>
  <c r="U219" i="35"/>
  <c r="T226" i="35" a="1"/>
  <c r="D218" i="35"/>
  <c r="F219" i="35"/>
  <c r="G219" i="35"/>
  <c r="I219" i="35"/>
  <c r="K219" i="35"/>
  <c r="M219" i="35"/>
  <c r="I476" i="33" l="1"/>
  <c r="I479" i="33"/>
  <c r="I474" i="33"/>
  <c r="I473" i="33"/>
  <c r="I480" i="33"/>
  <c r="I482" i="33"/>
  <c r="F476" i="33"/>
  <c r="F475" i="33"/>
  <c r="F473" i="33"/>
  <c r="F478" i="33"/>
  <c r="F474" i="33"/>
  <c r="F477" i="33"/>
  <c r="J361" i="33"/>
  <c r="J435" i="33" s="1"/>
  <c r="J371" i="33"/>
  <c r="J446" i="33" s="1"/>
  <c r="J418" i="33"/>
  <c r="J389" i="33"/>
  <c r="J464" i="33" s="1"/>
  <c r="J377" i="33"/>
  <c r="J452" i="33" s="1"/>
  <c r="J411" i="33"/>
  <c r="J405" i="33"/>
  <c r="J426" i="33"/>
  <c r="J400" i="33"/>
  <c r="J383" i="33"/>
  <c r="J458" i="33" s="1"/>
  <c r="J378" i="33"/>
  <c r="J453" i="33" s="1"/>
  <c r="J427" i="33"/>
  <c r="J425" i="33"/>
  <c r="J397" i="33"/>
  <c r="J364" i="33"/>
  <c r="J438" i="33" s="1"/>
  <c r="J384" i="33"/>
  <c r="J459" i="33" s="1"/>
  <c r="J399" i="33"/>
  <c r="J417" i="33"/>
  <c r="J382" i="33"/>
  <c r="J457" i="33" s="1"/>
  <c r="J415" i="33"/>
  <c r="J424" i="33"/>
  <c r="K424" i="33" s="1"/>
  <c r="L424" i="33" s="1"/>
  <c r="K463" i="33" s="1"/>
  <c r="L463" i="33" s="1"/>
  <c r="J390" i="33"/>
  <c r="J465" i="33" s="1"/>
  <c r="K402" i="33"/>
  <c r="L402" i="33" s="1"/>
  <c r="K440" i="33" s="1"/>
  <c r="L440" i="33" s="1"/>
  <c r="J423" i="33"/>
  <c r="J422" i="33"/>
  <c r="J376" i="33"/>
  <c r="J451" i="33" s="1"/>
  <c r="J375" i="33"/>
  <c r="J450" i="33" s="1"/>
  <c r="J387" i="33"/>
  <c r="J462" i="33" s="1"/>
  <c r="J410" i="33"/>
  <c r="J413" i="33"/>
  <c r="J365" i="33"/>
  <c r="J439" i="33" s="1"/>
  <c r="J379" i="33"/>
  <c r="J454" i="33" s="1"/>
  <c r="J401" i="33"/>
  <c r="J416" i="33"/>
  <c r="J374" i="33"/>
  <c r="J369" i="33"/>
  <c r="J444" i="33" s="1"/>
  <c r="J419" i="33"/>
  <c r="J380" i="33"/>
  <c r="K406" i="33"/>
  <c r="L406" i="33" s="1"/>
  <c r="K445" i="33" s="1"/>
  <c r="L445" i="33" s="1"/>
  <c r="K404" i="33"/>
  <c r="L404" i="33" s="1"/>
  <c r="K442" i="33" s="1"/>
  <c r="L442" i="33" s="1"/>
  <c r="J362" i="33"/>
  <c r="J436" i="33" s="1"/>
  <c r="J386" i="33"/>
  <c r="J461" i="33" s="1"/>
  <c r="J363" i="33"/>
  <c r="J437" i="33" s="1"/>
  <c r="J367" i="33"/>
  <c r="J441" i="33" s="1"/>
  <c r="J373" i="33"/>
  <c r="J448" i="33" s="1"/>
  <c r="J420" i="33"/>
  <c r="J414" i="33"/>
  <c r="J409" i="33"/>
  <c r="J398" i="33"/>
  <c r="J412" i="33"/>
  <c r="J381" i="33"/>
  <c r="J456" i="33" s="1"/>
  <c r="J407" i="33"/>
  <c r="J391" i="33"/>
  <c r="J466" i="33" s="1"/>
  <c r="K421" i="33"/>
  <c r="G155" i="35"/>
  <c r="E25" i="36" s="1"/>
  <c r="D25" i="36" s="1"/>
  <c r="G156" i="35"/>
  <c r="E26" i="36" s="1"/>
  <c r="D26" i="36" s="1"/>
  <c r="E24" i="36"/>
  <c r="D24" i="36" s="1"/>
  <c r="D219" i="35"/>
  <c r="N226" i="35"/>
  <c r="O226" i="35" s="1"/>
  <c r="N227" i="35"/>
  <c r="O227" i="35" s="1"/>
  <c r="N229" i="35"/>
  <c r="O229" i="35" s="1"/>
  <c r="N232" i="35"/>
  <c r="O232" i="35" s="1"/>
  <c r="N233" i="35"/>
  <c r="O233" i="35" s="1"/>
  <c r="N235" i="35"/>
  <c r="O235" i="35" s="1"/>
  <c r="N237" i="35"/>
  <c r="O237" i="35" s="1"/>
  <c r="N239" i="35"/>
  <c r="O239" i="35" s="1"/>
  <c r="N241" i="35"/>
  <c r="O241" i="35" s="1"/>
  <c r="N243" i="35"/>
  <c r="O243" i="35" s="1"/>
  <c r="N245" i="35"/>
  <c r="O245" i="35" s="1"/>
  <c r="N247" i="35"/>
  <c r="O247" i="35" s="1"/>
  <c r="N249" i="35"/>
  <c r="O249" i="35" s="1"/>
  <c r="N228" i="35"/>
  <c r="O228" i="35" s="1"/>
  <c r="N230" i="35"/>
  <c r="O230" i="35" s="1"/>
  <c r="N236" i="35"/>
  <c r="O236" i="35" s="1"/>
  <c r="N240" i="35"/>
  <c r="O240" i="35" s="1"/>
  <c r="N244" i="35"/>
  <c r="O244" i="35" s="1"/>
  <c r="N248" i="35"/>
  <c r="O248" i="35" s="1"/>
  <c r="N231" i="35"/>
  <c r="O231" i="35" s="1"/>
  <c r="N234" i="35"/>
  <c r="O234" i="35" s="1"/>
  <c r="N238" i="35"/>
  <c r="O238" i="35" s="1"/>
  <c r="N242" i="35"/>
  <c r="O242" i="35" s="1"/>
  <c r="N246" i="35"/>
  <c r="O246" i="35" s="1"/>
  <c r="N250" i="35"/>
  <c r="O250" i="35" s="1"/>
  <c r="T226" i="35"/>
  <c r="U226" i="35" s="1"/>
  <c r="T228" i="35"/>
  <c r="U228" i="35" s="1"/>
  <c r="T231" i="35"/>
  <c r="U231" i="35" s="1"/>
  <c r="T230" i="35"/>
  <c r="U230" i="35" s="1"/>
  <c r="T234" i="35"/>
  <c r="U234" i="35" s="1"/>
  <c r="T236" i="35"/>
  <c r="U236" i="35" s="1"/>
  <c r="T238" i="35"/>
  <c r="U238" i="35" s="1"/>
  <c r="T240" i="35"/>
  <c r="U240" i="35" s="1"/>
  <c r="V240" i="35" s="1"/>
  <c r="W240" i="35" s="1"/>
  <c r="U37" i="26" s="1"/>
  <c r="T242" i="35"/>
  <c r="U242" i="35" s="1"/>
  <c r="T244" i="35"/>
  <c r="U244" i="35" s="1"/>
  <c r="T246" i="35"/>
  <c r="U246" i="35" s="1"/>
  <c r="T248" i="35"/>
  <c r="U248" i="35" s="1"/>
  <c r="T229" i="35"/>
  <c r="U229" i="35" s="1"/>
  <c r="T233" i="35"/>
  <c r="U233" i="35" s="1"/>
  <c r="T237" i="35"/>
  <c r="U237" i="35" s="1"/>
  <c r="T241" i="35"/>
  <c r="U241" i="35" s="1"/>
  <c r="V241" i="35" s="1"/>
  <c r="W241" i="35" s="1"/>
  <c r="U38" i="26" s="1"/>
  <c r="T245" i="35"/>
  <c r="U245" i="35" s="1"/>
  <c r="T249" i="35"/>
  <c r="U249" i="35" s="1"/>
  <c r="T250" i="35"/>
  <c r="U250" i="35" s="1"/>
  <c r="T227" i="35"/>
  <c r="U227" i="35" s="1"/>
  <c r="T232" i="35"/>
  <c r="U232" i="35" s="1"/>
  <c r="T235" i="35"/>
  <c r="U235" i="35" s="1"/>
  <c r="T239" i="35"/>
  <c r="U239" i="35" s="1"/>
  <c r="V239" i="35" s="1"/>
  <c r="W239" i="35" s="1"/>
  <c r="U35" i="26" s="1"/>
  <c r="T243" i="35"/>
  <c r="U243" i="35" s="1"/>
  <c r="T247" i="35"/>
  <c r="U247" i="35" s="1"/>
  <c r="D29" i="36"/>
  <c r="G157" i="35"/>
  <c r="G151" i="35"/>
  <c r="E21" i="36" s="1"/>
  <c r="G150" i="35"/>
  <c r="E20" i="36" s="1"/>
  <c r="G152" i="35"/>
  <c r="E22" i="36" s="1"/>
  <c r="G153" i="35"/>
  <c r="E23" i="36" s="1"/>
  <c r="G144" i="35"/>
  <c r="E14" i="36" s="1"/>
  <c r="G142" i="35"/>
  <c r="E12" i="36" s="1"/>
  <c r="G146" i="35"/>
  <c r="E16" i="36" s="1"/>
  <c r="G148" i="35"/>
  <c r="E18" i="36" s="1"/>
  <c r="G145" i="35"/>
  <c r="E15" i="36" s="1"/>
  <c r="G149" i="35"/>
  <c r="E19" i="36" s="1"/>
  <c r="G143" i="35"/>
  <c r="E13" i="36" s="1"/>
  <c r="G147" i="35"/>
  <c r="E17" i="36" s="1"/>
  <c r="G141" i="35"/>
  <c r="E11" i="36" s="1"/>
  <c r="G140" i="35"/>
  <c r="G159" i="35" l="1"/>
  <c r="V231" i="35"/>
  <c r="W231" i="35" s="1"/>
  <c r="U18" i="26" s="1"/>
  <c r="K407" i="33"/>
  <c r="L407" i="33" s="1"/>
  <c r="K446" i="33" s="1"/>
  <c r="L446" i="33" s="1"/>
  <c r="V246" i="35"/>
  <c r="W246" i="35" s="1"/>
  <c r="U44" i="26" s="1"/>
  <c r="K397" i="33"/>
  <c r="L397" i="33" s="1"/>
  <c r="K435" i="33" s="1"/>
  <c r="L435" i="33" s="1"/>
  <c r="F483" i="33"/>
  <c r="G476" i="33" s="1"/>
  <c r="K415" i="33"/>
  <c r="L415" i="33" s="1"/>
  <c r="K454" i="33" s="1"/>
  <c r="L454" i="33" s="1"/>
  <c r="K401" i="33"/>
  <c r="L401" i="33" s="1"/>
  <c r="K439" i="33" s="1"/>
  <c r="L439" i="33" s="1"/>
  <c r="K425" i="33"/>
  <c r="L425" i="33" s="1"/>
  <c r="K464" i="33" s="1"/>
  <c r="L464" i="33" s="1"/>
  <c r="K400" i="33"/>
  <c r="L400" i="33" s="1"/>
  <c r="K438" i="33" s="1"/>
  <c r="L438" i="33" s="1"/>
  <c r="K414" i="33"/>
  <c r="L414" i="33" s="1"/>
  <c r="K453" i="33" s="1"/>
  <c r="L453" i="33" s="1"/>
  <c r="K413" i="33"/>
  <c r="L413" i="33" s="1"/>
  <c r="K452" i="33" s="1"/>
  <c r="L452" i="33" s="1"/>
  <c r="K426" i="33"/>
  <c r="L426" i="33" s="1"/>
  <c r="K465" i="33" s="1"/>
  <c r="L465" i="33" s="1"/>
  <c r="K411" i="33"/>
  <c r="L411" i="33" s="1"/>
  <c r="K450" i="33" s="1"/>
  <c r="L450" i="33" s="1"/>
  <c r="K405" i="33"/>
  <c r="L405" i="33" s="1"/>
  <c r="K444" i="33" s="1"/>
  <c r="L444" i="33" s="1"/>
  <c r="K399" i="33"/>
  <c r="L399" i="33" s="1"/>
  <c r="K437" i="33" s="1"/>
  <c r="L437" i="33" s="1"/>
  <c r="K419" i="33"/>
  <c r="L419" i="33" s="1"/>
  <c r="K458" i="33" s="1"/>
  <c r="L458" i="33" s="1"/>
  <c r="K423" i="33"/>
  <c r="L423" i="33" s="1"/>
  <c r="K462" i="33" s="1"/>
  <c r="L462" i="33" s="1"/>
  <c r="K409" i="33"/>
  <c r="L409" i="33" s="1"/>
  <c r="K448" i="33" s="1"/>
  <c r="L448" i="33" s="1"/>
  <c r="K412" i="33"/>
  <c r="L412" i="33" s="1"/>
  <c r="K451" i="33" s="1"/>
  <c r="L451" i="33" s="1"/>
  <c r="K420" i="33"/>
  <c r="L420" i="33" s="1"/>
  <c r="K459" i="33" s="1"/>
  <c r="L459" i="33" s="1"/>
  <c r="K422" i="33"/>
  <c r="L422" i="33" s="1"/>
  <c r="K461" i="33" s="1"/>
  <c r="L461" i="33" s="1"/>
  <c r="K403" i="33"/>
  <c r="L403" i="33" s="1"/>
  <c r="K441" i="33" s="1"/>
  <c r="L441" i="33" s="1"/>
  <c r="K418" i="33"/>
  <c r="L418" i="33" s="1"/>
  <c r="K457" i="33" s="1"/>
  <c r="L457" i="33" s="1"/>
  <c r="K417" i="33"/>
  <c r="L417" i="33" s="1"/>
  <c r="K456" i="33" s="1"/>
  <c r="L456" i="33" s="1"/>
  <c r="K398" i="33"/>
  <c r="L398" i="33" s="1"/>
  <c r="K436" i="33" s="1"/>
  <c r="L436" i="33" s="1"/>
  <c r="J449" i="33"/>
  <c r="K410" i="33"/>
  <c r="L410" i="33" s="1"/>
  <c r="K449" i="33" s="1"/>
  <c r="J455" i="33"/>
  <c r="K416" i="33"/>
  <c r="L416" i="33" s="1"/>
  <c r="K455" i="33" s="1"/>
  <c r="L421" i="33"/>
  <c r="K460" i="33" s="1"/>
  <c r="L460" i="33" s="1"/>
  <c r="K427" i="33"/>
  <c r="L427" i="33" s="1"/>
  <c r="K466" i="33" s="1"/>
  <c r="L466" i="33" s="1"/>
  <c r="AC195" i="36"/>
  <c r="D124" i="36"/>
  <c r="AC196" i="36"/>
  <c r="D125" i="36"/>
  <c r="G125" i="36" s="1"/>
  <c r="F155" i="36" s="1"/>
  <c r="AC197" i="36"/>
  <c r="D126" i="36"/>
  <c r="G126" i="36" s="1"/>
  <c r="F156" i="36" s="1"/>
  <c r="E27" i="36"/>
  <c r="D27" i="36" s="1"/>
  <c r="V243" i="35"/>
  <c r="W243" i="35" s="1"/>
  <c r="U40" i="26" s="1"/>
  <c r="V227" i="35"/>
  <c r="W227" i="35" s="1"/>
  <c r="U13" i="26" s="1"/>
  <c r="V237" i="35"/>
  <c r="W237" i="35" s="1"/>
  <c r="U32" i="26" s="1"/>
  <c r="V248" i="35"/>
  <c r="W248" i="35" s="1"/>
  <c r="U46" i="26" s="1"/>
  <c r="V245" i="35"/>
  <c r="W245" i="35" s="1"/>
  <c r="U43" i="26" s="1"/>
  <c r="V229" i="35"/>
  <c r="W229" i="35" s="1"/>
  <c r="U16" i="26" s="1"/>
  <c r="V230" i="35"/>
  <c r="W230" i="35" s="1"/>
  <c r="U22" i="26" s="1"/>
  <c r="V242" i="35"/>
  <c r="W242" i="35" s="1"/>
  <c r="V238" i="35"/>
  <c r="W238" i="35" s="1"/>
  <c r="U33" i="26" s="1"/>
  <c r="V235" i="35"/>
  <c r="W235" i="35" s="1"/>
  <c r="U28" i="26" s="1"/>
  <c r="V244" i="35"/>
  <c r="W244" i="35" s="1"/>
  <c r="U42" i="26" s="1"/>
  <c r="V228" i="35"/>
  <c r="W228" i="35" s="1"/>
  <c r="U15" i="26" s="1"/>
  <c r="V232" i="35"/>
  <c r="W232" i="35" s="1"/>
  <c r="U20" i="26" s="1"/>
  <c r="V247" i="35"/>
  <c r="W247" i="35" s="1"/>
  <c r="U45" i="26" s="1"/>
  <c r="V250" i="35"/>
  <c r="W250" i="35" s="1"/>
  <c r="U48" i="26" s="1"/>
  <c r="V234" i="35"/>
  <c r="W234" i="35" s="1"/>
  <c r="U27" i="26" s="1"/>
  <c r="V226" i="35"/>
  <c r="W226" i="35" s="1"/>
  <c r="U11" i="26" s="1"/>
  <c r="V249" i="35"/>
  <c r="W249" i="35" s="1"/>
  <c r="U47" i="26" s="1"/>
  <c r="V233" i="35"/>
  <c r="W233" i="35" s="1"/>
  <c r="U26" i="26" s="1"/>
  <c r="V236" i="35"/>
  <c r="W236" i="35" s="1"/>
  <c r="U30" i="26" s="1"/>
  <c r="E10" i="36"/>
  <c r="K15" i="10"/>
  <c r="D19" i="36"/>
  <c r="Q16" i="56" s="1"/>
  <c r="R16" i="56" s="1"/>
  <c r="K8" i="10"/>
  <c r="D12" i="36"/>
  <c r="Q9" i="56" s="1"/>
  <c r="R9" i="56" s="1"/>
  <c r="K16" i="10"/>
  <c r="D20" i="36"/>
  <c r="K23" i="10"/>
  <c r="K7" i="10"/>
  <c r="D11" i="36"/>
  <c r="Q8" i="56" s="1"/>
  <c r="R8" i="56" s="1"/>
  <c r="K9" i="10"/>
  <c r="D13" i="36"/>
  <c r="Q10" i="56" s="1"/>
  <c r="R10" i="56" s="1"/>
  <c r="K11" i="10"/>
  <c r="D15" i="36"/>
  <c r="Q12" i="56" s="1"/>
  <c r="R12" i="56" s="1"/>
  <c r="D16" i="36"/>
  <c r="Q13" i="56" s="1"/>
  <c r="R13" i="56" s="1"/>
  <c r="K10" i="10"/>
  <c r="D14" i="36"/>
  <c r="Q11" i="56" s="1"/>
  <c r="R11" i="56" s="1"/>
  <c r="K18" i="10"/>
  <c r="D22" i="36"/>
  <c r="K17" i="10"/>
  <c r="D21" i="36"/>
  <c r="J25" i="10"/>
  <c r="H68" i="36"/>
  <c r="T48" i="26"/>
  <c r="T27" i="26"/>
  <c r="T46" i="26"/>
  <c r="T37" i="26"/>
  <c r="T22" i="26"/>
  <c r="T47" i="26"/>
  <c r="T43" i="26"/>
  <c r="T38" i="26"/>
  <c r="T32" i="26"/>
  <c r="T26" i="26"/>
  <c r="T16" i="26"/>
  <c r="T11" i="26"/>
  <c r="K13" i="10"/>
  <c r="D17" i="36"/>
  <c r="Q14" i="56" s="1"/>
  <c r="R14" i="56" s="1"/>
  <c r="K14" i="10"/>
  <c r="D18" i="36"/>
  <c r="Q15" i="56" s="1"/>
  <c r="R15" i="56" s="1"/>
  <c r="K19" i="10"/>
  <c r="D23" i="36"/>
  <c r="T44" i="26"/>
  <c r="T33" i="26"/>
  <c r="T18" i="26"/>
  <c r="T42" i="26"/>
  <c r="T30" i="26"/>
  <c r="T15" i="26"/>
  <c r="T45" i="26"/>
  <c r="T40" i="26"/>
  <c r="T35" i="26"/>
  <c r="T28" i="26"/>
  <c r="T20" i="26"/>
  <c r="T13" i="26"/>
  <c r="I12" i="36" l="1"/>
  <c r="G477" i="33"/>
  <c r="G478" i="33"/>
  <c r="G473" i="33"/>
  <c r="G475" i="33"/>
  <c r="G482" i="33"/>
  <c r="G480" i="33"/>
  <c r="G479" i="33"/>
  <c r="G481" i="33"/>
  <c r="G474" i="33"/>
  <c r="L449" i="33"/>
  <c r="L455" i="33"/>
  <c r="G124" i="36"/>
  <c r="F154" i="36" s="1"/>
  <c r="H154" i="36"/>
  <c r="H156" i="36"/>
  <c r="D156" i="36"/>
  <c r="H155" i="36"/>
  <c r="D155" i="36"/>
  <c r="D154" i="36"/>
  <c r="AA50" i="10"/>
  <c r="AJ50" i="10" s="1"/>
  <c r="AA38" i="10"/>
  <c r="AJ38" i="10" s="1"/>
  <c r="AA47" i="10"/>
  <c r="AJ47" i="10" s="1"/>
  <c r="AA60" i="10"/>
  <c r="AJ60" i="10" s="1"/>
  <c r="V47" i="26"/>
  <c r="AA45" i="10"/>
  <c r="AJ45" i="10" s="1"/>
  <c r="AA63" i="10"/>
  <c r="AJ63" i="10" s="1"/>
  <c r="V13" i="26"/>
  <c r="AA37" i="10"/>
  <c r="AJ37" i="10" s="1"/>
  <c r="V35" i="26"/>
  <c r="AA52" i="10"/>
  <c r="AJ52" i="10" s="1"/>
  <c r="V45" i="26"/>
  <c r="V15" i="26"/>
  <c r="V42" i="26"/>
  <c r="AA57" i="10"/>
  <c r="AJ57" i="10" s="1"/>
  <c r="V44" i="26"/>
  <c r="AA59" i="10"/>
  <c r="AJ59" i="10" s="1"/>
  <c r="V11" i="26"/>
  <c r="AA36" i="10"/>
  <c r="V32" i="26"/>
  <c r="AA49" i="10"/>
  <c r="AJ49" i="10" s="1"/>
  <c r="V43" i="26"/>
  <c r="AA58" i="10"/>
  <c r="AJ58" i="10" s="1"/>
  <c r="AA40" i="10"/>
  <c r="AJ40" i="10" s="1"/>
  <c r="V22" i="26"/>
  <c r="V37" i="26"/>
  <c r="AA53" i="10"/>
  <c r="AJ53" i="10" s="1"/>
  <c r="V46" i="26"/>
  <c r="AA61" i="10"/>
  <c r="AJ61" i="10" s="1"/>
  <c r="V27" i="26"/>
  <c r="AA46" i="10"/>
  <c r="AJ46" i="10" s="1"/>
  <c r="AA55" i="10"/>
  <c r="AJ55" i="10" s="1"/>
  <c r="V20" i="26"/>
  <c r="AA42" i="10"/>
  <c r="AJ42" i="10" s="1"/>
  <c r="V40" i="26"/>
  <c r="AA56" i="10"/>
  <c r="AJ56" i="10" s="1"/>
  <c r="V30" i="26"/>
  <c r="AA48" i="10"/>
  <c r="AJ48" i="10" s="1"/>
  <c r="V18" i="26"/>
  <c r="AA41" i="10"/>
  <c r="AJ41" i="10" s="1"/>
  <c r="J19" i="10"/>
  <c r="AC194" i="36"/>
  <c r="D123" i="36"/>
  <c r="AC189" i="36"/>
  <c r="J14" i="10"/>
  <c r="D118" i="36"/>
  <c r="AC188" i="36"/>
  <c r="J13" i="10"/>
  <c r="D117" i="36"/>
  <c r="V16" i="26"/>
  <c r="AA39" i="10"/>
  <c r="AJ39" i="10" s="1"/>
  <c r="V38" i="26"/>
  <c r="AA54" i="10"/>
  <c r="AJ54" i="10" s="1"/>
  <c r="D121" i="36"/>
  <c r="AC192" i="36"/>
  <c r="J17" i="10"/>
  <c r="D122" i="36"/>
  <c r="AC193" i="36"/>
  <c r="J18" i="10"/>
  <c r="J10" i="10"/>
  <c r="AC185" i="36"/>
  <c r="D114" i="36"/>
  <c r="AC187" i="36"/>
  <c r="J12" i="10"/>
  <c r="D116" i="36"/>
  <c r="J11" i="10"/>
  <c r="AC186" i="36"/>
  <c r="D115" i="36"/>
  <c r="J9" i="10"/>
  <c r="AC184" i="36"/>
  <c r="D113" i="36"/>
  <c r="J7" i="10"/>
  <c r="AC182" i="36"/>
  <c r="D111" i="36"/>
  <c r="J23" i="10"/>
  <c r="AC198" i="36"/>
  <c r="H86" i="36"/>
  <c r="D127" i="36"/>
  <c r="D120" i="36"/>
  <c r="AC191" i="36"/>
  <c r="J16" i="10"/>
  <c r="AC183" i="36"/>
  <c r="D112" i="36"/>
  <c r="J8" i="10"/>
  <c r="D119" i="36"/>
  <c r="AC190" i="36"/>
  <c r="J15" i="10"/>
  <c r="K6" i="10"/>
  <c r="E29" i="36"/>
  <c r="K25" i="10" s="1"/>
  <c r="D10" i="36"/>
  <c r="Q7" i="56" l="1"/>
  <c r="Q17" i="56" s="1"/>
  <c r="C72" i="56"/>
  <c r="C76" i="56"/>
  <c r="C78" i="56"/>
  <c r="C80" i="56"/>
  <c r="C74" i="56"/>
  <c r="C73" i="56"/>
  <c r="C75" i="56"/>
  <c r="C77" i="56"/>
  <c r="C79" i="56"/>
  <c r="H199" i="36"/>
  <c r="H200" i="36" s="1"/>
  <c r="Y199" i="36"/>
  <c r="Y200" i="36" s="1"/>
  <c r="AB199" i="36"/>
  <c r="AB200" i="36" s="1"/>
  <c r="Z199" i="36"/>
  <c r="Z200" i="36" s="1"/>
  <c r="X199" i="36"/>
  <c r="X200" i="36" s="1"/>
  <c r="V199" i="36"/>
  <c r="V200" i="36" s="1"/>
  <c r="P199" i="36"/>
  <c r="P200" i="36" s="1"/>
  <c r="AA199" i="36"/>
  <c r="AA200" i="36" s="1"/>
  <c r="W199" i="36"/>
  <c r="W200" i="36" s="1"/>
  <c r="R199" i="36"/>
  <c r="R200" i="36" s="1"/>
  <c r="S199" i="36"/>
  <c r="S200" i="36" s="1"/>
  <c r="Q199" i="36"/>
  <c r="Q200" i="36" s="1"/>
  <c r="K199" i="36"/>
  <c r="K200" i="36" s="1"/>
  <c r="U199" i="36"/>
  <c r="U200" i="36" s="1"/>
  <c r="T199" i="36"/>
  <c r="T200" i="36" s="1"/>
  <c r="N199" i="36"/>
  <c r="N200" i="36" s="1"/>
  <c r="L199" i="36"/>
  <c r="L200" i="36" s="1"/>
  <c r="E199" i="36"/>
  <c r="E200" i="36" s="1"/>
  <c r="F200" i="36"/>
  <c r="F201" i="36" s="1"/>
  <c r="M199" i="36"/>
  <c r="M200" i="36" s="1"/>
  <c r="G199" i="36"/>
  <c r="G200" i="36" s="1"/>
  <c r="I199" i="36"/>
  <c r="I200" i="36" s="1"/>
  <c r="J199" i="36"/>
  <c r="J200" i="36" s="1"/>
  <c r="F105" i="56"/>
  <c r="F107" i="13" s="1"/>
  <c r="V28" i="26"/>
  <c r="W28" i="26" s="1"/>
  <c r="AG28" i="26" s="1"/>
  <c r="V33" i="26"/>
  <c r="AF33" i="26" s="1"/>
  <c r="AA62" i="10"/>
  <c r="AJ62" i="10" s="1"/>
  <c r="V48" i="26"/>
  <c r="AF48" i="26" s="1"/>
  <c r="V26" i="26"/>
  <c r="AF26" i="26" s="1"/>
  <c r="D147" i="36"/>
  <c r="H147" i="36"/>
  <c r="W18" i="26"/>
  <c r="AG18" i="26" s="1"/>
  <c r="AF18" i="26"/>
  <c r="W30" i="26"/>
  <c r="AG30" i="26" s="1"/>
  <c r="AF30" i="26"/>
  <c r="W40" i="26"/>
  <c r="AG40" i="26" s="1"/>
  <c r="AF40" i="26"/>
  <c r="W20" i="26"/>
  <c r="AG20" i="26" s="1"/>
  <c r="AF20" i="26"/>
  <c r="W39" i="26"/>
  <c r="AG39" i="26" s="1"/>
  <c r="AF39" i="26"/>
  <c r="W27" i="26"/>
  <c r="AG27" i="26" s="1"/>
  <c r="AF27" i="26"/>
  <c r="W46" i="26"/>
  <c r="AG46" i="26" s="1"/>
  <c r="AF46" i="26"/>
  <c r="W37" i="26"/>
  <c r="AG37" i="26" s="1"/>
  <c r="AF37" i="26"/>
  <c r="W43" i="26"/>
  <c r="AG43" i="26" s="1"/>
  <c r="AF43" i="26"/>
  <c r="W32" i="26"/>
  <c r="AG32" i="26" s="1"/>
  <c r="AF32" i="26"/>
  <c r="W11" i="26"/>
  <c r="AF11" i="26"/>
  <c r="W44" i="26"/>
  <c r="AG44" i="26" s="1"/>
  <c r="AF44" i="26"/>
  <c r="W42" i="26"/>
  <c r="AG42" i="26" s="1"/>
  <c r="AF42" i="26"/>
  <c r="W15" i="26"/>
  <c r="AG15" i="26" s="1"/>
  <c r="AF15" i="26"/>
  <c r="W45" i="26"/>
  <c r="AG45" i="26" s="1"/>
  <c r="AF45" i="26"/>
  <c r="W35" i="26"/>
  <c r="AG35" i="26" s="1"/>
  <c r="AF35" i="26"/>
  <c r="W13" i="26"/>
  <c r="AG13" i="26" s="1"/>
  <c r="AF13" i="26"/>
  <c r="I10" i="36"/>
  <c r="I11" i="36" s="1"/>
  <c r="D110" i="36"/>
  <c r="AC181" i="36"/>
  <c r="J6" i="10"/>
  <c r="H69" i="36"/>
  <c r="H85" i="36" s="1"/>
  <c r="I13" i="36"/>
  <c r="H143" i="36"/>
  <c r="D143" i="36"/>
  <c r="H146" i="36"/>
  <c r="D146" i="36"/>
  <c r="D149" i="36"/>
  <c r="H149" i="36"/>
  <c r="H142" i="36"/>
  <c r="D142" i="36"/>
  <c r="H141" i="36"/>
  <c r="D141" i="36"/>
  <c r="H145" i="36"/>
  <c r="D145" i="36"/>
  <c r="H144" i="36"/>
  <c r="D144" i="36"/>
  <c r="W47" i="26"/>
  <c r="AG47" i="26" s="1"/>
  <c r="AF47" i="26"/>
  <c r="W38" i="26"/>
  <c r="AG38" i="26" s="1"/>
  <c r="AF38" i="26"/>
  <c r="W16" i="26"/>
  <c r="AG16" i="26" s="1"/>
  <c r="AF16" i="26"/>
  <c r="D148" i="36"/>
  <c r="H148" i="36"/>
  <c r="W22" i="26"/>
  <c r="AG22" i="26" s="1"/>
  <c r="AF22" i="26"/>
  <c r="AJ36" i="10"/>
  <c r="AA64" i="10"/>
  <c r="AJ64" i="10" s="1"/>
  <c r="H70" i="36"/>
  <c r="R6" i="56" s="1"/>
  <c r="R7" i="56" l="1"/>
  <c r="F77" i="56"/>
  <c r="I77" i="56"/>
  <c r="L77" i="56"/>
  <c r="L80" i="56"/>
  <c r="F80" i="56"/>
  <c r="I80" i="56"/>
  <c r="I79" i="56"/>
  <c r="F79" i="56"/>
  <c r="L79" i="56"/>
  <c r="F74" i="56"/>
  <c r="L74" i="56"/>
  <c r="I74" i="56"/>
  <c r="F72" i="56"/>
  <c r="I72" i="56"/>
  <c r="L72" i="56"/>
  <c r="F73" i="56"/>
  <c r="I73" i="56"/>
  <c r="L73" i="56"/>
  <c r="L76" i="56"/>
  <c r="F76" i="56"/>
  <c r="I76" i="56"/>
  <c r="F75" i="56"/>
  <c r="L75" i="56"/>
  <c r="I75" i="56"/>
  <c r="F78" i="56"/>
  <c r="L78" i="56"/>
  <c r="I78" i="56"/>
  <c r="F202" i="36"/>
  <c r="I202" i="36"/>
  <c r="I201" i="36"/>
  <c r="J201" i="36"/>
  <c r="J202" i="36"/>
  <c r="E201" i="36"/>
  <c r="E202" i="36"/>
  <c r="Y201" i="36"/>
  <c r="Y202" i="36"/>
  <c r="K201" i="36"/>
  <c r="K202" i="36"/>
  <c r="W201" i="36"/>
  <c r="W202" i="36"/>
  <c r="P202" i="36"/>
  <c r="P201" i="36"/>
  <c r="X202" i="36"/>
  <c r="X201" i="36"/>
  <c r="AB201" i="36"/>
  <c r="AB202" i="36"/>
  <c r="D199" i="36"/>
  <c r="D200" i="36" s="1"/>
  <c r="T202" i="36"/>
  <c r="T201" i="36"/>
  <c r="AA201" i="36"/>
  <c r="AA202" i="36"/>
  <c r="V201" i="36"/>
  <c r="V202" i="36"/>
  <c r="Z202" i="36"/>
  <c r="Z201" i="36"/>
  <c r="F106" i="56"/>
  <c r="F108" i="13" s="1"/>
  <c r="W48" i="26"/>
  <c r="AG48" i="26" s="1"/>
  <c r="W26" i="26"/>
  <c r="AG26" i="26" s="1"/>
  <c r="AF28" i="26"/>
  <c r="AF59" i="26" s="1"/>
  <c r="AF69" i="26" s="1"/>
  <c r="W33" i="26"/>
  <c r="AG33" i="26" s="1"/>
  <c r="L70" i="36"/>
  <c r="R202" i="36"/>
  <c r="R201" i="36"/>
  <c r="Q202" i="36"/>
  <c r="Q201" i="36"/>
  <c r="G202" i="36"/>
  <c r="G201" i="36"/>
  <c r="N201" i="36"/>
  <c r="N202" i="36"/>
  <c r="D129" i="36"/>
  <c r="D140" i="36"/>
  <c r="H202" i="36"/>
  <c r="H201" i="36"/>
  <c r="AJ66" i="10"/>
  <c r="AJ67" i="10"/>
  <c r="AJ74" i="10"/>
  <c r="S201" i="36"/>
  <c r="S202" i="36"/>
  <c r="U201" i="36"/>
  <c r="U202" i="36"/>
  <c r="E135" i="13"/>
  <c r="H87" i="36"/>
  <c r="L202" i="36"/>
  <c r="L201" i="36"/>
  <c r="AG11" i="26"/>
  <c r="M202" i="36"/>
  <c r="M201" i="36"/>
  <c r="F108" i="56" l="1"/>
  <c r="F110" i="13" s="1"/>
  <c r="C71" i="56"/>
  <c r="F71" i="56" s="1"/>
  <c r="F104" i="56" s="1"/>
  <c r="F106" i="13" s="1"/>
  <c r="R17" i="56"/>
  <c r="D202" i="36"/>
  <c r="P226" i="36" s="1" a="1"/>
  <c r="D201" i="36"/>
  <c r="J226" i="36" s="1" a="1"/>
  <c r="W59" i="26"/>
  <c r="AG59" i="26"/>
  <c r="AG61" i="26" s="1"/>
  <c r="AJ70" i="10"/>
  <c r="AJ76" i="10" s="1"/>
  <c r="L87" i="36"/>
  <c r="F127" i="36"/>
  <c r="D160" i="36"/>
  <c r="L71" i="56" l="1"/>
  <c r="I71" i="56"/>
  <c r="F109" i="56"/>
  <c r="F111" i="13" s="1"/>
  <c r="F110" i="56"/>
  <c r="F112" i="13" s="1"/>
  <c r="AG69" i="26"/>
  <c r="AG62" i="26"/>
  <c r="AG65" i="26" s="1"/>
  <c r="AG71" i="26" s="1"/>
  <c r="AE193" i="36"/>
  <c r="AE198" i="36"/>
  <c r="T208" i="36" s="1"/>
  <c r="T209" i="36" s="1"/>
  <c r="E101" i="36"/>
  <c r="E94" i="36"/>
  <c r="E93" i="36"/>
  <c r="E99" i="36"/>
  <c r="E95" i="36"/>
  <c r="E102" i="36"/>
  <c r="E96" i="36"/>
  <c r="E97" i="36"/>
  <c r="E98" i="36"/>
  <c r="E100" i="36"/>
  <c r="P229" i="36"/>
  <c r="P228" i="36"/>
  <c r="P233" i="36"/>
  <c r="P248" i="36"/>
  <c r="P250" i="36"/>
  <c r="P247" i="36"/>
  <c r="P245" i="36"/>
  <c r="P244" i="36"/>
  <c r="P234" i="36"/>
  <c r="P227" i="36"/>
  <c r="P236" i="36"/>
  <c r="P226" i="36"/>
  <c r="P235" i="36"/>
  <c r="P243" i="36"/>
  <c r="P246" i="36"/>
  <c r="P237" i="36"/>
  <c r="P238" i="36"/>
  <c r="P240" i="36"/>
  <c r="P231" i="36"/>
  <c r="P239" i="36"/>
  <c r="P249" i="36"/>
  <c r="P232" i="36"/>
  <c r="P241" i="36"/>
  <c r="P242" i="36"/>
  <c r="P230" i="36"/>
  <c r="J226" i="36"/>
  <c r="J242" i="36"/>
  <c r="J248" i="36"/>
  <c r="J249" i="36"/>
  <c r="J235" i="36"/>
  <c r="J228" i="36"/>
  <c r="J233" i="36"/>
  <c r="J250" i="36"/>
  <c r="J243" i="36"/>
  <c r="J237" i="36"/>
  <c r="J246" i="36"/>
  <c r="J247" i="36"/>
  <c r="J241" i="36"/>
  <c r="J245" i="36"/>
  <c r="J244" i="36"/>
  <c r="J238" i="36"/>
  <c r="J232" i="36"/>
  <c r="J229" i="36"/>
  <c r="J239" i="36"/>
  <c r="J234" i="36"/>
  <c r="J240" i="36"/>
  <c r="J227" i="36"/>
  <c r="J230" i="36"/>
  <c r="J236" i="36"/>
  <c r="J231" i="36"/>
  <c r="AE194" i="36"/>
  <c r="AE192" i="36"/>
  <c r="AE191" i="36"/>
  <c r="F80" i="36"/>
  <c r="D80" i="36"/>
  <c r="D157" i="36"/>
  <c r="G127" i="36"/>
  <c r="F157" i="36" s="1"/>
  <c r="F113" i="13" l="1"/>
  <c r="F111" i="56"/>
  <c r="L208" i="36"/>
  <c r="L209" i="36" s="1"/>
  <c r="U208" i="36"/>
  <c r="U209" i="36" s="1"/>
  <c r="S208" i="36"/>
  <c r="S209" i="36" s="1"/>
  <c r="Q208" i="36"/>
  <c r="Q209" i="36" s="1"/>
  <c r="R208" i="36"/>
  <c r="R209" i="36" s="1"/>
  <c r="Y208" i="36"/>
  <c r="Y209" i="36" s="1"/>
  <c r="AB208" i="36"/>
  <c r="AB209" i="36" s="1"/>
  <c r="Z208" i="36"/>
  <c r="Z209" i="36" s="1"/>
  <c r="X208" i="36"/>
  <c r="X209" i="36" s="1"/>
  <c r="V208" i="36"/>
  <c r="V209" i="36" s="1"/>
  <c r="P208" i="36"/>
  <c r="P209" i="36" s="1"/>
  <c r="AA208" i="36"/>
  <c r="AA209" i="36" s="1"/>
  <c r="W208" i="36"/>
  <c r="W209" i="36" s="1"/>
  <c r="H74" i="36"/>
  <c r="H76" i="36"/>
  <c r="H75" i="36"/>
  <c r="H73" i="36"/>
  <c r="G80" i="36"/>
  <c r="C80" i="36"/>
  <c r="F121" i="36"/>
  <c r="F123" i="36"/>
  <c r="H100" i="36"/>
  <c r="F100" i="36"/>
  <c r="G100" i="36"/>
  <c r="G97" i="36"/>
  <c r="H97" i="36"/>
  <c r="F97" i="36"/>
  <c r="G102" i="36"/>
  <c r="F102" i="36"/>
  <c r="H102" i="36"/>
  <c r="G99" i="36"/>
  <c r="F99" i="36"/>
  <c r="H99" i="36"/>
  <c r="H94" i="36"/>
  <c r="G94" i="36"/>
  <c r="F94" i="36"/>
  <c r="AB210" i="36"/>
  <c r="V205" i="36"/>
  <c r="Q210" i="36"/>
  <c r="S205" i="36"/>
  <c r="L210" i="36"/>
  <c r="V210" i="36"/>
  <c r="L205" i="36"/>
  <c r="T205" i="36"/>
  <c r="AB205" i="36"/>
  <c r="W210" i="36"/>
  <c r="Q205" i="36"/>
  <c r="AA205" i="36"/>
  <c r="T210" i="36"/>
  <c r="R205" i="36"/>
  <c r="Z205" i="36"/>
  <c r="Y210" i="36"/>
  <c r="Y205" i="36"/>
  <c r="R210" i="36"/>
  <c r="Z210" i="36"/>
  <c r="P205" i="36"/>
  <c r="X205" i="36"/>
  <c r="S210" i="36"/>
  <c r="AA210" i="36"/>
  <c r="W205" i="36"/>
  <c r="P210" i="36"/>
  <c r="X210" i="36"/>
  <c r="F98" i="36"/>
  <c r="H98" i="36"/>
  <c r="G98" i="36"/>
  <c r="F96" i="36"/>
  <c r="H96" i="36"/>
  <c r="G96" i="36"/>
  <c r="H95" i="36"/>
  <c r="F95" i="36"/>
  <c r="G95" i="36"/>
  <c r="E103" i="36"/>
  <c r="H93" i="36"/>
  <c r="F93" i="36"/>
  <c r="F103" i="36" s="1"/>
  <c r="G93" i="36"/>
  <c r="H101" i="36"/>
  <c r="G101" i="36"/>
  <c r="F101" i="36"/>
  <c r="F122" i="36"/>
  <c r="Y211" i="36" l="1"/>
  <c r="Y212" i="36"/>
  <c r="F118" i="36"/>
  <c r="F112" i="36"/>
  <c r="F113" i="36"/>
  <c r="F111" i="36"/>
  <c r="F116" i="36"/>
  <c r="F110" i="36"/>
  <c r="G110" i="36" s="1"/>
  <c r="F115" i="36"/>
  <c r="F117" i="36"/>
  <c r="F114" i="36"/>
  <c r="F119" i="36"/>
  <c r="E73" i="36"/>
  <c r="E77" i="36"/>
  <c r="E78" i="36"/>
  <c r="E79" i="36"/>
  <c r="E76" i="36"/>
  <c r="I99" i="36"/>
  <c r="I94" i="36"/>
  <c r="E75" i="36"/>
  <c r="I102" i="36"/>
  <c r="I97" i="36"/>
  <c r="E74" i="36"/>
  <c r="I96" i="36"/>
  <c r="U211" i="36"/>
  <c r="U212" i="36"/>
  <c r="S212" i="36"/>
  <c r="S211" i="36"/>
  <c r="Q212" i="36"/>
  <c r="Q211" i="36"/>
  <c r="P212" i="36"/>
  <c r="P211" i="36"/>
  <c r="AA212" i="36"/>
  <c r="AA211" i="36"/>
  <c r="X206" i="36"/>
  <c r="X207" i="36"/>
  <c r="Z211" i="36"/>
  <c r="Z212" i="36"/>
  <c r="Y207" i="36"/>
  <c r="Y206" i="36"/>
  <c r="Z206" i="36"/>
  <c r="Z207" i="36"/>
  <c r="T211" i="36"/>
  <c r="T212" i="36"/>
  <c r="Q206" i="36"/>
  <c r="Q207" i="36"/>
  <c r="AB207" i="36"/>
  <c r="AB206" i="36"/>
  <c r="L207" i="36"/>
  <c r="L206" i="36"/>
  <c r="AB211" i="36"/>
  <c r="AB212" i="36"/>
  <c r="H150" i="36"/>
  <c r="D150" i="36"/>
  <c r="G120" i="36"/>
  <c r="F150" i="36" s="1"/>
  <c r="H140" i="36"/>
  <c r="I93" i="36"/>
  <c r="I95" i="36"/>
  <c r="G122" i="36"/>
  <c r="F152" i="36" s="1"/>
  <c r="H152" i="36"/>
  <c r="D152" i="36"/>
  <c r="L211" i="36"/>
  <c r="L212" i="36"/>
  <c r="R211" i="36"/>
  <c r="R212" i="36"/>
  <c r="X212" i="36"/>
  <c r="X211" i="36"/>
  <c r="W206" i="36"/>
  <c r="W207" i="36"/>
  <c r="P206" i="36"/>
  <c r="P207" i="36"/>
  <c r="R206" i="36"/>
  <c r="R217" i="36" s="1"/>
  <c r="R207" i="36"/>
  <c r="R218" i="36" s="1"/>
  <c r="AA207" i="36"/>
  <c r="AA206" i="36"/>
  <c r="W211" i="36"/>
  <c r="W212" i="36"/>
  <c r="T207" i="36"/>
  <c r="T206" i="36"/>
  <c r="V212" i="36"/>
  <c r="V211" i="36"/>
  <c r="S207" i="36"/>
  <c r="S206" i="36"/>
  <c r="V206" i="36"/>
  <c r="V207" i="36"/>
  <c r="H153" i="36"/>
  <c r="G123" i="36"/>
  <c r="F153" i="36" s="1"/>
  <c r="D153" i="36"/>
  <c r="H151" i="36"/>
  <c r="G121" i="36"/>
  <c r="F151" i="36" s="1"/>
  <c r="D151" i="36"/>
  <c r="I101" i="36"/>
  <c r="I98" i="36"/>
  <c r="I100" i="36"/>
  <c r="Z218" i="36" l="1"/>
  <c r="T218" i="36"/>
  <c r="P217" i="36"/>
  <c r="Z217" i="36"/>
  <c r="Y217" i="36"/>
  <c r="Y218" i="36"/>
  <c r="S218" i="36"/>
  <c r="T217" i="36"/>
  <c r="P218" i="36"/>
  <c r="S217" i="36"/>
  <c r="V217" i="36"/>
  <c r="AA218" i="36"/>
  <c r="AA217" i="36"/>
  <c r="V218" i="36"/>
  <c r="R219" i="36"/>
  <c r="AF182" i="36"/>
  <c r="G111" i="36"/>
  <c r="F141" i="36" s="1"/>
  <c r="AF183" i="36"/>
  <c r="G112" i="36"/>
  <c r="F142" i="36" s="1"/>
  <c r="AF186" i="36"/>
  <c r="G115" i="36"/>
  <c r="F145" i="36" s="1"/>
  <c r="AF188" i="36"/>
  <c r="G117" i="36"/>
  <c r="F147" i="36" s="1"/>
  <c r="AF181" i="36"/>
  <c r="Q226" i="36" a="1"/>
  <c r="W218" i="36"/>
  <c r="S226" i="36" a="1"/>
  <c r="AB218" i="36"/>
  <c r="X217" i="36"/>
  <c r="I154" i="36"/>
  <c r="AF189" i="36"/>
  <c r="G118" i="36"/>
  <c r="F148" i="36" s="1"/>
  <c r="AF184" i="36"/>
  <c r="G113" i="36"/>
  <c r="F143" i="36" s="1"/>
  <c r="AF190" i="36"/>
  <c r="G119" i="36"/>
  <c r="F149" i="36" s="1"/>
  <c r="AF187" i="36"/>
  <c r="G116" i="36"/>
  <c r="F146" i="36" s="1"/>
  <c r="AF185" i="36"/>
  <c r="G114" i="36"/>
  <c r="F144" i="36" s="1"/>
  <c r="K226" i="36" a="1"/>
  <c r="W217" i="36"/>
  <c r="M226" i="36" a="1"/>
  <c r="AB217" i="36"/>
  <c r="X218" i="36"/>
  <c r="Z219" i="36" l="1"/>
  <c r="T219" i="36"/>
  <c r="P219" i="36"/>
  <c r="Y219" i="36"/>
  <c r="H216" i="36"/>
  <c r="H218" i="36" s="1"/>
  <c r="H215" i="36"/>
  <c r="H217" i="36" s="1"/>
  <c r="N216" i="36"/>
  <c r="N218" i="36" s="1"/>
  <c r="L216" i="36"/>
  <c r="L218" i="36" s="1"/>
  <c r="N215" i="36"/>
  <c r="N217" i="36" s="1"/>
  <c r="L215" i="36"/>
  <c r="L217" i="36" s="1"/>
  <c r="U215" i="36"/>
  <c r="U217" i="36" s="1"/>
  <c r="U216" i="36"/>
  <c r="U218" i="36" s="1"/>
  <c r="D216" i="36"/>
  <c r="D215" i="36"/>
  <c r="I215" i="36"/>
  <c r="I217" i="36" s="1"/>
  <c r="I216" i="36"/>
  <c r="I218" i="36" s="1"/>
  <c r="E215" i="36"/>
  <c r="E217" i="36" s="1"/>
  <c r="E216" i="36"/>
  <c r="E218" i="36" s="1"/>
  <c r="M215" i="36"/>
  <c r="M217" i="36" s="1"/>
  <c r="G215" i="36"/>
  <c r="G217" i="36" s="1"/>
  <c r="M216" i="36"/>
  <c r="M218" i="36" s="1"/>
  <c r="G216" i="36"/>
  <c r="G218" i="36" s="1"/>
  <c r="J216" i="36"/>
  <c r="J218" i="36" s="1"/>
  <c r="J215" i="36"/>
  <c r="J217" i="36" s="1"/>
  <c r="K215" i="36"/>
  <c r="K217" i="36" s="1"/>
  <c r="K216" i="36"/>
  <c r="K218" i="36" s="1"/>
  <c r="I156" i="36"/>
  <c r="I155" i="36"/>
  <c r="E151" i="36"/>
  <c r="E156" i="36"/>
  <c r="E155" i="36"/>
  <c r="E154" i="36"/>
  <c r="S219" i="36"/>
  <c r="Q217" i="36"/>
  <c r="Q218" i="36"/>
  <c r="V219" i="36"/>
  <c r="E153" i="36"/>
  <c r="X219" i="36"/>
  <c r="AA219" i="36"/>
  <c r="E150" i="36"/>
  <c r="M229" i="36"/>
  <c r="M235" i="36"/>
  <c r="M233" i="36"/>
  <c r="M231" i="36"/>
  <c r="M228" i="36"/>
  <c r="M250" i="36"/>
  <c r="M236" i="36"/>
  <c r="M248" i="36"/>
  <c r="M239" i="36"/>
  <c r="M230" i="36"/>
  <c r="M240" i="36"/>
  <c r="M244" i="36"/>
  <c r="M226" i="36"/>
  <c r="M249" i="36"/>
  <c r="M232" i="36"/>
  <c r="M238" i="36"/>
  <c r="M242" i="36"/>
  <c r="M227" i="36"/>
  <c r="M247" i="36"/>
  <c r="M246" i="36"/>
  <c r="M243" i="36"/>
  <c r="M237" i="36"/>
  <c r="M245" i="36"/>
  <c r="M241" i="36"/>
  <c r="M234" i="36"/>
  <c r="S241" i="36"/>
  <c r="S246" i="36"/>
  <c r="S249" i="36"/>
  <c r="S228" i="36"/>
  <c r="S243" i="36"/>
  <c r="S236" i="36"/>
  <c r="S247" i="36"/>
  <c r="S238" i="36"/>
  <c r="S245" i="36"/>
  <c r="S232" i="36"/>
  <c r="S240" i="36"/>
  <c r="S239" i="36"/>
  <c r="S234" i="36"/>
  <c r="S242" i="36"/>
  <c r="S230" i="36"/>
  <c r="S250" i="36"/>
  <c r="S237" i="36"/>
  <c r="S248" i="36"/>
  <c r="S227" i="36"/>
  <c r="S226" i="36"/>
  <c r="S229" i="36"/>
  <c r="S231" i="36"/>
  <c r="S233" i="36"/>
  <c r="S244" i="36"/>
  <c r="S235" i="36"/>
  <c r="Q226" i="36"/>
  <c r="Q233" i="36"/>
  <c r="Q236" i="36"/>
  <c r="Q230" i="36"/>
  <c r="Q229" i="36"/>
  <c r="Q240" i="36"/>
  <c r="Q234" i="36"/>
  <c r="Q247" i="36"/>
  <c r="Q244" i="36"/>
  <c r="Q239" i="36"/>
  <c r="Q246" i="36"/>
  <c r="Q245" i="36"/>
  <c r="Q231" i="36"/>
  <c r="Q228" i="36"/>
  <c r="Q227" i="36"/>
  <c r="Q237" i="36"/>
  <c r="Q232" i="36"/>
  <c r="Q249" i="36"/>
  <c r="Q250" i="36"/>
  <c r="Q238" i="36"/>
  <c r="Q248" i="36"/>
  <c r="Q235" i="36"/>
  <c r="Q241" i="36"/>
  <c r="Q243" i="36"/>
  <c r="Q242" i="36"/>
  <c r="F217" i="36"/>
  <c r="F218" i="36"/>
  <c r="K226" i="36"/>
  <c r="K233" i="36"/>
  <c r="K236" i="36"/>
  <c r="K230" i="36"/>
  <c r="K229" i="36"/>
  <c r="K240" i="36"/>
  <c r="K234" i="36"/>
  <c r="K247" i="36"/>
  <c r="K244" i="36"/>
  <c r="K238" i="36"/>
  <c r="K243" i="36"/>
  <c r="K248" i="36"/>
  <c r="K242" i="36"/>
  <c r="K239" i="36"/>
  <c r="K246" i="36"/>
  <c r="K245" i="36"/>
  <c r="K231" i="36"/>
  <c r="K228" i="36"/>
  <c r="K237" i="36"/>
  <c r="K249" i="36"/>
  <c r="K235" i="36"/>
  <c r="K250" i="36"/>
  <c r="K241" i="36"/>
  <c r="K227" i="36"/>
  <c r="K232" i="36"/>
  <c r="I157" i="36"/>
  <c r="I148" i="36"/>
  <c r="I147" i="36"/>
  <c r="I145" i="36"/>
  <c r="I142" i="36"/>
  <c r="I146" i="36"/>
  <c r="I144" i="36"/>
  <c r="I141" i="36"/>
  <c r="I143" i="36"/>
  <c r="I149" i="36"/>
  <c r="E148" i="36"/>
  <c r="E145" i="36"/>
  <c r="E142" i="36"/>
  <c r="E146" i="36"/>
  <c r="E149" i="36"/>
  <c r="E144" i="36"/>
  <c r="E141" i="36"/>
  <c r="E143" i="36"/>
  <c r="E147" i="36"/>
  <c r="E140" i="36"/>
  <c r="E157" i="36"/>
  <c r="F140" i="36"/>
  <c r="G129" i="36"/>
  <c r="I150" i="36"/>
  <c r="I152" i="36"/>
  <c r="I153" i="36"/>
  <c r="I140" i="36"/>
  <c r="AB219" i="36"/>
  <c r="E152" i="36"/>
  <c r="W219" i="36"/>
  <c r="I151" i="36"/>
  <c r="Q219" i="36" l="1"/>
  <c r="N219" i="36"/>
  <c r="H219" i="36"/>
  <c r="L219" i="36"/>
  <c r="I219" i="36"/>
  <c r="J219" i="36"/>
  <c r="E219" i="36"/>
  <c r="K219" i="36"/>
  <c r="T226" i="36" a="1"/>
  <c r="D218" i="36"/>
  <c r="U219" i="36"/>
  <c r="F219" i="36"/>
  <c r="G154" i="36"/>
  <c r="N226" i="36" a="1"/>
  <c r="D217" i="36"/>
  <c r="G219" i="36"/>
  <c r="M219" i="36"/>
  <c r="G155" i="36" l="1"/>
  <c r="E25" i="37" s="1"/>
  <c r="D25" i="37" s="1"/>
  <c r="G156" i="36"/>
  <c r="E26" i="37" s="1"/>
  <c r="D26" i="37" s="1"/>
  <c r="E24" i="37"/>
  <c r="D24" i="37" s="1"/>
  <c r="D29" i="37"/>
  <c r="G157" i="36"/>
  <c r="G151" i="36"/>
  <c r="E21" i="37" s="1"/>
  <c r="D21" i="37" s="1"/>
  <c r="G153" i="36"/>
  <c r="E23" i="37" s="1"/>
  <c r="D23" i="37" s="1"/>
  <c r="G152" i="36"/>
  <c r="E22" i="37" s="1"/>
  <c r="D22" i="37" s="1"/>
  <c r="G150" i="36"/>
  <c r="E20" i="37" s="1"/>
  <c r="D20" i="37" s="1"/>
  <c r="G144" i="36"/>
  <c r="E14" i="37" s="1"/>
  <c r="D14" i="37" s="1"/>
  <c r="S11" i="56" s="1"/>
  <c r="T11" i="56" s="1"/>
  <c r="G146" i="36"/>
  <c r="E16" i="37" s="1"/>
  <c r="D16" i="37" s="1"/>
  <c r="S13" i="56" s="1"/>
  <c r="T13" i="56" s="1"/>
  <c r="G149" i="36"/>
  <c r="E19" i="37" s="1"/>
  <c r="D19" i="37" s="1"/>
  <c r="S16" i="56" s="1"/>
  <c r="T16" i="56" s="1"/>
  <c r="G143" i="36"/>
  <c r="E13" i="37" s="1"/>
  <c r="D13" i="37" s="1"/>
  <c r="S10" i="56" s="1"/>
  <c r="T10" i="56" s="1"/>
  <c r="G148" i="36"/>
  <c r="E18" i="37" s="1"/>
  <c r="D18" i="37" s="1"/>
  <c r="S15" i="56" s="1"/>
  <c r="T15" i="56" s="1"/>
  <c r="G145" i="36"/>
  <c r="E15" i="37" s="1"/>
  <c r="D15" i="37" s="1"/>
  <c r="S12" i="56" s="1"/>
  <c r="T12" i="56" s="1"/>
  <c r="G141" i="36"/>
  <c r="E11" i="37" s="1"/>
  <c r="D11" i="37" s="1"/>
  <c r="S8" i="56" s="1"/>
  <c r="T8" i="56" s="1"/>
  <c r="G147" i="36"/>
  <c r="E17" i="37" s="1"/>
  <c r="D17" i="37" s="1"/>
  <c r="S14" i="56" s="1"/>
  <c r="T14" i="56" s="1"/>
  <c r="G142" i="36"/>
  <c r="E12" i="37" s="1"/>
  <c r="D12" i="37" s="1"/>
  <c r="S9" i="56" s="1"/>
  <c r="T9" i="56" s="1"/>
  <c r="T228" i="36"/>
  <c r="U228" i="36" s="1"/>
  <c r="T249" i="36"/>
  <c r="U249" i="36" s="1"/>
  <c r="T240" i="36"/>
  <c r="U240" i="36" s="1"/>
  <c r="T235" i="36"/>
  <c r="U235" i="36" s="1"/>
  <c r="T238" i="36"/>
  <c r="U238" i="36" s="1"/>
  <c r="T245" i="36"/>
  <c r="U245" i="36" s="1"/>
  <c r="T236" i="36"/>
  <c r="U236" i="36" s="1"/>
  <c r="T231" i="36"/>
  <c r="U231" i="36" s="1"/>
  <c r="T247" i="36"/>
  <c r="U247" i="36" s="1"/>
  <c r="T242" i="36"/>
  <c r="U242" i="36" s="1"/>
  <c r="T233" i="36"/>
  <c r="U233" i="36" s="1"/>
  <c r="T237" i="36"/>
  <c r="U237" i="36" s="1"/>
  <c r="T241" i="36"/>
  <c r="U241" i="36" s="1"/>
  <c r="T229" i="36"/>
  <c r="U229" i="36" s="1"/>
  <c r="T232" i="36"/>
  <c r="U232" i="36" s="1"/>
  <c r="T248" i="36"/>
  <c r="U248" i="36" s="1"/>
  <c r="T243" i="36"/>
  <c r="U243" i="36" s="1"/>
  <c r="T246" i="36"/>
  <c r="U246" i="36" s="1"/>
  <c r="T226" i="36"/>
  <c r="U226" i="36" s="1"/>
  <c r="T244" i="36"/>
  <c r="U244" i="36" s="1"/>
  <c r="T239" i="36"/>
  <c r="U239" i="36" s="1"/>
  <c r="T234" i="36"/>
  <c r="U234" i="36" s="1"/>
  <c r="T250" i="36"/>
  <c r="U250" i="36" s="1"/>
  <c r="T227" i="36"/>
  <c r="U227" i="36" s="1"/>
  <c r="T230" i="36"/>
  <c r="U230" i="36" s="1"/>
  <c r="G140" i="36"/>
  <c r="N249" i="36"/>
  <c r="O249" i="36" s="1"/>
  <c r="N240" i="36"/>
  <c r="O240" i="36" s="1"/>
  <c r="N235" i="36"/>
  <c r="O235" i="36" s="1"/>
  <c r="N238" i="36"/>
  <c r="O238" i="36" s="1"/>
  <c r="N245" i="36"/>
  <c r="O245" i="36" s="1"/>
  <c r="N236" i="36"/>
  <c r="O236" i="36" s="1"/>
  <c r="N231" i="36"/>
  <c r="O231" i="36" s="1"/>
  <c r="N247" i="36"/>
  <c r="O247" i="36" s="1"/>
  <c r="N242" i="36"/>
  <c r="O242" i="36" s="1"/>
  <c r="N233" i="36"/>
  <c r="O233" i="36" s="1"/>
  <c r="N237" i="36"/>
  <c r="O237" i="36" s="1"/>
  <c r="N241" i="36"/>
  <c r="O241" i="36" s="1"/>
  <c r="N229" i="36"/>
  <c r="O229" i="36" s="1"/>
  <c r="N228" i="36"/>
  <c r="O228" i="36" s="1"/>
  <c r="N232" i="36"/>
  <c r="O232" i="36" s="1"/>
  <c r="N248" i="36"/>
  <c r="O248" i="36" s="1"/>
  <c r="N243" i="36"/>
  <c r="O243" i="36" s="1"/>
  <c r="N246" i="36"/>
  <c r="O246" i="36" s="1"/>
  <c r="N226" i="36"/>
  <c r="O226" i="36" s="1"/>
  <c r="N244" i="36"/>
  <c r="O244" i="36" s="1"/>
  <c r="N239" i="36"/>
  <c r="O239" i="36" s="1"/>
  <c r="N234" i="36"/>
  <c r="O234" i="36" s="1"/>
  <c r="N250" i="36"/>
  <c r="O250" i="36" s="1"/>
  <c r="N227" i="36"/>
  <c r="O227" i="36" s="1"/>
  <c r="N230" i="36"/>
  <c r="O230" i="36" s="1"/>
  <c r="D219" i="36"/>
  <c r="I12" i="37" l="1"/>
  <c r="AC195" i="37"/>
  <c r="D124" i="37"/>
  <c r="AC196" i="37"/>
  <c r="D125" i="37"/>
  <c r="G125" i="37" s="1"/>
  <c r="F155" i="37" s="1"/>
  <c r="AC197" i="37"/>
  <c r="D126" i="37"/>
  <c r="G126" i="37" s="1"/>
  <c r="F156" i="37" s="1"/>
  <c r="E27" i="37"/>
  <c r="D27" i="37" s="1"/>
  <c r="H86" i="37" s="1"/>
  <c r="E10" i="37"/>
  <c r="D112" i="37"/>
  <c r="AC183" i="37"/>
  <c r="D111" i="37"/>
  <c r="AC182" i="37"/>
  <c r="D118" i="37"/>
  <c r="AC189" i="37"/>
  <c r="D119" i="37"/>
  <c r="AC190" i="37"/>
  <c r="AC185" i="37"/>
  <c r="D114" i="37"/>
  <c r="D122" i="37"/>
  <c r="AC193" i="37"/>
  <c r="D121" i="37"/>
  <c r="AC192" i="37"/>
  <c r="H68" i="37"/>
  <c r="V227" i="36"/>
  <c r="W227" i="36" s="1"/>
  <c r="V234" i="36"/>
  <c r="W234" i="36" s="1"/>
  <c r="V244" i="36"/>
  <c r="W244" i="36" s="1"/>
  <c r="V246" i="36"/>
  <c r="W246" i="36" s="1"/>
  <c r="V248" i="36"/>
  <c r="W248" i="36" s="1"/>
  <c r="V229" i="36"/>
  <c r="W229" i="36" s="1"/>
  <c r="V237" i="36"/>
  <c r="W237" i="36" s="1"/>
  <c r="V242" i="36"/>
  <c r="W242" i="36" s="1"/>
  <c r="V231" i="36"/>
  <c r="W231" i="36" s="1"/>
  <c r="V245" i="36"/>
  <c r="W245" i="36" s="1"/>
  <c r="V235" i="36"/>
  <c r="W235" i="36" s="1"/>
  <c r="V249" i="36"/>
  <c r="W249" i="36" s="1"/>
  <c r="AC188" i="37"/>
  <c r="D117" i="37"/>
  <c r="D115" i="37"/>
  <c r="AC186" i="37"/>
  <c r="AC184" i="37"/>
  <c r="D113" i="37"/>
  <c r="AC187" i="37"/>
  <c r="D116" i="37"/>
  <c r="D120" i="37"/>
  <c r="AC191" i="37"/>
  <c r="D123" i="37"/>
  <c r="AC194" i="37"/>
  <c r="V230" i="36"/>
  <c r="W230" i="36" s="1"/>
  <c r="V250" i="36"/>
  <c r="W250" i="36" s="1"/>
  <c r="V239" i="36"/>
  <c r="W239" i="36" s="1"/>
  <c r="V226" i="36"/>
  <c r="W226" i="36" s="1"/>
  <c r="V243" i="36"/>
  <c r="W243" i="36" s="1"/>
  <c r="V232" i="36"/>
  <c r="W232" i="36" s="1"/>
  <c r="V241" i="36"/>
  <c r="W241" i="36" s="1"/>
  <c r="V233" i="36"/>
  <c r="W233" i="36" s="1"/>
  <c r="V247" i="36"/>
  <c r="W247" i="36" s="1"/>
  <c r="V236" i="36"/>
  <c r="W236" i="36" s="1"/>
  <c r="V238" i="36"/>
  <c r="W238" i="36" s="1"/>
  <c r="V240" i="36"/>
  <c r="W240" i="36" s="1"/>
  <c r="V228" i="36"/>
  <c r="W228" i="36" s="1"/>
  <c r="AC198" i="37" l="1"/>
  <c r="X199" i="37" s="1"/>
  <c r="X200" i="37" s="1"/>
  <c r="H199" i="37"/>
  <c r="H200" i="37" s="1"/>
  <c r="D127" i="37"/>
  <c r="G124" i="37"/>
  <c r="F154" i="37" s="1"/>
  <c r="H154" i="37"/>
  <c r="V199" i="37"/>
  <c r="V200" i="37" s="1"/>
  <c r="I199" i="37"/>
  <c r="I200" i="37" s="1"/>
  <c r="J199" i="37"/>
  <c r="J200" i="37" s="1"/>
  <c r="S199" i="37"/>
  <c r="S200" i="37" s="1"/>
  <c r="N199" i="37"/>
  <c r="N200" i="37" s="1"/>
  <c r="K199" i="37"/>
  <c r="K200" i="37" s="1"/>
  <c r="F200" i="37"/>
  <c r="F201" i="37" s="1"/>
  <c r="M199" i="37"/>
  <c r="M200" i="37" s="1"/>
  <c r="G199" i="37"/>
  <c r="G200" i="37" s="1"/>
  <c r="E199" i="37"/>
  <c r="E200" i="37" s="1"/>
  <c r="H156" i="37"/>
  <c r="D156" i="37"/>
  <c r="D155" i="37"/>
  <c r="H155" i="37"/>
  <c r="D154" i="37"/>
  <c r="U199" i="37"/>
  <c r="U200" i="37" s="1"/>
  <c r="G105" i="56"/>
  <c r="G107" i="13" s="1"/>
  <c r="H144" i="37"/>
  <c r="D144" i="37"/>
  <c r="D146" i="37"/>
  <c r="H146" i="37"/>
  <c r="D143" i="37"/>
  <c r="H143" i="37"/>
  <c r="H147" i="37"/>
  <c r="D147" i="37"/>
  <c r="H70" i="37"/>
  <c r="T6" i="56" s="1"/>
  <c r="D149" i="37"/>
  <c r="H149" i="37"/>
  <c r="H148" i="37"/>
  <c r="D148" i="37"/>
  <c r="H141" i="37"/>
  <c r="D141" i="37"/>
  <c r="D142" i="37"/>
  <c r="H142" i="37"/>
  <c r="E29" i="37"/>
  <c r="D10" i="37"/>
  <c r="H69" i="37"/>
  <c r="H85" i="37" s="1"/>
  <c r="I13" i="37"/>
  <c r="D145" i="37"/>
  <c r="H145" i="37"/>
  <c r="Q199" i="37" l="1"/>
  <c r="Q200" i="37" s="1"/>
  <c r="Q201" i="37" s="1"/>
  <c r="T199" i="37"/>
  <c r="T200" i="37" s="1"/>
  <c r="T201" i="37" s="1"/>
  <c r="P199" i="37"/>
  <c r="P200" i="37" s="1"/>
  <c r="P202" i="37" s="1"/>
  <c r="AB199" i="37"/>
  <c r="AB200" i="37" s="1"/>
  <c r="AB202" i="37" s="1"/>
  <c r="AA199" i="37"/>
  <c r="AA200" i="37" s="1"/>
  <c r="AA202" i="37" s="1"/>
  <c r="Z199" i="37"/>
  <c r="Z200" i="37" s="1"/>
  <c r="Z202" i="37" s="1"/>
  <c r="Y199" i="37"/>
  <c r="Y200" i="37" s="1"/>
  <c r="Y202" i="37" s="1"/>
  <c r="L199" i="37"/>
  <c r="L200" i="37" s="1"/>
  <c r="L201" i="37" s="1"/>
  <c r="R199" i="37"/>
  <c r="R200" i="37" s="1"/>
  <c r="R202" i="37" s="1"/>
  <c r="W199" i="37"/>
  <c r="W200" i="37" s="1"/>
  <c r="W201" i="37" s="1"/>
  <c r="S7" i="56"/>
  <c r="S17" i="56" s="1"/>
  <c r="C91" i="56"/>
  <c r="C93" i="56"/>
  <c r="C89" i="56"/>
  <c r="C95" i="56"/>
  <c r="C88" i="56"/>
  <c r="C90" i="56"/>
  <c r="C92" i="56"/>
  <c r="C94" i="56"/>
  <c r="C96" i="56"/>
  <c r="F202" i="37"/>
  <c r="E202" i="37"/>
  <c r="E201" i="37"/>
  <c r="J202" i="37"/>
  <c r="J201" i="37"/>
  <c r="K201" i="37"/>
  <c r="K202" i="37"/>
  <c r="I201" i="37"/>
  <c r="I202" i="37"/>
  <c r="P201" i="37"/>
  <c r="X201" i="37"/>
  <c r="X202" i="37"/>
  <c r="T202" i="37"/>
  <c r="AA201" i="37"/>
  <c r="V201" i="37"/>
  <c r="V202" i="37"/>
  <c r="Z201" i="37"/>
  <c r="U201" i="37"/>
  <c r="U202" i="37"/>
  <c r="H201" i="37"/>
  <c r="H202" i="37"/>
  <c r="H87" i="37"/>
  <c r="E136" i="13"/>
  <c r="N202" i="37"/>
  <c r="N201" i="37"/>
  <c r="Q202" i="37"/>
  <c r="G201" i="37"/>
  <c r="G202" i="37"/>
  <c r="D110" i="37"/>
  <c r="AC181" i="37"/>
  <c r="I10" i="37"/>
  <c r="I11" i="37" s="1"/>
  <c r="M202" i="37"/>
  <c r="M201" i="37"/>
  <c r="L70" i="37"/>
  <c r="S202" i="37"/>
  <c r="S201" i="37"/>
  <c r="L202" i="37" l="1"/>
  <c r="AB201" i="37"/>
  <c r="Y201" i="37"/>
  <c r="W202" i="37"/>
  <c r="R201" i="37"/>
  <c r="T7" i="56"/>
  <c r="F94" i="56"/>
  <c r="L94" i="56"/>
  <c r="I94" i="56"/>
  <c r="F95" i="56"/>
  <c r="L95" i="56"/>
  <c r="I95" i="56"/>
  <c r="I96" i="56"/>
  <c r="L96" i="56"/>
  <c r="F96" i="56"/>
  <c r="F88" i="56"/>
  <c r="I88" i="56"/>
  <c r="L88" i="56"/>
  <c r="I91" i="56"/>
  <c r="F91" i="56"/>
  <c r="L91" i="56"/>
  <c r="L90" i="56"/>
  <c r="I90" i="56"/>
  <c r="F90" i="56"/>
  <c r="F93" i="56"/>
  <c r="I93" i="56"/>
  <c r="L93" i="56"/>
  <c r="L92" i="56"/>
  <c r="F92" i="56"/>
  <c r="G108" i="56" s="1"/>
  <c r="G110" i="13" s="1"/>
  <c r="I92" i="56"/>
  <c r="F89" i="56"/>
  <c r="I89" i="56"/>
  <c r="L89" i="56"/>
  <c r="D199" i="37"/>
  <c r="D200" i="37" s="1"/>
  <c r="G106" i="56"/>
  <c r="G108" i="13" s="1"/>
  <c r="D140" i="37"/>
  <c r="D129" i="37"/>
  <c r="F127" i="37"/>
  <c r="L87" i="37"/>
  <c r="C87" i="56" l="1"/>
  <c r="I87" i="56" s="1"/>
  <c r="T17" i="56"/>
  <c r="D202" i="37"/>
  <c r="P226" i="37" s="1" a="1"/>
  <c r="D201" i="37"/>
  <c r="J226" i="37" s="1" a="1"/>
  <c r="D157" i="37"/>
  <c r="G127" i="37"/>
  <c r="F157" i="37" s="1"/>
  <c r="D160" i="37"/>
  <c r="AE193" i="37"/>
  <c r="AE192" i="37"/>
  <c r="AE198" i="37"/>
  <c r="T208" i="37" s="1"/>
  <c r="T209" i="37" s="1"/>
  <c r="E102" i="37"/>
  <c r="E101" i="37"/>
  <c r="E97" i="37"/>
  <c r="E93" i="37"/>
  <c r="E99" i="37"/>
  <c r="E94" i="37"/>
  <c r="E96" i="37"/>
  <c r="E100" i="37"/>
  <c r="E98" i="37"/>
  <c r="E95" i="37"/>
  <c r="AE191" i="37"/>
  <c r="F80" i="37"/>
  <c r="D80" i="37"/>
  <c r="AE194" i="37"/>
  <c r="F87" i="56" l="1"/>
  <c r="G104" i="56" s="1"/>
  <c r="G106" i="13" s="1"/>
  <c r="L87" i="56"/>
  <c r="G109" i="56"/>
  <c r="G111" i="13" s="1"/>
  <c r="G110" i="56"/>
  <c r="G112" i="13" s="1"/>
  <c r="S208" i="37"/>
  <c r="S209" i="37" s="1"/>
  <c r="Q208" i="37"/>
  <c r="Q209" i="37" s="1"/>
  <c r="R208" i="37"/>
  <c r="R209" i="37" s="1"/>
  <c r="Y208" i="37"/>
  <c r="Y209" i="37" s="1"/>
  <c r="U208" i="37"/>
  <c r="U209" i="37" s="1"/>
  <c r="L208" i="37"/>
  <c r="L209" i="37" s="1"/>
  <c r="AA208" i="37"/>
  <c r="AA209" i="37" s="1"/>
  <c r="W208" i="37"/>
  <c r="W209" i="37" s="1"/>
  <c r="AB208" i="37"/>
  <c r="AB209" i="37" s="1"/>
  <c r="Z208" i="37"/>
  <c r="Z209" i="37" s="1"/>
  <c r="X208" i="37"/>
  <c r="X209" i="37" s="1"/>
  <c r="V208" i="37"/>
  <c r="V209" i="37" s="1"/>
  <c r="P208" i="37"/>
  <c r="P209" i="37" s="1"/>
  <c r="H74" i="37"/>
  <c r="C80" i="37"/>
  <c r="H98" i="37"/>
  <c r="G98" i="37"/>
  <c r="F98" i="37"/>
  <c r="G96" i="37"/>
  <c r="H96" i="37"/>
  <c r="F96" i="37"/>
  <c r="G99" i="37"/>
  <c r="H99" i="37"/>
  <c r="F99" i="37"/>
  <c r="H97" i="37"/>
  <c r="G97" i="37"/>
  <c r="F97" i="37"/>
  <c r="H102" i="37"/>
  <c r="F102" i="37"/>
  <c r="G102" i="37"/>
  <c r="F122" i="37"/>
  <c r="P235" i="37"/>
  <c r="P226" i="37"/>
  <c r="P245" i="37"/>
  <c r="P248" i="37"/>
  <c r="P228" i="37"/>
  <c r="P250" i="37"/>
  <c r="P246" i="37"/>
  <c r="P242" i="37"/>
  <c r="P244" i="37"/>
  <c r="P240" i="37"/>
  <c r="P236" i="37"/>
  <c r="P232" i="37"/>
  <c r="P227" i="37"/>
  <c r="P238" i="37"/>
  <c r="P241" i="37"/>
  <c r="P229" i="37"/>
  <c r="P243" i="37"/>
  <c r="P230" i="37"/>
  <c r="P237" i="37"/>
  <c r="P234" i="37"/>
  <c r="P249" i="37"/>
  <c r="P231" i="37"/>
  <c r="P239" i="37"/>
  <c r="P247" i="37"/>
  <c r="P233" i="37"/>
  <c r="H76" i="37"/>
  <c r="F123" i="37"/>
  <c r="G80" i="37"/>
  <c r="H73" i="37"/>
  <c r="F95" i="37"/>
  <c r="G95" i="37"/>
  <c r="H95" i="37"/>
  <c r="H100" i="37"/>
  <c r="F100" i="37"/>
  <c r="G100" i="37"/>
  <c r="H94" i="37"/>
  <c r="G94" i="37"/>
  <c r="F94" i="37"/>
  <c r="E103" i="37"/>
  <c r="F93" i="37"/>
  <c r="F103" i="37" s="1"/>
  <c r="H93" i="37"/>
  <c r="G93" i="37"/>
  <c r="F101" i="37"/>
  <c r="H101" i="37"/>
  <c r="G101" i="37"/>
  <c r="AA210" i="37"/>
  <c r="Y205" i="37"/>
  <c r="V210" i="37"/>
  <c r="L205" i="37"/>
  <c r="V205" i="37"/>
  <c r="S210" i="37"/>
  <c r="S205" i="37"/>
  <c r="AA205" i="37"/>
  <c r="P210" i="37"/>
  <c r="X210" i="37"/>
  <c r="P205" i="37"/>
  <c r="X205" i="37"/>
  <c r="Q210" i="37"/>
  <c r="R210" i="37"/>
  <c r="R205" i="37"/>
  <c r="Y210" i="37"/>
  <c r="L210" i="37"/>
  <c r="AB210" i="37"/>
  <c r="AB205" i="37"/>
  <c r="Q205" i="37"/>
  <c r="Z210" i="37"/>
  <c r="Z205" i="37"/>
  <c r="W205" i="37"/>
  <c r="T210" i="37"/>
  <c r="T205" i="37"/>
  <c r="W210" i="37"/>
  <c r="J229" i="37"/>
  <c r="J234" i="37"/>
  <c r="J227" i="37"/>
  <c r="J230" i="37"/>
  <c r="J232" i="37"/>
  <c r="J250" i="37"/>
  <c r="J235" i="37"/>
  <c r="J249" i="37"/>
  <c r="J242" i="37"/>
  <c r="J238" i="37"/>
  <c r="J248" i="37"/>
  <c r="J244" i="37"/>
  <c r="J247" i="37"/>
  <c r="J231" i="37"/>
  <c r="J226" i="37"/>
  <c r="J240" i="37"/>
  <c r="J228" i="37"/>
  <c r="J246" i="37"/>
  <c r="J237" i="37"/>
  <c r="J243" i="37"/>
  <c r="J236" i="37"/>
  <c r="J233" i="37"/>
  <c r="J245" i="37"/>
  <c r="J239" i="37"/>
  <c r="J241" i="37"/>
  <c r="F121" i="37"/>
  <c r="H75" i="37"/>
  <c r="G113" i="13" l="1"/>
  <c r="G111" i="56"/>
  <c r="Y211" i="37"/>
  <c r="Y212" i="37"/>
  <c r="F119" i="37"/>
  <c r="F113" i="37"/>
  <c r="F116" i="37"/>
  <c r="F112" i="37"/>
  <c r="F114" i="37"/>
  <c r="F110" i="37"/>
  <c r="G110" i="37" s="1"/>
  <c r="F111" i="37"/>
  <c r="F115" i="37"/>
  <c r="F118" i="37"/>
  <c r="F117" i="37"/>
  <c r="E75" i="37"/>
  <c r="E77" i="37"/>
  <c r="E78" i="37"/>
  <c r="E79" i="37"/>
  <c r="E74" i="37"/>
  <c r="E76" i="37"/>
  <c r="I94" i="37"/>
  <c r="I101" i="37"/>
  <c r="I98" i="37"/>
  <c r="I95" i="37"/>
  <c r="I96" i="37"/>
  <c r="R212" i="37"/>
  <c r="R211" i="37"/>
  <c r="S211" i="37"/>
  <c r="S212" i="37"/>
  <c r="W212" i="37"/>
  <c r="W211" i="37"/>
  <c r="T211" i="37"/>
  <c r="T212" i="37"/>
  <c r="Z206" i="37"/>
  <c r="Z207" i="37"/>
  <c r="Q206" i="37"/>
  <c r="Q207" i="37"/>
  <c r="AB212" i="37"/>
  <c r="AB211" i="37"/>
  <c r="X207" i="37"/>
  <c r="X206" i="37"/>
  <c r="X211" i="37"/>
  <c r="X212" i="37"/>
  <c r="AA206" i="37"/>
  <c r="AA207" i="37"/>
  <c r="L207" i="37"/>
  <c r="L206" i="37"/>
  <c r="Y206" i="37"/>
  <c r="Y207" i="37"/>
  <c r="H152" i="37"/>
  <c r="D152" i="37"/>
  <c r="G122" i="37"/>
  <c r="F152" i="37" s="1"/>
  <c r="L212" i="37"/>
  <c r="L211" i="37"/>
  <c r="H140" i="37"/>
  <c r="I93" i="37"/>
  <c r="I100" i="37"/>
  <c r="I97" i="37"/>
  <c r="I99" i="37"/>
  <c r="E73" i="37"/>
  <c r="Q211" i="37"/>
  <c r="Q212" i="37"/>
  <c r="G121" i="37"/>
  <c r="F151" i="37" s="1"/>
  <c r="D151" i="37"/>
  <c r="H151" i="37"/>
  <c r="T206" i="37"/>
  <c r="T207" i="37"/>
  <c r="W207" i="37"/>
  <c r="W206" i="37"/>
  <c r="Z212" i="37"/>
  <c r="Z211" i="37"/>
  <c r="AB206" i="37"/>
  <c r="AB207" i="37"/>
  <c r="R206" i="37"/>
  <c r="R207" i="37"/>
  <c r="P207" i="37"/>
  <c r="P206" i="37"/>
  <c r="P212" i="37"/>
  <c r="P211" i="37"/>
  <c r="S206" i="37"/>
  <c r="S207" i="37"/>
  <c r="V206" i="37"/>
  <c r="V207" i="37"/>
  <c r="V211" i="37"/>
  <c r="V212" i="37"/>
  <c r="AA211" i="37"/>
  <c r="AA212" i="37"/>
  <c r="D153" i="37"/>
  <c r="H153" i="37"/>
  <c r="G123" i="37"/>
  <c r="F153" i="37" s="1"/>
  <c r="U211" i="37"/>
  <c r="U212" i="37"/>
  <c r="D150" i="37"/>
  <c r="G120" i="37"/>
  <c r="F150" i="37" s="1"/>
  <c r="H150" i="37"/>
  <c r="I102" i="37"/>
  <c r="W218" i="37" l="1"/>
  <c r="T218" i="37"/>
  <c r="W217" i="37"/>
  <c r="T217" i="37"/>
  <c r="Y217" i="37"/>
  <c r="Y218" i="37"/>
  <c r="AB218" i="37"/>
  <c r="R218" i="37"/>
  <c r="AB217" i="37"/>
  <c r="R217" i="37"/>
  <c r="S217" i="37"/>
  <c r="S218" i="37"/>
  <c r="AF189" i="37"/>
  <c r="G118" i="37"/>
  <c r="F148" i="37" s="1"/>
  <c r="AF182" i="37"/>
  <c r="G111" i="37"/>
  <c r="F141" i="37" s="1"/>
  <c r="AF183" i="37"/>
  <c r="G112" i="37"/>
  <c r="F142" i="37" s="1"/>
  <c r="AF190" i="37"/>
  <c r="G119" i="37"/>
  <c r="F149" i="37" s="1"/>
  <c r="AF181" i="37"/>
  <c r="Q226" i="37" a="1"/>
  <c r="V217" i="37"/>
  <c r="P218" i="37"/>
  <c r="M226" i="37" a="1"/>
  <c r="AA217" i="37"/>
  <c r="X218" i="37"/>
  <c r="Z217" i="37"/>
  <c r="I154" i="37"/>
  <c r="AF186" i="37"/>
  <c r="G115" i="37"/>
  <c r="F145" i="37" s="1"/>
  <c r="AF188" i="37"/>
  <c r="G117" i="37"/>
  <c r="F147" i="37" s="1"/>
  <c r="AF185" i="37"/>
  <c r="G114" i="37"/>
  <c r="F144" i="37" s="1"/>
  <c r="AF184" i="37"/>
  <c r="G113" i="37"/>
  <c r="F143" i="37" s="1"/>
  <c r="AF187" i="37"/>
  <c r="G116" i="37"/>
  <c r="F146" i="37" s="1"/>
  <c r="K226" i="37" a="1"/>
  <c r="V218" i="37"/>
  <c r="P217" i="37"/>
  <c r="S226" i="37" a="1"/>
  <c r="AA218" i="37"/>
  <c r="X217" i="37"/>
  <c r="Z218" i="37"/>
  <c r="I153" i="37" l="1"/>
  <c r="W219" i="37"/>
  <c r="T219" i="37"/>
  <c r="Y219" i="37"/>
  <c r="J216" i="37"/>
  <c r="J218" i="37" s="1"/>
  <c r="J215" i="37"/>
  <c r="J217" i="37" s="1"/>
  <c r="U215" i="37"/>
  <c r="U217" i="37" s="1"/>
  <c r="U216" i="37"/>
  <c r="U218" i="37" s="1"/>
  <c r="H216" i="37"/>
  <c r="H218" i="37" s="1"/>
  <c r="H215" i="37"/>
  <c r="H217" i="37" s="1"/>
  <c r="I215" i="37"/>
  <c r="I217" i="37" s="1"/>
  <c r="I216" i="37"/>
  <c r="I218" i="37" s="1"/>
  <c r="I152" i="37"/>
  <c r="I156" i="37"/>
  <c r="I155" i="37"/>
  <c r="D216" i="37"/>
  <c r="D215" i="37"/>
  <c r="N216" i="37"/>
  <c r="N218" i="37" s="1"/>
  <c r="L216" i="37"/>
  <c r="L218" i="37" s="1"/>
  <c r="N215" i="37"/>
  <c r="N217" i="37" s="1"/>
  <c r="L215" i="37"/>
  <c r="E215" i="37"/>
  <c r="E217" i="37" s="1"/>
  <c r="E216" i="37"/>
  <c r="E218" i="37" s="1"/>
  <c r="M215" i="37"/>
  <c r="M217" i="37" s="1"/>
  <c r="G215" i="37"/>
  <c r="G217" i="37" s="1"/>
  <c r="M216" i="37"/>
  <c r="M218" i="37" s="1"/>
  <c r="G216" i="37"/>
  <c r="G218" i="37" s="1"/>
  <c r="K215" i="37"/>
  <c r="K217" i="37" s="1"/>
  <c r="K216" i="37"/>
  <c r="K218" i="37" s="1"/>
  <c r="E150" i="37"/>
  <c r="E156" i="37"/>
  <c r="E155" i="37"/>
  <c r="E154" i="37"/>
  <c r="E151" i="37"/>
  <c r="E153" i="37"/>
  <c r="E152" i="37"/>
  <c r="E141" i="37"/>
  <c r="E149" i="37"/>
  <c r="E144" i="37"/>
  <c r="E145" i="37"/>
  <c r="E147" i="37"/>
  <c r="E157" i="37"/>
  <c r="E148" i="37"/>
  <c r="E143" i="37"/>
  <c r="E146" i="37"/>
  <c r="E142" i="37"/>
  <c r="E140" i="37"/>
  <c r="R219" i="37"/>
  <c r="AB219" i="37"/>
  <c r="S219" i="37"/>
  <c r="Z219" i="37"/>
  <c r="Q217" i="37"/>
  <c r="Q218" i="37"/>
  <c r="V219" i="37"/>
  <c r="AA219" i="37"/>
  <c r="I151" i="37"/>
  <c r="I150" i="37"/>
  <c r="I140" i="37"/>
  <c r="M231" i="37"/>
  <c r="M247" i="37"/>
  <c r="M241" i="37"/>
  <c r="M244" i="37"/>
  <c r="M228" i="37"/>
  <c r="M238" i="37"/>
  <c r="M227" i="37"/>
  <c r="M243" i="37"/>
  <c r="M237" i="37"/>
  <c r="M248" i="37"/>
  <c r="M232" i="37"/>
  <c r="M242" i="37"/>
  <c r="M239" i="37"/>
  <c r="M249" i="37"/>
  <c r="M246" i="37"/>
  <c r="M235" i="37"/>
  <c r="M245" i="37"/>
  <c r="M250" i="37"/>
  <c r="M226" i="37"/>
  <c r="M233" i="37"/>
  <c r="M236" i="37"/>
  <c r="M230" i="37"/>
  <c r="M229" i="37"/>
  <c r="M240" i="37"/>
  <c r="M234" i="37"/>
  <c r="Q249" i="37"/>
  <c r="Q244" i="37"/>
  <c r="Q238" i="37"/>
  <c r="Q245" i="37"/>
  <c r="Q248" i="37"/>
  <c r="Q242" i="37"/>
  <c r="Q241" i="37"/>
  <c r="Q247" i="37"/>
  <c r="Q246" i="37"/>
  <c r="Q237" i="37"/>
  <c r="Q243" i="37"/>
  <c r="Q250" i="37"/>
  <c r="Q239" i="37"/>
  <c r="Q229" i="37"/>
  <c r="Q232" i="37"/>
  <c r="Q231" i="37"/>
  <c r="Q230" i="37"/>
  <c r="Q240" i="37"/>
  <c r="Q233" i="37"/>
  <c r="Q228" i="37"/>
  <c r="Q235" i="37"/>
  <c r="Q226" i="37"/>
  <c r="Q236" i="37"/>
  <c r="Q227" i="37"/>
  <c r="Q234" i="37"/>
  <c r="L217" i="37"/>
  <c r="F217" i="37"/>
  <c r="F218" i="37"/>
  <c r="X219" i="37"/>
  <c r="P219" i="37"/>
  <c r="S229" i="37"/>
  <c r="S245" i="37"/>
  <c r="S235" i="37"/>
  <c r="S248" i="37"/>
  <c r="S232" i="37"/>
  <c r="S242" i="37"/>
  <c r="S226" i="37"/>
  <c r="S241" i="37"/>
  <c r="S231" i="37"/>
  <c r="S247" i="37"/>
  <c r="S236" i="37"/>
  <c r="S246" i="37"/>
  <c r="S230" i="37"/>
  <c r="S237" i="37"/>
  <c r="S243" i="37"/>
  <c r="S250" i="37"/>
  <c r="S233" i="37"/>
  <c r="S239" i="37"/>
  <c r="S228" i="37"/>
  <c r="S227" i="37"/>
  <c r="S240" i="37"/>
  <c r="S234" i="37"/>
  <c r="S249" i="37"/>
  <c r="S244" i="37"/>
  <c r="S238" i="37"/>
  <c r="K249" i="37"/>
  <c r="K233" i="37"/>
  <c r="K236" i="37"/>
  <c r="K235" i="37"/>
  <c r="K226" i="37"/>
  <c r="K240" i="37"/>
  <c r="K231" i="37"/>
  <c r="K229" i="37"/>
  <c r="K250" i="37"/>
  <c r="K237" i="37"/>
  <c r="K247" i="37"/>
  <c r="K242" i="37"/>
  <c r="K245" i="37"/>
  <c r="K244" i="37"/>
  <c r="K234" i="37"/>
  <c r="K228" i="37"/>
  <c r="K232" i="37"/>
  <c r="K243" i="37"/>
  <c r="K241" i="37"/>
  <c r="K238" i="37"/>
  <c r="K227" i="37"/>
  <c r="K230" i="37"/>
  <c r="K239" i="37"/>
  <c r="K246" i="37"/>
  <c r="K248" i="37"/>
  <c r="I157" i="37"/>
  <c r="I143" i="37"/>
  <c r="I146" i="37"/>
  <c r="I141" i="37"/>
  <c r="I149" i="37"/>
  <c r="I145" i="37"/>
  <c r="I142" i="37"/>
  <c r="I148" i="37"/>
  <c r="I147" i="37"/>
  <c r="I144" i="37"/>
  <c r="F140" i="37"/>
  <c r="G129" i="37"/>
  <c r="E159" i="37" l="1"/>
  <c r="I159" i="37"/>
  <c r="Q219" i="37"/>
  <c r="L219" i="37"/>
  <c r="N219" i="37"/>
  <c r="I219" i="37"/>
  <c r="H219" i="37"/>
  <c r="K219" i="37"/>
  <c r="E219" i="37"/>
  <c r="J219" i="37"/>
  <c r="F219" i="37"/>
  <c r="G154" i="37"/>
  <c r="N226" i="37" a="1"/>
  <c r="D217" i="37"/>
  <c r="M219" i="37"/>
  <c r="U219" i="37"/>
  <c r="T226" i="37" a="1"/>
  <c r="D218" i="37"/>
  <c r="G219" i="37"/>
  <c r="G156" i="37" l="1"/>
  <c r="G155" i="37"/>
  <c r="D219" i="37"/>
  <c r="N228" i="37"/>
  <c r="O228" i="37" s="1"/>
  <c r="N232" i="37"/>
  <c r="O232" i="37" s="1"/>
  <c r="N248" i="37"/>
  <c r="O248" i="37" s="1"/>
  <c r="N243" i="37"/>
  <c r="O243" i="37" s="1"/>
  <c r="N246" i="37"/>
  <c r="O246" i="37" s="1"/>
  <c r="N226" i="37"/>
  <c r="O226" i="37" s="1"/>
  <c r="N244" i="37"/>
  <c r="O244" i="37" s="1"/>
  <c r="N239" i="37"/>
  <c r="O239" i="37" s="1"/>
  <c r="N234" i="37"/>
  <c r="O234" i="37" s="1"/>
  <c r="N250" i="37"/>
  <c r="O250" i="37" s="1"/>
  <c r="N227" i="37"/>
  <c r="O227" i="37" s="1"/>
  <c r="N229" i="37"/>
  <c r="O229" i="37" s="1"/>
  <c r="N249" i="37"/>
  <c r="O249" i="37" s="1"/>
  <c r="N240" i="37"/>
  <c r="O240" i="37" s="1"/>
  <c r="N235" i="37"/>
  <c r="O235" i="37" s="1"/>
  <c r="N238" i="37"/>
  <c r="O238" i="37" s="1"/>
  <c r="N245" i="37"/>
  <c r="O245" i="37" s="1"/>
  <c r="N236" i="37"/>
  <c r="O236" i="37" s="1"/>
  <c r="N231" i="37"/>
  <c r="O231" i="37" s="1"/>
  <c r="N247" i="37"/>
  <c r="O247" i="37" s="1"/>
  <c r="N242" i="37"/>
  <c r="O242" i="37" s="1"/>
  <c r="N233" i="37"/>
  <c r="O233" i="37" s="1"/>
  <c r="N237" i="37"/>
  <c r="O237" i="37" s="1"/>
  <c r="N241" i="37"/>
  <c r="O241" i="37" s="1"/>
  <c r="N230" i="37"/>
  <c r="O230" i="37" s="1"/>
  <c r="G157" i="37"/>
  <c r="G152" i="37"/>
  <c r="G151" i="37"/>
  <c r="G150" i="37"/>
  <c r="G153" i="37"/>
  <c r="G144" i="37"/>
  <c r="G145" i="37"/>
  <c r="G149" i="37"/>
  <c r="G141" i="37"/>
  <c r="G143" i="37"/>
  <c r="G147" i="37"/>
  <c r="G146" i="37"/>
  <c r="G142" i="37"/>
  <c r="G148" i="37"/>
  <c r="T232" i="37"/>
  <c r="U232" i="37" s="1"/>
  <c r="T248" i="37"/>
  <c r="U248" i="37" s="1"/>
  <c r="T243" i="37"/>
  <c r="U243" i="37" s="1"/>
  <c r="T246" i="37"/>
  <c r="U246" i="37" s="1"/>
  <c r="T226" i="37"/>
  <c r="U226" i="37" s="1"/>
  <c r="T244" i="37"/>
  <c r="U244" i="37" s="1"/>
  <c r="T239" i="37"/>
  <c r="U239" i="37" s="1"/>
  <c r="T234" i="37"/>
  <c r="U234" i="37" s="1"/>
  <c r="T250" i="37"/>
  <c r="U250" i="37" s="1"/>
  <c r="T241" i="37"/>
  <c r="U241" i="37" s="1"/>
  <c r="T229" i="37"/>
  <c r="U229" i="37" s="1"/>
  <c r="T227" i="37"/>
  <c r="U227" i="37" s="1"/>
  <c r="V227" i="37" s="1"/>
  <c r="W227" i="37" s="1"/>
  <c r="T228" i="37"/>
  <c r="U228" i="37" s="1"/>
  <c r="T249" i="37"/>
  <c r="U249" i="37" s="1"/>
  <c r="V249" i="37" s="1"/>
  <c r="W249" i="37" s="1"/>
  <c r="T240" i="37"/>
  <c r="U240" i="37" s="1"/>
  <c r="T235" i="37"/>
  <c r="U235" i="37" s="1"/>
  <c r="V235" i="37" s="1"/>
  <c r="W235" i="37" s="1"/>
  <c r="T238" i="37"/>
  <c r="U238" i="37" s="1"/>
  <c r="V238" i="37" s="1"/>
  <c r="W238" i="37" s="1"/>
  <c r="T245" i="37"/>
  <c r="U245" i="37" s="1"/>
  <c r="V245" i="37" s="1"/>
  <c r="W245" i="37" s="1"/>
  <c r="T236" i="37"/>
  <c r="U236" i="37" s="1"/>
  <c r="V236" i="37" s="1"/>
  <c r="W236" i="37" s="1"/>
  <c r="T231" i="37"/>
  <c r="U231" i="37" s="1"/>
  <c r="V231" i="37" s="1"/>
  <c r="W231" i="37" s="1"/>
  <c r="T247" i="37"/>
  <c r="U247" i="37" s="1"/>
  <c r="V247" i="37" s="1"/>
  <c r="W247" i="37" s="1"/>
  <c r="T242" i="37"/>
  <c r="U242" i="37" s="1"/>
  <c r="V242" i="37" s="1"/>
  <c r="W242" i="37" s="1"/>
  <c r="T233" i="37"/>
  <c r="U233" i="37" s="1"/>
  <c r="V233" i="37" s="1"/>
  <c r="W233" i="37" s="1"/>
  <c r="T237" i="37"/>
  <c r="U237" i="37" s="1"/>
  <c r="V237" i="37" s="1"/>
  <c r="W237" i="37" s="1"/>
  <c r="T230" i="37"/>
  <c r="U230" i="37" s="1"/>
  <c r="G140" i="37"/>
  <c r="G159" i="37" l="1"/>
  <c r="V240" i="37"/>
  <c r="W240" i="37" s="1"/>
  <c r="V229" i="37"/>
  <c r="W229" i="37" s="1"/>
  <c r="V239" i="37"/>
  <c r="W239" i="37" s="1"/>
  <c r="V243" i="37"/>
  <c r="W243" i="37" s="1"/>
  <c r="V230" i="37"/>
  <c r="W230" i="37" s="1"/>
  <c r="V228" i="37"/>
  <c r="W228" i="37" s="1"/>
  <c r="V234" i="37"/>
  <c r="W234" i="37" s="1"/>
  <c r="V246" i="37"/>
  <c r="W246" i="37" s="1"/>
  <c r="V241" i="37"/>
  <c r="W241" i="37" s="1"/>
  <c r="V244" i="37"/>
  <c r="W244" i="37" s="1"/>
  <c r="V248" i="37"/>
  <c r="W248" i="37" s="1"/>
  <c r="V250" i="37"/>
  <c r="W250" i="37" s="1"/>
  <c r="V226" i="37"/>
  <c r="W226" i="37" s="1"/>
  <c r="V232" i="37"/>
  <c r="W232" i="37" s="1"/>
</calcChain>
</file>

<file path=xl/comments1.xml><?xml version="1.0" encoding="utf-8"?>
<comments xmlns="http://schemas.openxmlformats.org/spreadsheetml/2006/main">
  <authors>
    <author>Etienne Guillard</author>
  </authors>
  <commentList>
    <comment ref="J229" authorId="0" shapeId="0">
      <text>
        <r>
          <rPr>
            <b/>
            <sz val="9"/>
            <color indexed="81"/>
            <rFont val="Tahoma"/>
            <family val="2"/>
          </rPr>
          <t>Etienne Guillard:</t>
        </r>
        <r>
          <rPr>
            <sz val="9"/>
            <color indexed="81"/>
            <rFont val="Tahoma"/>
            <family val="2"/>
          </rPr>
          <t xml:space="preserve">
En fonction des données de l'onglet 'Données &amp; hypothèses Adultes'</t>
        </r>
      </text>
    </comment>
    <comment ref="K229" authorId="0" shapeId="0">
      <text>
        <r>
          <rPr>
            <b/>
            <sz val="9"/>
            <color indexed="81"/>
            <rFont val="Tahoma"/>
            <family val="2"/>
          </rPr>
          <t>Etienne Guillard:</t>
        </r>
        <r>
          <rPr>
            <sz val="9"/>
            <color indexed="81"/>
            <rFont val="Tahoma"/>
            <family val="2"/>
          </rPr>
          <t xml:space="preserve">
En fonction des données de l'onglet 'Données &amp; hypothèses Adultes'</t>
        </r>
      </text>
    </comment>
    <comment ref="L229" authorId="0" shapeId="0">
      <text>
        <r>
          <rPr>
            <b/>
            <sz val="9"/>
            <color indexed="81"/>
            <rFont val="Tahoma"/>
            <family val="2"/>
          </rPr>
          <t>Etienne Guillard:</t>
        </r>
        <r>
          <rPr>
            <sz val="9"/>
            <color indexed="81"/>
            <rFont val="Tahoma"/>
            <family val="2"/>
          </rPr>
          <t xml:space="preserve">
En fonction des données de l'onglet 'Données &amp; hypothèses Adultes'</t>
        </r>
      </text>
    </comment>
    <comment ref="M229" authorId="0" shapeId="0">
      <text>
        <r>
          <rPr>
            <b/>
            <sz val="9"/>
            <color indexed="81"/>
            <rFont val="Tahoma"/>
            <family val="2"/>
          </rPr>
          <t>Etienne Guillard:</t>
        </r>
        <r>
          <rPr>
            <sz val="9"/>
            <color indexed="81"/>
            <rFont val="Tahoma"/>
            <family val="2"/>
          </rPr>
          <t xml:space="preserve">
En fonction des données de l'onglet 'Données &amp; hypothèses Adultes'</t>
        </r>
      </text>
    </comment>
    <comment ref="P229" authorId="0" shapeId="0">
      <text>
        <r>
          <rPr>
            <b/>
            <sz val="9"/>
            <color indexed="81"/>
            <rFont val="Tahoma"/>
            <family val="2"/>
          </rPr>
          <t>Etienne Guillard:</t>
        </r>
        <r>
          <rPr>
            <sz val="9"/>
            <color indexed="81"/>
            <rFont val="Tahoma"/>
            <family val="2"/>
          </rPr>
          <t xml:space="preserve">
En fonction des données de l'onglet 'Données &amp; hypothèses Adultes'</t>
        </r>
      </text>
    </comment>
    <comment ref="Q229" authorId="0" shapeId="0">
      <text>
        <r>
          <rPr>
            <b/>
            <sz val="9"/>
            <color indexed="81"/>
            <rFont val="Tahoma"/>
            <family val="2"/>
          </rPr>
          <t>Etienne Guillard:</t>
        </r>
        <r>
          <rPr>
            <sz val="9"/>
            <color indexed="81"/>
            <rFont val="Tahoma"/>
            <family val="2"/>
          </rPr>
          <t xml:space="preserve">
En fonction des données de l'onglet 'Données &amp; hypothèses Adultes'</t>
        </r>
      </text>
    </comment>
    <comment ref="R229" authorId="0" shapeId="0">
      <text>
        <r>
          <rPr>
            <b/>
            <sz val="9"/>
            <color indexed="81"/>
            <rFont val="Tahoma"/>
            <family val="2"/>
          </rPr>
          <t>Etienne Guillard:</t>
        </r>
        <r>
          <rPr>
            <sz val="9"/>
            <color indexed="81"/>
            <rFont val="Tahoma"/>
            <family val="2"/>
          </rPr>
          <t xml:space="preserve">
En fonction des données de l'onglet 'Données &amp; hypothèses Adultes'</t>
        </r>
      </text>
    </comment>
    <comment ref="S229" authorId="0" shapeId="0">
      <text>
        <r>
          <rPr>
            <b/>
            <sz val="9"/>
            <color indexed="81"/>
            <rFont val="Tahoma"/>
            <family val="2"/>
          </rPr>
          <t>Etienne Guillard:</t>
        </r>
        <r>
          <rPr>
            <sz val="9"/>
            <color indexed="81"/>
            <rFont val="Tahoma"/>
            <family val="2"/>
          </rPr>
          <t xml:space="preserve">
En fonction des données de l'onglet 'Données &amp; hypothèses Adultes'</t>
        </r>
      </text>
    </comment>
  </commentList>
</comments>
</file>

<file path=xl/comments2.xml><?xml version="1.0" encoding="utf-8"?>
<comments xmlns="http://schemas.openxmlformats.org/spreadsheetml/2006/main">
  <authors>
    <author>Etienne Guillard</author>
  </authors>
  <commentList>
    <comment ref="M110" authorId="0" shapeId="0">
      <text>
        <r>
          <rPr>
            <b/>
            <sz val="9"/>
            <color indexed="81"/>
            <rFont val="Tahoma"/>
            <family val="2"/>
          </rPr>
          <t>Etienne Guillard:</t>
        </r>
        <r>
          <rPr>
            <sz val="9"/>
            <color indexed="81"/>
            <rFont val="Tahoma"/>
            <family val="2"/>
          </rPr>
          <t xml:space="preserve">
En fonction des données de l'onglet 'Données &amp; hypothèses Adultes'</t>
        </r>
      </text>
    </comment>
    <comment ref="N110" authorId="0" shapeId="0">
      <text>
        <r>
          <rPr>
            <b/>
            <sz val="9"/>
            <color indexed="81"/>
            <rFont val="Tahoma"/>
            <family val="2"/>
          </rPr>
          <t>Etienne Guillard:</t>
        </r>
        <r>
          <rPr>
            <sz val="9"/>
            <color indexed="81"/>
            <rFont val="Tahoma"/>
            <family val="2"/>
          </rPr>
          <t xml:space="preserve">
En fonction des données de l'onglet 'Données &amp; hypothèses Adultes'</t>
        </r>
      </text>
    </comment>
    <comment ref="O110" authorId="0" shapeId="0">
      <text>
        <r>
          <rPr>
            <b/>
            <sz val="9"/>
            <color indexed="81"/>
            <rFont val="Tahoma"/>
            <family val="2"/>
          </rPr>
          <t>Etienne Guillard:</t>
        </r>
        <r>
          <rPr>
            <sz val="9"/>
            <color indexed="81"/>
            <rFont val="Tahoma"/>
            <family val="2"/>
          </rPr>
          <t xml:space="preserve">
En fonction des données de l'onglet 'Données &amp; hypothèses Adultes'</t>
        </r>
      </text>
    </comment>
    <comment ref="P110" authorId="0" shapeId="0">
      <text>
        <r>
          <rPr>
            <b/>
            <sz val="9"/>
            <color indexed="81"/>
            <rFont val="Tahoma"/>
            <family val="2"/>
          </rPr>
          <t>Etienne Guillard:</t>
        </r>
        <r>
          <rPr>
            <sz val="9"/>
            <color indexed="81"/>
            <rFont val="Tahoma"/>
            <family val="2"/>
          </rPr>
          <t xml:space="preserve">
En fonction des données de l'onglet 'Données &amp; hypothèses Adultes'</t>
        </r>
      </text>
    </comment>
    <comment ref="S110" authorId="0" shapeId="0">
      <text>
        <r>
          <rPr>
            <b/>
            <sz val="9"/>
            <color indexed="81"/>
            <rFont val="Tahoma"/>
            <family val="2"/>
          </rPr>
          <t>Etienne Guillard:</t>
        </r>
        <r>
          <rPr>
            <sz val="9"/>
            <color indexed="81"/>
            <rFont val="Tahoma"/>
            <family val="2"/>
          </rPr>
          <t xml:space="preserve">
En fonction des données de l'onglet 'Données &amp; hypothèses Adultes'</t>
        </r>
      </text>
    </comment>
    <comment ref="T110" authorId="0" shapeId="0">
      <text>
        <r>
          <rPr>
            <b/>
            <sz val="9"/>
            <color indexed="81"/>
            <rFont val="Tahoma"/>
            <family val="2"/>
          </rPr>
          <t>Etienne Guillard:</t>
        </r>
        <r>
          <rPr>
            <sz val="9"/>
            <color indexed="81"/>
            <rFont val="Tahoma"/>
            <family val="2"/>
          </rPr>
          <t xml:space="preserve">
En fonction des données de l'onglet 'Données &amp; hypothèses Adultes'</t>
        </r>
      </text>
    </comment>
    <comment ref="U110" authorId="0" shapeId="0">
      <text>
        <r>
          <rPr>
            <b/>
            <sz val="9"/>
            <color indexed="81"/>
            <rFont val="Tahoma"/>
            <family val="2"/>
          </rPr>
          <t>Etienne Guillard:</t>
        </r>
        <r>
          <rPr>
            <sz val="9"/>
            <color indexed="81"/>
            <rFont val="Tahoma"/>
            <family val="2"/>
          </rPr>
          <t xml:space="preserve">
En fonction des données de l'onglet 'Données &amp; hypothèses Adultes'</t>
        </r>
      </text>
    </comment>
    <comment ref="V110" authorId="0" shapeId="0">
      <text>
        <r>
          <rPr>
            <b/>
            <sz val="9"/>
            <color indexed="81"/>
            <rFont val="Tahoma"/>
            <family val="2"/>
          </rPr>
          <t>Etienne Guillard:</t>
        </r>
        <r>
          <rPr>
            <sz val="9"/>
            <color indexed="81"/>
            <rFont val="Tahoma"/>
            <family val="2"/>
          </rPr>
          <t xml:space="preserve">
En fonction des données de l'onglet 'Données &amp; hypothèses Adultes'</t>
        </r>
      </text>
    </comment>
  </commentList>
</comments>
</file>

<file path=xl/comments3.xml><?xml version="1.0" encoding="utf-8"?>
<comments xmlns="http://schemas.openxmlformats.org/spreadsheetml/2006/main">
  <authors>
    <author>Etienne Guillard</author>
  </authors>
  <commentList>
    <comment ref="L229" authorId="0" shapeId="0">
      <text>
        <r>
          <rPr>
            <b/>
            <sz val="9"/>
            <color indexed="81"/>
            <rFont val="Tahoma"/>
            <family val="2"/>
          </rPr>
          <t>Etienne Guillard:</t>
        </r>
        <r>
          <rPr>
            <sz val="9"/>
            <color indexed="81"/>
            <rFont val="Tahoma"/>
            <family val="2"/>
          </rPr>
          <t xml:space="preserve">
En fonction des données de l'onglet 'Données &amp; hypothèses Adultes'</t>
        </r>
      </text>
    </comment>
    <comment ref="R229" authorId="0" shapeId="0">
      <text>
        <r>
          <rPr>
            <b/>
            <sz val="9"/>
            <color indexed="81"/>
            <rFont val="Tahoma"/>
            <family val="2"/>
          </rPr>
          <t>Etienne Guillard:</t>
        </r>
        <r>
          <rPr>
            <sz val="9"/>
            <color indexed="81"/>
            <rFont val="Tahoma"/>
            <family val="2"/>
          </rPr>
          <t xml:space="preserve">
En fonction des données de l'onglet 'Données &amp; hypothèses Adultes'</t>
        </r>
      </text>
    </comment>
    <comment ref="J240" authorId="0" shapeId="0">
      <text>
        <r>
          <rPr>
            <b/>
            <sz val="8"/>
            <color indexed="81"/>
            <rFont val="Tahoma"/>
            <family val="2"/>
          </rPr>
          <t>Etienne Guillard:</t>
        </r>
        <r>
          <rPr>
            <sz val="8"/>
            <color indexed="81"/>
            <rFont val="Tahoma"/>
            <family val="2"/>
          </rPr>
          <t xml:space="preserve">
Voir commentaire [2]</t>
        </r>
      </text>
    </comment>
    <comment ref="J241" authorId="0" shapeId="0">
      <text>
        <r>
          <rPr>
            <b/>
            <sz val="8"/>
            <color indexed="81"/>
            <rFont val="Tahoma"/>
            <family val="2"/>
          </rPr>
          <t>Etienne Guillard:</t>
        </r>
        <r>
          <rPr>
            <sz val="8"/>
            <color indexed="81"/>
            <rFont val="Tahoma"/>
            <family val="2"/>
          </rPr>
          <t xml:space="preserve">
Voir commentaire [2]</t>
        </r>
      </text>
    </comment>
  </commentList>
</comments>
</file>

<file path=xl/comments4.xml><?xml version="1.0" encoding="utf-8"?>
<comments xmlns="http://schemas.openxmlformats.org/spreadsheetml/2006/main">
  <authors>
    <author>Etienne Guillard</author>
  </authors>
  <commentList>
    <comment ref="L229" authorId="0" shapeId="0">
      <text>
        <r>
          <rPr>
            <b/>
            <sz val="9"/>
            <color indexed="81"/>
            <rFont val="Tahoma"/>
            <family val="2"/>
          </rPr>
          <t>Etienne Guillard:</t>
        </r>
        <r>
          <rPr>
            <sz val="9"/>
            <color indexed="81"/>
            <rFont val="Tahoma"/>
            <family val="2"/>
          </rPr>
          <t xml:space="preserve">
En fonction des données de l'onglet 'Données &amp; hypothèses Adultes'</t>
        </r>
      </text>
    </comment>
    <comment ref="R229" authorId="0" shapeId="0">
      <text>
        <r>
          <rPr>
            <b/>
            <sz val="9"/>
            <color indexed="81"/>
            <rFont val="Tahoma"/>
            <family val="2"/>
          </rPr>
          <t>Etienne Guillard:</t>
        </r>
        <r>
          <rPr>
            <sz val="9"/>
            <color indexed="81"/>
            <rFont val="Tahoma"/>
            <family val="2"/>
          </rPr>
          <t xml:space="preserve">
En fonction des données de l'onglet 'Données &amp; hypothèses Adultes'</t>
        </r>
      </text>
    </comment>
    <comment ref="J240" authorId="0" shapeId="0">
      <text>
        <r>
          <rPr>
            <b/>
            <sz val="8"/>
            <color indexed="81"/>
            <rFont val="Tahoma"/>
            <family val="2"/>
          </rPr>
          <t>Etienne Guillard:</t>
        </r>
        <r>
          <rPr>
            <sz val="8"/>
            <color indexed="81"/>
            <rFont val="Tahoma"/>
            <family val="2"/>
          </rPr>
          <t xml:space="preserve">
Voir commentaire [2]</t>
        </r>
      </text>
    </comment>
    <comment ref="J241" authorId="0" shapeId="0">
      <text>
        <r>
          <rPr>
            <b/>
            <sz val="8"/>
            <color indexed="81"/>
            <rFont val="Tahoma"/>
            <family val="2"/>
          </rPr>
          <t>Etienne Guillard:</t>
        </r>
        <r>
          <rPr>
            <sz val="8"/>
            <color indexed="81"/>
            <rFont val="Tahoma"/>
            <family val="2"/>
          </rPr>
          <t xml:space="preserve">
Voir commentaire [2]</t>
        </r>
      </text>
    </comment>
  </commentList>
</comments>
</file>

<file path=xl/comments5.xml><?xml version="1.0" encoding="utf-8"?>
<comments xmlns="http://schemas.openxmlformats.org/spreadsheetml/2006/main">
  <authors>
    <author>Etienne Guillard</author>
  </authors>
  <commentList>
    <comment ref="L229" authorId="0" shapeId="0">
      <text>
        <r>
          <rPr>
            <b/>
            <sz val="9"/>
            <color indexed="81"/>
            <rFont val="Tahoma"/>
            <family val="2"/>
          </rPr>
          <t>Etienne Guillard:</t>
        </r>
        <r>
          <rPr>
            <sz val="9"/>
            <color indexed="81"/>
            <rFont val="Tahoma"/>
            <family val="2"/>
          </rPr>
          <t xml:space="preserve">
En fonction des données de l'onglet 'Données &amp; hypothèses Adultes'</t>
        </r>
      </text>
    </comment>
    <comment ref="R229" authorId="0" shapeId="0">
      <text>
        <r>
          <rPr>
            <b/>
            <sz val="9"/>
            <color indexed="81"/>
            <rFont val="Tahoma"/>
            <family val="2"/>
          </rPr>
          <t>Etienne Guillard:</t>
        </r>
        <r>
          <rPr>
            <sz val="9"/>
            <color indexed="81"/>
            <rFont val="Tahoma"/>
            <family val="2"/>
          </rPr>
          <t xml:space="preserve">
En fonction des données de l'onglet 'Données &amp; hypothèses Adultes'</t>
        </r>
      </text>
    </comment>
    <comment ref="J240" authorId="0" shapeId="0">
      <text>
        <r>
          <rPr>
            <b/>
            <sz val="8"/>
            <color indexed="81"/>
            <rFont val="Tahoma"/>
            <family val="2"/>
          </rPr>
          <t>Etienne Guillard:</t>
        </r>
        <r>
          <rPr>
            <sz val="8"/>
            <color indexed="81"/>
            <rFont val="Tahoma"/>
            <family val="2"/>
          </rPr>
          <t xml:space="preserve">
Voir commentaire [2]</t>
        </r>
      </text>
    </comment>
    <comment ref="J241" authorId="0" shapeId="0">
      <text>
        <r>
          <rPr>
            <b/>
            <sz val="8"/>
            <color indexed="81"/>
            <rFont val="Tahoma"/>
            <family val="2"/>
          </rPr>
          <t>Etienne Guillard:</t>
        </r>
        <r>
          <rPr>
            <sz val="8"/>
            <color indexed="81"/>
            <rFont val="Tahoma"/>
            <family val="2"/>
          </rPr>
          <t xml:space="preserve">
Voir commentaire [2]</t>
        </r>
      </text>
    </comment>
  </commentList>
</comments>
</file>

<file path=xl/comments6.xml><?xml version="1.0" encoding="utf-8"?>
<comments xmlns="http://schemas.openxmlformats.org/spreadsheetml/2006/main">
  <authors>
    <author>Etienne Guillard</author>
  </authors>
  <commentList>
    <comment ref="L229" authorId="0" shapeId="0">
      <text>
        <r>
          <rPr>
            <b/>
            <sz val="9"/>
            <color indexed="81"/>
            <rFont val="Tahoma"/>
            <family val="2"/>
          </rPr>
          <t>Etienne Guillard:</t>
        </r>
        <r>
          <rPr>
            <sz val="9"/>
            <color indexed="81"/>
            <rFont val="Tahoma"/>
            <family val="2"/>
          </rPr>
          <t xml:space="preserve">
En fonction des données de l'onglet 'Données &amp; hypothèses Adultes'</t>
        </r>
      </text>
    </comment>
    <comment ref="R229" authorId="0" shapeId="0">
      <text>
        <r>
          <rPr>
            <b/>
            <sz val="9"/>
            <color indexed="81"/>
            <rFont val="Tahoma"/>
            <family val="2"/>
          </rPr>
          <t>Etienne Guillard:</t>
        </r>
        <r>
          <rPr>
            <sz val="9"/>
            <color indexed="81"/>
            <rFont val="Tahoma"/>
            <family val="2"/>
          </rPr>
          <t xml:space="preserve">
En fonction des données de l'onglet 'Données &amp; hypothèses Adultes'</t>
        </r>
      </text>
    </comment>
    <comment ref="J240" authorId="0" shapeId="0">
      <text>
        <r>
          <rPr>
            <b/>
            <sz val="8"/>
            <color indexed="81"/>
            <rFont val="Tahoma"/>
            <family val="2"/>
          </rPr>
          <t>Etienne Guillard:</t>
        </r>
        <r>
          <rPr>
            <sz val="8"/>
            <color indexed="81"/>
            <rFont val="Tahoma"/>
            <family val="2"/>
          </rPr>
          <t xml:space="preserve">
Voir commentaire [2]</t>
        </r>
      </text>
    </comment>
    <comment ref="J241" authorId="0" shapeId="0">
      <text>
        <r>
          <rPr>
            <b/>
            <sz val="8"/>
            <color indexed="81"/>
            <rFont val="Tahoma"/>
            <family val="2"/>
          </rPr>
          <t>Etienne Guillard:</t>
        </r>
        <r>
          <rPr>
            <sz val="8"/>
            <color indexed="81"/>
            <rFont val="Tahoma"/>
            <family val="2"/>
          </rPr>
          <t xml:space="preserve">
Voir commentaire [2]</t>
        </r>
      </text>
    </comment>
  </commentList>
</comments>
</file>

<file path=xl/comments7.xml><?xml version="1.0" encoding="utf-8"?>
<comments xmlns="http://schemas.openxmlformats.org/spreadsheetml/2006/main">
  <authors>
    <author>etienne.guillard</author>
  </authors>
  <commentList>
    <comment ref="B121" authorId="0" shapeId="0">
      <text>
        <r>
          <rPr>
            <b/>
            <sz val="8"/>
            <color indexed="81"/>
            <rFont val="Tahoma"/>
            <family val="2"/>
          </rPr>
          <t>etienne.guillard :
not possible for the child before 10kg</t>
        </r>
      </text>
    </comment>
  </commentList>
</comments>
</file>

<file path=xl/comments8.xml><?xml version="1.0" encoding="utf-8"?>
<comments xmlns="http://schemas.openxmlformats.org/spreadsheetml/2006/main">
  <authors>
    <author>Etienne Guillard</author>
  </authors>
  <commentList>
    <comment ref="I24" authorId="0" shapeId="0">
      <text>
        <r>
          <rPr>
            <b/>
            <sz val="8"/>
            <color indexed="81"/>
            <rFont val="Tahoma"/>
            <family val="2"/>
          </rPr>
          <t>Etienne Guillard:</t>
        </r>
        <r>
          <rPr>
            <sz val="8"/>
            <color indexed="81"/>
            <rFont val="Tahoma"/>
            <family val="2"/>
          </rPr>
          <t xml:space="preserve">
Pour ces 4 produits, afin de ne pas perdre de stocks de l'un lorsque l'on a choisi un autre produit, les stocks se cumulent</t>
        </r>
      </text>
    </comment>
  </commentList>
</comments>
</file>

<file path=xl/sharedStrings.xml><?xml version="1.0" encoding="utf-8"?>
<sst xmlns="http://schemas.openxmlformats.org/spreadsheetml/2006/main" count="6778" uniqueCount="1740">
  <si>
    <t>Composition</t>
  </si>
  <si>
    <t>Forme galénique</t>
  </si>
  <si>
    <t>Dosage</t>
  </si>
  <si>
    <t>Nom de spécialité</t>
  </si>
  <si>
    <t>Nom de générique possible</t>
  </si>
  <si>
    <t>Conditionnement</t>
  </si>
  <si>
    <t>TOTAL</t>
  </si>
  <si>
    <t>AZT+3TC+NVP</t>
  </si>
  <si>
    <t>Cp</t>
  </si>
  <si>
    <t>300/150/200 mg</t>
  </si>
  <si>
    <t>DUOVIR-N, ZIDOLAM-N</t>
  </si>
  <si>
    <t>AZT+3TC</t>
  </si>
  <si>
    <t>300/150 mg</t>
  </si>
  <si>
    <t>COMBIVIR</t>
  </si>
  <si>
    <t>LAMZID, DUOVIR, ZIDOLAM, VIRACOMB</t>
  </si>
  <si>
    <t>3TC</t>
  </si>
  <si>
    <t>150 mg</t>
  </si>
  <si>
    <t>EFV</t>
  </si>
  <si>
    <t>600 mg</t>
  </si>
  <si>
    <t>NVP</t>
  </si>
  <si>
    <t>200 mg</t>
  </si>
  <si>
    <t>VIRAMUNE</t>
  </si>
  <si>
    <t>TDF</t>
  </si>
  <si>
    <t>300 mg</t>
  </si>
  <si>
    <t>300/200 mg</t>
  </si>
  <si>
    <t>ABC</t>
  </si>
  <si>
    <t>ZIAGEN</t>
  </si>
  <si>
    <t>ABAVIR, VIROL</t>
  </si>
  <si>
    <t>DDI</t>
  </si>
  <si>
    <t>250 mg</t>
  </si>
  <si>
    <t>VIDEX</t>
  </si>
  <si>
    <t>DINEX, DIVIR, DINOSIN, VIROSINE</t>
  </si>
  <si>
    <t>400 mg</t>
  </si>
  <si>
    <t>LPV/r</t>
  </si>
  <si>
    <t>200/50 mg</t>
  </si>
  <si>
    <t>KALETRA, ALUVIA</t>
  </si>
  <si>
    <t>RITOCOM</t>
  </si>
  <si>
    <t>Volume conditionnement primaire (mL)</t>
  </si>
  <si>
    <t>Conditionement secondaire</t>
  </si>
  <si>
    <t>AZT</t>
  </si>
  <si>
    <t>sol buv</t>
  </si>
  <si>
    <t>10 mg/mL</t>
  </si>
  <si>
    <t>RETROVIR</t>
  </si>
  <si>
    <t>LAMIVIR, EPIVIR</t>
  </si>
  <si>
    <t>20 mg/mL</t>
  </si>
  <si>
    <t>pdre buv</t>
  </si>
  <si>
    <t>2 g</t>
  </si>
  <si>
    <t>80/20 mg/mL</t>
  </si>
  <si>
    <t>KALETRA ALUVIA</t>
  </si>
  <si>
    <t>AZT+3TC+EFV</t>
  </si>
  <si>
    <t>D4T+3TC+NVP</t>
  </si>
  <si>
    <t>Proportion</t>
  </si>
  <si>
    <t>Nb de patients mensuels</t>
  </si>
  <si>
    <t>TB</t>
  </si>
  <si>
    <t>TB &amp; anémie</t>
  </si>
  <si>
    <t>AZT+3TC+LPV/r</t>
  </si>
  <si>
    <t>Médicaments nécessaires</t>
  </si>
  <si>
    <t>3-FDCz</t>
  </si>
  <si>
    <t>2-FDCz</t>
  </si>
  <si>
    <t>3-FDCs</t>
  </si>
  <si>
    <t>2-FDCt</t>
  </si>
  <si>
    <t>D4T</t>
  </si>
  <si>
    <t>Taux de passage en 2ème ligne</t>
  </si>
  <si>
    <t>des patients à la fin de l'année</t>
  </si>
  <si>
    <t>2èmes lignes</t>
  </si>
  <si>
    <t>TOTAL n de patients</t>
  </si>
  <si>
    <t>Nb de patients-mois</t>
  </si>
  <si>
    <t>ABC+DDI+LPV/r</t>
  </si>
  <si>
    <t>SQV</t>
  </si>
  <si>
    <t>IDV</t>
  </si>
  <si>
    <t>RTV</t>
  </si>
  <si>
    <t>Répartition en fin de période</t>
  </si>
  <si>
    <t>Synthèse de la situation envisagée en fin d'année</t>
  </si>
  <si>
    <t>Nb de patients en fin de période</t>
  </si>
  <si>
    <t>Nom du médicament</t>
  </si>
  <si>
    <t>CDF</t>
  </si>
  <si>
    <t>DUOVIR-N</t>
  </si>
  <si>
    <t>cp</t>
  </si>
  <si>
    <t>DUOVIR</t>
  </si>
  <si>
    <t>TRIOMUNE</t>
  </si>
  <si>
    <t>30/150/200 mg</t>
  </si>
  <si>
    <t>D4T+3TC</t>
  </si>
  <si>
    <t>LAMIVIR-S</t>
  </si>
  <si>
    <t>30/150 mg</t>
  </si>
  <si>
    <t>NNRTI</t>
  </si>
  <si>
    <t>NRTI</t>
  </si>
  <si>
    <t>gélules</t>
  </si>
  <si>
    <t>IP</t>
  </si>
  <si>
    <t>capsules</t>
  </si>
  <si>
    <t>100 mg</t>
  </si>
  <si>
    <t>Calculs des quantités</t>
  </si>
  <si>
    <t>Stavudine (d4T) + Lamivudine (3TC) + Névirapine (NVP)</t>
  </si>
  <si>
    <t>Qtés mensuelles</t>
  </si>
  <si>
    <t>Posologies</t>
  </si>
  <si>
    <t>Voir les formes simples</t>
  </si>
  <si>
    <t>boites</t>
  </si>
  <si>
    <t>Cpr, 6 mg d4T,</t>
  </si>
  <si>
    <t>30 mg 3TC,</t>
  </si>
  <si>
    <t>50 mg NVP</t>
  </si>
  <si>
    <t>Matin</t>
  </si>
  <si>
    <t>Soir</t>
  </si>
  <si>
    <t>5 - 5,9</t>
  </si>
  <si>
    <t>6 - 6,9</t>
  </si>
  <si>
    <t>7 - 7,9</t>
  </si>
  <si>
    <t>8 - 8,9</t>
  </si>
  <si>
    <t>9 - 9,9</t>
  </si>
  <si>
    <t>10 - 10,9</t>
  </si>
  <si>
    <t> 2</t>
  </si>
  <si>
    <t>11 - 11,9</t>
  </si>
  <si>
    <t>12 - 13,9</t>
  </si>
  <si>
    <t>14 - 16,9</t>
  </si>
  <si>
    <t>17 - 19,9</t>
  </si>
  <si>
    <t>20 - 24,9</t>
  </si>
  <si>
    <t>25 - 29,9</t>
  </si>
  <si>
    <t>30 - 34,9</t>
  </si>
  <si>
    <t>Qté / enfant</t>
  </si>
  <si>
    <t>15 premiers jours</t>
  </si>
  <si>
    <t>1 flacon</t>
  </si>
  <si>
    <t>Autres schémas (1ères et 2èmes lignes)</t>
  </si>
  <si>
    <t>Qtés de patients - mois</t>
  </si>
  <si>
    <t>volume (mL) / jour</t>
  </si>
  <si>
    <t>volume (mL) / mois</t>
  </si>
  <si>
    <t>volume flacon (mL)</t>
  </si>
  <si>
    <t>reste (mL)</t>
  </si>
  <si>
    <t>Poids (kg)</t>
  </si>
  <si>
    <t>Pourcentage</t>
  </si>
  <si>
    <t>Poids envisagés</t>
  </si>
  <si>
    <t>Nb de boites / mois / patient</t>
  </si>
  <si>
    <t>Nb de boites / mois pour l'ensemble des patients</t>
  </si>
  <si>
    <t>initiation</t>
  </si>
  <si>
    <t>Synthèse</t>
  </si>
  <si>
    <t>6/30/50 mg</t>
  </si>
  <si>
    <t>TRIOMUNE baby</t>
  </si>
  <si>
    <t>ZERIT</t>
  </si>
  <si>
    <t>1ères lignes</t>
  </si>
  <si>
    <t>2 &amp; 3èmes lignes</t>
  </si>
  <si>
    <t>300+150+200</t>
  </si>
  <si>
    <t>300+150</t>
  </si>
  <si>
    <t>30+150+200</t>
  </si>
  <si>
    <t>30+150</t>
  </si>
  <si>
    <t>AZT+3TC+ABC</t>
  </si>
  <si>
    <t xml:space="preserve">300+150+300 </t>
  </si>
  <si>
    <t>TDF+FTC</t>
  </si>
  <si>
    <t>200+50</t>
  </si>
  <si>
    <t>NFV</t>
  </si>
  <si>
    <t>Les calculs ont été faits en rapportant les prix annuels par jour et par nombre de prise</t>
  </si>
  <si>
    <t>Pour les ARV pédiatriques, 2 possibilités existent dans le rapport GPRM, pour les enfants de 5 et de 10 kg. Nous avons mentionné les 2 prix, qui varient peu entre eux.</t>
  </si>
  <si>
    <t>Attention les cellules contiennent des formules. Si vous copiez les données, pensées à ne copier que les valeurs</t>
  </si>
  <si>
    <t>FORMES ADULTES</t>
  </si>
  <si>
    <t>Prix / unité de prise  (US$)</t>
  </si>
  <si>
    <t>Qtés / boites</t>
  </si>
  <si>
    <t>Prix / boite  (US$)</t>
  </si>
  <si>
    <t>DCI</t>
  </si>
  <si>
    <t>Unité dosage</t>
  </si>
  <si>
    <t>Forme</t>
  </si>
  <si>
    <t>Nb d'unité de prises / jour</t>
  </si>
  <si>
    <t>Médiane</t>
  </si>
  <si>
    <t>IQ25</t>
  </si>
  <si>
    <t>IQ75</t>
  </si>
  <si>
    <t>FDC</t>
  </si>
  <si>
    <t>mg</t>
  </si>
  <si>
    <t>FS</t>
  </si>
  <si>
    <t>Gélule</t>
  </si>
  <si>
    <t>Caps</t>
  </si>
  <si>
    <t>FORMES PEDIATRIQUES</t>
  </si>
  <si>
    <t>Prix / boite ou flacon (US$)</t>
  </si>
  <si>
    <t>mg/ml</t>
  </si>
  <si>
    <t>Sol. buv.</t>
  </si>
  <si>
    <t>80+20</t>
  </si>
  <si>
    <t>5+20+35</t>
  </si>
  <si>
    <t>10+40+70</t>
  </si>
  <si>
    <t>12+60+100</t>
  </si>
  <si>
    <t>6+30+50</t>
  </si>
  <si>
    <t>10+40</t>
  </si>
  <si>
    <t>12+60</t>
  </si>
  <si>
    <t>5+20</t>
  </si>
  <si>
    <t>6+30</t>
  </si>
  <si>
    <t>100+25</t>
  </si>
  <si>
    <t>133+33</t>
  </si>
  <si>
    <t>mg/g</t>
  </si>
  <si>
    <t>Schéma thérapeutique</t>
  </si>
  <si>
    <t>Nb d'unités de prise / boite</t>
  </si>
  <si>
    <t>Total 
patients-mois</t>
  </si>
  <si>
    <t>Nb de patients théoriques pour XXX patients totaux</t>
  </si>
  <si>
    <t>Proportion mensuelle</t>
  </si>
  <si>
    <t>Données en début d'année</t>
  </si>
  <si>
    <t>Remarque</t>
  </si>
  <si>
    <t>3èmes lignes</t>
  </si>
  <si>
    <t>Schémas</t>
  </si>
  <si>
    <t>Taux de passage en 3ème ligne</t>
  </si>
  <si>
    <t>Qtés de boites pour les patients présents en début de période</t>
  </si>
  <si>
    <t>Qtés de boites pour initiation NVP</t>
  </si>
  <si>
    <t>TOTAL (nb de boites)</t>
  </si>
  <si>
    <t>ATV</t>
  </si>
  <si>
    <t>Pour les 3èmes lignes, la méthode n'est pas la même et ne repose pas sur les lignes. Nous avons considéré la proportion de patients et les molécules nécessaires pour les prendre en charge. Cela permet ainsi de faire plusieurs combinaisons.</t>
  </si>
  <si>
    <t>nb de patient total 3èmes lignes</t>
  </si>
  <si>
    <t>des patients de 2ème ligne à la fin de l'année</t>
  </si>
  <si>
    <t>total divers 3èmes l</t>
  </si>
  <si>
    <t>considérant que le passage en 3ème ligne est théorique, le nombre total n'en tient pas compte de manière à laisser les quantités suffisantes en 2èmes lignes</t>
  </si>
  <si>
    <t>VIH2, TB &amp; EI NNRTI</t>
  </si>
  <si>
    <t>TDF+FTC+EFV</t>
  </si>
  <si>
    <t>2-FDCs</t>
  </si>
  <si>
    <t>Répartition des passages en 2ème ligne</t>
  </si>
  <si>
    <t>Nb total de flacon pour les nouveaux enfants de l'année</t>
  </si>
  <si>
    <t>Solutions buvables</t>
  </si>
  <si>
    <t>Comprimés</t>
  </si>
  <si>
    <t>5 - 9,9</t>
  </si>
  <si>
    <t>10 - 14,9</t>
  </si>
  <si>
    <t>15 - 19,9</t>
  </si>
  <si>
    <t>Répartition de la FA sous traitement en nb de patients - mois / poids / schéma</t>
  </si>
  <si>
    <t>Enfants présents au début de l'année</t>
  </si>
  <si>
    <t>Nb de patients -mois</t>
  </si>
  <si>
    <t>Répartition des patients mois / tranches de poids</t>
  </si>
  <si>
    <t>Si enfant &gt; 15 kg pouvant recevoir des formes adultes</t>
  </si>
  <si>
    <t>Formes adultes</t>
  </si>
  <si>
    <t>nb de flacons / mois</t>
  </si>
  <si>
    <t>nb de flacons / mois arrondi</t>
  </si>
  <si>
    <t>Qtés totales Nb de boites / flacons</t>
  </si>
  <si>
    <t>Total + marge</t>
  </si>
  <si>
    <t>Structure</t>
  </si>
  <si>
    <t>mois</t>
  </si>
  <si>
    <t>Total patients-mois AVEC Marge de sécurité</t>
  </si>
  <si>
    <t>Nb de patients-mois Marge de sécurité</t>
  </si>
  <si>
    <t>Total 
patients-mois AVEC Marge de sécurité</t>
  </si>
  <si>
    <t>Nb de patients-mois Marge de sécurité SEULE</t>
  </si>
  <si>
    <t>X</t>
  </si>
  <si>
    <t>TOTAL + Marge période définie (nb de boites)</t>
  </si>
  <si>
    <t>Marge période définie (nb de boites)</t>
  </si>
  <si>
    <t>MARGE</t>
  </si>
  <si>
    <t>Différence de marge / année précédente</t>
  </si>
  <si>
    <t>NOTE D'INFORMATION</t>
  </si>
  <si>
    <t>Les quantités de prises par boites ou les volumes des flacons peuvent changer en fonction des fournisseurs. Des emballages secondaires peuvent aussi varier (LPV/r sol. buv.)</t>
  </si>
  <si>
    <t>Qtés / boites - flacons</t>
  </si>
  <si>
    <t>Prix annuel / patient (US$)</t>
  </si>
  <si>
    <t>TDF+3TC</t>
  </si>
  <si>
    <t>Prix annuel (hors autres ARV pr trithérapie ou boost) 
(US$)</t>
  </si>
  <si>
    <t>GPQ</t>
  </si>
  <si>
    <t>Pdre</t>
  </si>
  <si>
    <t>60+30+50</t>
  </si>
  <si>
    <t>60+30</t>
  </si>
  <si>
    <t>[1]</t>
  </si>
  <si>
    <t>Notes</t>
  </si>
  <si>
    <t>Commentaires</t>
  </si>
  <si>
    <t>COVIRO, LAMIVIR-S</t>
  </si>
  <si>
    <t>300/200/600 mg</t>
  </si>
  <si>
    <t>ATRIPLA</t>
  </si>
  <si>
    <t>TRUVADA</t>
  </si>
  <si>
    <t>TDF+3TC+EFV</t>
  </si>
  <si>
    <t>50 mg</t>
  </si>
  <si>
    <t>SUSTIVA, STOCRIN</t>
  </si>
  <si>
    <t>30 mg</t>
  </si>
  <si>
    <t>STAVIR</t>
  </si>
  <si>
    <t>EPIVIR</t>
  </si>
  <si>
    <t>LAMIVIR</t>
  </si>
  <si>
    <t>VIREAD</t>
  </si>
  <si>
    <t>CRIXIVAN</t>
  </si>
  <si>
    <t>500 mg</t>
  </si>
  <si>
    <t>INVIRASE</t>
  </si>
  <si>
    <t>NORVIR</t>
  </si>
  <si>
    <t>30 mg/mL</t>
  </si>
  <si>
    <r>
      <t xml:space="preserve">Total annuel en nb de </t>
    </r>
    <r>
      <rPr>
        <b/>
        <sz val="10"/>
        <color indexed="10"/>
        <rFont val="Calibri"/>
        <family val="2"/>
        <scheme val="minor"/>
      </rPr>
      <t>patients -mois</t>
    </r>
  </si>
  <si>
    <t>AVEC marge de sécurité</t>
  </si>
  <si>
    <t>SANS marge de sécurité</t>
  </si>
  <si>
    <t>[2]</t>
  </si>
  <si>
    <t>Evolution de la file active sous traitement ARV à prévoir pour la première année</t>
  </si>
  <si>
    <t>Quantification des besoins pour la prise en charge médicale pour la première année selon la répartition envisagée</t>
  </si>
  <si>
    <t>Nb de nvx patients total sur la période AVEC la marge de sécu</t>
  </si>
  <si>
    <t>Nb total de flacon pour les nouveaux enfants sur période AVEC marge sécu</t>
  </si>
  <si>
    <t>Marge Stock de sécurité</t>
  </si>
  <si>
    <t>Quantification des besoins en ARV pour la prise en charge pédiatrique sur l'année 1</t>
  </si>
  <si>
    <t>Répartition file active pédiatrique sous traitement à la fin de l'année 1</t>
  </si>
  <si>
    <t>Nb de patients annuels / schéma</t>
  </si>
  <si>
    <t>critères / schémas</t>
  </si>
  <si>
    <t>SANS DEFALCATION des passages en 2èmes lignes sur les 1ères lignes</t>
  </si>
  <si>
    <t>AVEC DEFALCATION PROPORTIONNELLE à la répartition des patients en 1ère ligne</t>
  </si>
  <si>
    <t>AVEC DEFALCATION SUR SCHEMA MAJORITAIRE 1ère ligne</t>
  </si>
  <si>
    <t>Total Premières lignes</t>
  </si>
  <si>
    <t>Nb d'enfants</t>
  </si>
  <si>
    <t>Proportions</t>
  </si>
  <si>
    <t>Pour plus de précision, une défalcation peut être prise en compte.</t>
  </si>
  <si>
    <t>des patients à la fin de l'année, soit :</t>
  </si>
  <si>
    <t>patients au total à la fin de l'année</t>
  </si>
  <si>
    <t>Nb de patients ayant switché dans l'année :</t>
  </si>
  <si>
    <t>Proportion mensuelle :</t>
  </si>
  <si>
    <t>Les données défalquées sur le schéma majoritaire en 1ère ligne ont été prises en compte pour les années suivantes. (le schéma majoritaire est généralement le moins chers, cette option a été retenue dans le cadre d'une estimation budgétaire)</t>
  </si>
  <si>
    <t>Commentaire</t>
  </si>
  <si>
    <t>Initiations</t>
  </si>
  <si>
    <t>Répartition des Initiations</t>
  </si>
  <si>
    <t>TOTAL Initiations</t>
  </si>
  <si>
    <t>Initiations et passages en 2ème lignes</t>
  </si>
  <si>
    <t xml:space="preserve">Initiations première </t>
  </si>
  <si>
    <t>Qtés de boites pour les Initiations</t>
  </si>
  <si>
    <t>Nb de patients prévus au début de la première année</t>
  </si>
  <si>
    <t>Total Deuxièmes lignes</t>
  </si>
  <si>
    <t>Evolution de la file active sous traitement ARV à prévoir pour la deuxième année</t>
  </si>
  <si>
    <t>Marge de sécurité (nb de boites / flacons)</t>
  </si>
  <si>
    <t>Différence de marge de sécurité / année précédente (nb de boites / flacons)</t>
  </si>
  <si>
    <t>Actuellement en 2ème ligne :</t>
  </si>
  <si>
    <t>Nb de patients prévus au début de la 2ème année</t>
  </si>
  <si>
    <t>Evolution de la file active sous traitement ARV à prévoir pour la 3ème année</t>
  </si>
  <si>
    <t>Répartition file active pédiatrique sous traitement à la fin de l'année 2</t>
  </si>
  <si>
    <t>Répartition file active pédiatrique sous traitement à la fin de l'année 3</t>
  </si>
  <si>
    <t>Evolution de la file active sous traitement ARV à prévoir pour la 4ème année</t>
  </si>
  <si>
    <t>Nb de patients prévus au début de la 4ème année</t>
  </si>
  <si>
    <t>Nb de patients prévus au début de la 3ème année</t>
  </si>
  <si>
    <t>Quantification des besoins en ARV pour la prise en charge pédiatrique sur l'année 3</t>
  </si>
  <si>
    <t>Quantification des besoins pour la prise en charge médicale pour la 3ème année selon la répartition envisagée</t>
  </si>
  <si>
    <t>Quantification des besoins en ARV pour la prise en charge pédiatrique sur l'année 2</t>
  </si>
  <si>
    <t>Nb de patients prévus au début de la 5ème année</t>
  </si>
  <si>
    <t>Proportion prévue au début de la période</t>
  </si>
  <si>
    <t>Critères</t>
  </si>
  <si>
    <t>Schémas thérap. Initiations</t>
  </si>
  <si>
    <t>Nb de patients en 2ème ligne au début de l'année :</t>
  </si>
  <si>
    <t>Nb de patients en 3ème ligne au début de l'année :</t>
  </si>
  <si>
    <t>Molécules à avoir en plus pour des 3èmes lignes possibles</t>
  </si>
  <si>
    <t>Proportion du nombre de patients sous 3ème lignes</t>
  </si>
  <si>
    <t>TOTAL nb de patients sur l'année</t>
  </si>
  <si>
    <t>Pour les années suivantes, nous avons pris en compte une défalcation proportionnelle à la répartition des initiations en premières lignes (données en rouge)</t>
  </si>
  <si>
    <t>ajustement posologique de la DDI selon les paramètres définis dans l'onglet 'Données… Adultes'</t>
  </si>
  <si>
    <t>La défalcation sur les premières lignes est obtenue par le calcul suivant :</t>
  </si>
  <si>
    <t>Passage en 2ème ligne et défalcation des 1ères lignes [1]</t>
  </si>
  <si>
    <t xml:space="preserve"> = - Proportion du schéma dans les 1ères lignes à la fin de l'année * nb de patients passant en 2èmes lignes</t>
  </si>
  <si>
    <t>Total 1ères lignes</t>
  </si>
  <si>
    <t>Le nombre de patients en 3èmes lignes n'est volontairement pas pris en compte dans le total.</t>
  </si>
  <si>
    <t>Evolution des lignes thérapeutiques sur l'année</t>
  </si>
  <si>
    <t>Schémas thérap. 2èmes lignes</t>
  </si>
  <si>
    <t>Sol. Buv.</t>
  </si>
  <si>
    <t>[3]</t>
  </si>
  <si>
    <t>DRV</t>
  </si>
  <si>
    <t>RLT = RAL</t>
  </si>
  <si>
    <t>ETV</t>
  </si>
  <si>
    <t>I Intégrase</t>
  </si>
  <si>
    <t>Classe pharmaco</t>
  </si>
  <si>
    <t>NNRTI 3ème ligne</t>
  </si>
  <si>
    <t>300/150/300 mg</t>
  </si>
  <si>
    <t>RTV [a]</t>
  </si>
  <si>
    <t>DRV [b]</t>
  </si>
  <si>
    <t>[a]</t>
  </si>
  <si>
    <t>[b]</t>
  </si>
  <si>
    <t>Nous avons considéré ici la nouvelle forme galénique du DRV à 600 mg</t>
  </si>
  <si>
    <t>Posologies calculées comme défini dans l'onglet 1. Présentation.  Le nombre de boite / mois / patient est considéré ici pour 1 caps / jour.</t>
  </si>
  <si>
    <t>DDI [a]</t>
  </si>
  <si>
    <t>RTV [b]</t>
  </si>
  <si>
    <t>DRV [c]</t>
  </si>
  <si>
    <t>[c]</t>
  </si>
  <si>
    <t>selon choix défini</t>
  </si>
  <si>
    <t>initiation AZT+3TC+NVP</t>
  </si>
  <si>
    <t>initiation D4T+3TC+NVP</t>
  </si>
  <si>
    <t>TDF+FTC/3TC+EFV</t>
  </si>
  <si>
    <t>TDF+FTC/3TC</t>
  </si>
  <si>
    <t>FTC/3TC</t>
  </si>
  <si>
    <t>FTC</t>
  </si>
  <si>
    <t>TDF+FTC/3TC+LPV/r</t>
  </si>
  <si>
    <t>La défalcation sur les premières lignes se fait dans les cellules oranges selon les paramètres définis dans l'onglet Données. Elle est obtenue par le calcul suivant :</t>
  </si>
  <si>
    <t>PREZISTA</t>
  </si>
  <si>
    <t>ISENTRESS</t>
  </si>
  <si>
    <t>INTELENCE</t>
  </si>
  <si>
    <t>I Int.</t>
  </si>
  <si>
    <t>Nom commercial Princeps</t>
  </si>
  <si>
    <t>Reyataz</t>
  </si>
  <si>
    <t>RLT</t>
  </si>
  <si>
    <t>Isentress</t>
  </si>
  <si>
    <t>Prezista</t>
  </si>
  <si>
    <t>TDF+3TC+EFV *</t>
  </si>
  <si>
    <t>300+300+600</t>
  </si>
  <si>
    <t>Intelence</t>
  </si>
  <si>
    <t>Nom du Pays</t>
  </si>
  <si>
    <t>Date de l'estimation</t>
  </si>
  <si>
    <t>EMTRIVA</t>
  </si>
  <si>
    <r>
      <t xml:space="preserve">FTC </t>
    </r>
    <r>
      <rPr>
        <i/>
        <sz val="10"/>
        <rFont val="Calibri"/>
        <family val="2"/>
        <scheme val="minor"/>
      </rPr>
      <t>[1]</t>
    </r>
  </si>
  <si>
    <t xml:space="preserve">D'après Untangling the web of price reduction - http://utw.msfaccess.org/drugs/emtricitabine </t>
  </si>
  <si>
    <t>D'après Untangling the web of price reduction - http://utw.msfaccess.org/drugs/darunavir</t>
  </si>
  <si>
    <t>D'après Untangling the web of price reduction - http://utw.msfaccess.org/drugs/raltegravir</t>
  </si>
  <si>
    <t>[4]</t>
  </si>
  <si>
    <t>D'après BMS Global Access Program en mai 2009</t>
  </si>
  <si>
    <t>Source</t>
  </si>
  <si>
    <t>[5]</t>
  </si>
  <si>
    <t>D'après prix négocié France - VIDAL - 2009</t>
  </si>
  <si>
    <r>
      <t>TDF+FTC+EFV</t>
    </r>
    <r>
      <rPr>
        <b/>
        <i/>
        <sz val="10"/>
        <rFont val="Calibri"/>
        <family val="2"/>
        <scheme val="minor"/>
      </rPr>
      <t xml:space="preserve"> [a]</t>
    </r>
  </si>
  <si>
    <r>
      <t>TDF+FTC</t>
    </r>
    <r>
      <rPr>
        <b/>
        <i/>
        <sz val="10"/>
        <rFont val="Calibri"/>
        <family val="2"/>
        <scheme val="minor"/>
      </rPr>
      <t xml:space="preserve"> [a]</t>
    </r>
  </si>
  <si>
    <r>
      <t xml:space="preserve">TDF+3TC+EFV </t>
    </r>
    <r>
      <rPr>
        <b/>
        <i/>
        <sz val="10"/>
        <rFont val="Calibri"/>
        <family val="2"/>
        <scheme val="minor"/>
      </rPr>
      <t>[a]</t>
    </r>
  </si>
  <si>
    <r>
      <t xml:space="preserve">TDF+3TC </t>
    </r>
    <r>
      <rPr>
        <b/>
        <i/>
        <sz val="10"/>
        <rFont val="Calibri"/>
        <family val="2"/>
        <scheme val="minor"/>
      </rPr>
      <t>[a]</t>
    </r>
  </si>
  <si>
    <t>60/30 mg</t>
  </si>
  <si>
    <t>DUOVIR baby, ZIDOLAM baby</t>
  </si>
  <si>
    <t>60/30/50 mg</t>
  </si>
  <si>
    <t>DUOVIR-N baby, ZIDOLAM-N baby</t>
  </si>
  <si>
    <t>AZT+3TC+NVP baby</t>
  </si>
  <si>
    <t>AZT+3TC baby</t>
  </si>
  <si>
    <t>3 - 3,9</t>
  </si>
  <si>
    <t>4 - 4,9</t>
  </si>
  <si>
    <t>TRIOMUNE baby / DUOVIR-N baby / DUOVIR baby</t>
  </si>
  <si>
    <t>Si enfants &gt; 15 kg : formes adultes à prendre en compte</t>
  </si>
  <si>
    <t>D4T+3TC+NVP baby</t>
  </si>
  <si>
    <t>D4T+3TC+NVP adulte</t>
  </si>
  <si>
    <t>AZT+3TC+NVP adulte</t>
  </si>
  <si>
    <t>AZT+3TC adulte</t>
  </si>
  <si>
    <t>TRIZIVIR</t>
  </si>
  <si>
    <t>300+200</t>
  </si>
  <si>
    <t>300+300</t>
  </si>
  <si>
    <t>300+200+600</t>
  </si>
  <si>
    <t>http://creativecommons.org/licenses/by-nc-sa/3.0/</t>
  </si>
  <si>
    <t xml:space="preserve">contact@solthis.org </t>
  </si>
  <si>
    <t>Période réellement quantifiée :</t>
  </si>
  <si>
    <t>Nb de patients total sur la période définie</t>
  </si>
  <si>
    <t>Nb de nvx patients total sur la période</t>
  </si>
  <si>
    <t>Nature du financement</t>
  </si>
  <si>
    <t>* Adults care</t>
  </si>
  <si>
    <t>* Children care</t>
  </si>
  <si>
    <t xml:space="preserve">General Data </t>
  </si>
  <si>
    <t xml:space="preserve">Data &amp; hypothesis for adults </t>
  </si>
  <si>
    <t xml:space="preserve">Data &amp; hypothesis for children </t>
  </si>
  <si>
    <t>First Step</t>
  </si>
  <si>
    <t>Second Step</t>
  </si>
  <si>
    <t>Comments</t>
  </si>
  <si>
    <t>Date for estimation</t>
  </si>
  <si>
    <t>year(s)</t>
  </si>
  <si>
    <t>Year 1</t>
  </si>
  <si>
    <t>Year 2</t>
  </si>
  <si>
    <t>Year 3</t>
  </si>
  <si>
    <t>Year 4</t>
  </si>
  <si>
    <t>Year 5</t>
  </si>
  <si>
    <t>months</t>
  </si>
  <si>
    <t xml:space="preserve">to be shown in charts </t>
  </si>
  <si>
    <t>Year</t>
  </si>
  <si>
    <t xml:space="preserve">TOTAL at the end of the year </t>
  </si>
  <si>
    <t>Period if adjustement is required [2]</t>
  </si>
  <si>
    <t>1st lines</t>
  </si>
  <si>
    <t>2nd lines</t>
  </si>
  <si>
    <t>3rd lines</t>
  </si>
  <si>
    <t xml:space="preserve">TB &amp; NNRTI Side Effects </t>
  </si>
  <si>
    <t xml:space="preserve">HIV 2, TB &amp; NNRTI Side Effects </t>
  </si>
  <si>
    <t xml:space="preserve">Year </t>
  </si>
  <si>
    <t>TB &amp; Anemia</t>
  </si>
  <si>
    <t xml:space="preserve">Nb of patients estimated on 2nd line at the end of the period </t>
  </si>
  <si>
    <t>Total Nb of patients followed at the end of the period</t>
  </si>
  <si>
    <t>Regimen</t>
  </si>
  <si>
    <t>YES</t>
  </si>
  <si>
    <t>Decrease quantities for 1st line ?</t>
  </si>
  <si>
    <t xml:space="preserve">Nb of patients estimated on 3rd line at the end of the year </t>
  </si>
  <si>
    <t>PI</t>
  </si>
  <si>
    <t>Comment</t>
  </si>
  <si>
    <t xml:space="preserve">Quantities for RTV are calculated as followed : </t>
  </si>
  <si>
    <t>boost by RTV has been considered as followed :</t>
  </si>
  <si>
    <t>Ratio DDI 250 mg vs 400 mg</t>
  </si>
  <si>
    <t xml:space="preserve">Current values </t>
  </si>
  <si>
    <t xml:space="preserve">Therapeutic Regimen </t>
  </si>
  <si>
    <t xml:space="preserve">Option </t>
  </si>
  <si>
    <t xml:space="preserve">TDF+FTC, TDF+FTC/3TC+EFV and FTC </t>
  </si>
  <si>
    <t xml:space="preserve">TDF+3TC, TDF+3TC+EFV and 3TC </t>
  </si>
  <si>
    <t>Weight (kg)</t>
  </si>
  <si>
    <t>Number of initiation / month</t>
  </si>
  <si>
    <t>Number of initiation / period</t>
  </si>
  <si>
    <t xml:space="preserve">at the beginning of the year or at the beginning of the period concerned </t>
  </si>
  <si>
    <t>Distribution by categories of regimen for the Adults population at the beginning of the period</t>
  </si>
  <si>
    <t>TOTAL number of patients expected at the end of the period</t>
  </si>
  <si>
    <t>Number of patients estimated at the beginning of the period</t>
  </si>
  <si>
    <t>Therapeutic Regimens</t>
  </si>
  <si>
    <t>Distribution (%)</t>
  </si>
  <si>
    <t xml:space="preserve">total nb of patients on 3rd lines </t>
  </si>
  <si>
    <t xml:space="preserve">Distribution by categories of 1st line regimens </t>
  </si>
  <si>
    <t>Distribution</t>
  </si>
  <si>
    <t xml:space="preserve">Distribution by categories of 2nd line regimens </t>
  </si>
  <si>
    <t>Ratio of patients on 3rd line regimen compared to the total number of patients</t>
  </si>
  <si>
    <t xml:space="preserve">Distribution by categories of 3rd line drugs </t>
  </si>
  <si>
    <t>I Integrase</t>
  </si>
  <si>
    <t>2 caps RTV / once daily</t>
  </si>
  <si>
    <t>Define hypothesis for distribution by weight categories</t>
  </si>
  <si>
    <t xml:space="preserve">Weight categories distribution </t>
  </si>
  <si>
    <t>HIV 2, TB &amp; NNRTI Side Effects</t>
  </si>
  <si>
    <t>Brand Name</t>
  </si>
  <si>
    <t>Generic Name</t>
  </si>
  <si>
    <t>NNRTI 3rd line</t>
  </si>
  <si>
    <t xml:space="preserve">Quantification tool for ART </t>
  </si>
  <si>
    <t>Free licence Creative Commons (http://creativecommons.org/)</t>
  </si>
  <si>
    <t>Sheets 2 to 5 : Data collection</t>
  </si>
  <si>
    <t>Adults Year1</t>
  </si>
  <si>
    <t>Adults Year2</t>
  </si>
  <si>
    <t>Adults Year3</t>
  </si>
  <si>
    <t>Adults Year4</t>
  </si>
  <si>
    <t>Adults Year5</t>
  </si>
  <si>
    <t>Children Year1</t>
  </si>
  <si>
    <t>Children Year2</t>
  </si>
  <si>
    <t>Children Year3</t>
  </si>
  <si>
    <t>Children Year4</t>
  </si>
  <si>
    <t>Children Year5</t>
  </si>
  <si>
    <t xml:space="preserve">Calculation has to be automated. </t>
  </si>
  <si>
    <t xml:space="preserve">For any questions, please contact Solthis : </t>
  </si>
  <si>
    <t xml:space="preserve">2. This tool is used only to improve ART availability </t>
  </si>
  <si>
    <t>3. The user acknowledges that this tool was developped by Solthis</t>
  </si>
  <si>
    <t>For any changes or amendments, please contact us.</t>
  </si>
  <si>
    <t>Donor</t>
  </si>
  <si>
    <t>(For example : july 2010 - june 2011)</t>
  </si>
  <si>
    <t xml:space="preserve">Each year the quantity is adjusted to cover needs during this period depending on the increasing needs compared to  previous year. </t>
  </si>
  <si>
    <t>see data filled in the "General data" sheet</t>
  </si>
  <si>
    <t>ratio for patients with a weight  &lt; 60 kg</t>
  </si>
  <si>
    <t>ratio for patients with a weight  &gt; 60 kg</t>
  </si>
  <si>
    <t>Selection for Drugs combinations and formulations</t>
  </si>
  <si>
    <t>Combination 1</t>
  </si>
  <si>
    <t>Combination 2</t>
  </si>
  <si>
    <t>Combination</t>
  </si>
  <si>
    <t>AZT+3TC once daily</t>
  </si>
  <si>
    <t>AZT+3TC+NVP once daily</t>
  </si>
  <si>
    <t>AZT+3TC twice daily</t>
  </si>
  <si>
    <t>NVP once daily</t>
  </si>
  <si>
    <t>D4T+3TC once daily</t>
  </si>
  <si>
    <t>D4T+3TC+NVP once daily</t>
  </si>
  <si>
    <t>D4T+3TC twice daily</t>
  </si>
  <si>
    <t>Use of adults forms</t>
  </si>
  <si>
    <t>Caution</t>
  </si>
  <si>
    <t xml:space="preserve">You have to take into account only products that do not expired in the next months </t>
  </si>
  <si>
    <t>Tablets</t>
  </si>
  <si>
    <t>Dosage Form</t>
  </si>
  <si>
    <t>Strength</t>
  </si>
  <si>
    <t>Product</t>
  </si>
  <si>
    <t>Unit of measurement</t>
  </si>
  <si>
    <t>In this option we consider 30 tablets of AZT+3TC + 15 tablets of NVP for the first month then 1 pack AZT+3TC+NVP</t>
  </si>
  <si>
    <t xml:space="preserve">In this option, we consider 1 pack and 15 tablets of D4T+3TC+NVP the first month </t>
  </si>
  <si>
    <t>In this option we consider 30 tablets of D4T+3TC + 15 tablets of NVP for the first month then 1 pack D4T+3TC+NVP</t>
  </si>
  <si>
    <t>Unit of measurement (ml)</t>
  </si>
  <si>
    <t>Unit of measurement (bottle)</t>
  </si>
  <si>
    <t>TOTAL COST (US$)</t>
  </si>
  <si>
    <t>tabs</t>
  </si>
  <si>
    <t xml:space="preserve">Dosage Form </t>
  </si>
  <si>
    <t>Unit of measurement (mL) [1]</t>
  </si>
  <si>
    <t>Unit of measurement (bottle)  [1]</t>
  </si>
  <si>
    <t>Tabs</t>
  </si>
  <si>
    <t>Oral susp.</t>
  </si>
  <si>
    <t>Powder for susp</t>
  </si>
  <si>
    <t>Stocks availables at the beginning of the period [2]</t>
  </si>
  <si>
    <t>TOTAL (nb of packets)</t>
  </si>
  <si>
    <t>Buffer (nb of packets)</t>
  </si>
  <si>
    <t>TOTAL + buffer (nb of packets)</t>
  </si>
  <si>
    <t>Quantities in stock on hand (number of packets)</t>
  </si>
  <si>
    <t>Buffer / previous year (nb of packets)</t>
  </si>
  <si>
    <t>We consider that the available stock do not exceed 2 years.</t>
  </si>
  <si>
    <t>Orange cells depending on data entered in the sheet 'Available Stocks'</t>
  </si>
  <si>
    <t>Management fees</t>
  </si>
  <si>
    <t>corresponding to :</t>
  </si>
  <si>
    <t>Total Cost</t>
  </si>
  <si>
    <t>exchange rate 1$ =</t>
  </si>
  <si>
    <t xml:space="preserve">Total Cost </t>
  </si>
  <si>
    <t>Prices do not include transportation and stock management</t>
  </si>
  <si>
    <t>Methodology</t>
  </si>
  <si>
    <t>If you find a mistake, please notify it to us so that we can correct it</t>
  </si>
  <si>
    <t>it means that only 10% of the population supposed to be switched to 2nd line has still a need for 1st line</t>
  </si>
  <si>
    <t>Introduction : description of the method of use</t>
  </si>
  <si>
    <t xml:space="preserve">Objective </t>
  </si>
  <si>
    <t>Sheet 6 : Adults ART Treatment synthesis</t>
  </si>
  <si>
    <t>Summary 1 &amp; Summary 2</t>
  </si>
  <si>
    <t>Summary 3 &amp; Summary 4</t>
  </si>
  <si>
    <t>Summary 5 Quantities &amp; pricing</t>
  </si>
  <si>
    <t xml:space="preserve">Enter the data in the corresponding green sheets </t>
  </si>
  <si>
    <t xml:space="preserve">Data available in the orange sheets correspond to data previously filled  </t>
  </si>
  <si>
    <t>You can take into account of the available stocks  
These data will be count in the final sheet 'Global Synthesis', but only for the first two years</t>
  </si>
  <si>
    <t>Pages can be printed and saved as pdf. (see http://www.microsoft.com/downloads)</t>
  </si>
  <si>
    <t xml:space="preserve">Read the results in the different summaries in the orange sheets </t>
  </si>
  <si>
    <t>Results take into account all data entered.</t>
  </si>
  <si>
    <t>It is necessary to add PMTCT and Post exposure prophylaxis needs</t>
  </si>
  <si>
    <t>Country Name</t>
  </si>
  <si>
    <t>Define the period for buffer stocks ?</t>
  </si>
  <si>
    <t>Option : in case of the period would be &lt; 12 months to quantify</t>
  </si>
  <si>
    <t>You need to add a cross ("X") in the green cell</t>
  </si>
  <si>
    <t>Define the distribution by categories of regimen. The number of patients is calculated automatically based on the total number of  patients at the beginning of the year (cell D9)</t>
  </si>
  <si>
    <t xml:space="preserve">Number of patients kept on 1st line regimen even if they have been switched to 2nd line treatment </t>
  </si>
  <si>
    <t>Careful with the total percentage. In order to cover the needs for triprophylaxis, we need a total of 200 / 300 % depending on drugs required. A margin should be taken into account.</t>
  </si>
  <si>
    <t xml:space="preserve">Total of both DDI 250mg and DDI 400mg can exceed 100% </t>
  </si>
  <si>
    <t xml:space="preserve">You have to choose only one combination or formulation </t>
  </si>
  <si>
    <t>Select the combination that will be most usefull regarding the needs</t>
  </si>
  <si>
    <t>Total can exceed 100% in order to guarantee a sufficient availibility of paediatric formulations</t>
  </si>
  <si>
    <t xml:space="preserve">You have to take into account both central and peripheral stocks </t>
  </si>
  <si>
    <t>Carefull, it is the stock available at the beginning of the period to be quantified.</t>
  </si>
  <si>
    <t>For Adults : You have to take into account the global needs (= Adults + Children + PMTCT + post exposure Prophylaxis)</t>
  </si>
  <si>
    <t>Only one dosis of Triomune (the baby form 6/30/50mg ) has been taken into account for commodity</t>
  </si>
  <si>
    <t>3rd line repartition is an hypothesis. Total is greater than 100%.</t>
  </si>
  <si>
    <t>We only took into account available stocks for the first two years.</t>
  </si>
  <si>
    <t>ABC+3TC baby</t>
  </si>
  <si>
    <t>ATV/r</t>
  </si>
  <si>
    <t>300/100 mg</t>
  </si>
  <si>
    <t>PRIX des ARV en Dollar US $ d'après le Rapport GPRM 10-2011 pour les pays à faibles revenus (Low Income Countries)</t>
  </si>
  <si>
    <t>Les données présentées dans ce tableau sont issus du rapport du GPRM, OMS, d'octobre 2011 (Source  http://www.who.int/hiv/amds/)</t>
  </si>
  <si>
    <t>Lorsque les données n'étaient pas présentes dans le rapport 12-2010, nous avons gardé les données du rapport précédent.</t>
  </si>
  <si>
    <t>Commentaire mentionné dans le rapport GPRM sur la nature des prix présentés</t>
  </si>
  <si>
    <t>The prices in this report are international transaction prices, and not the prices paid by end-users at country level. End-user prices are often higher than international transaction prices due to tariffs, taxes, transportation costs, and mark-ups. However, in certain instances, end-user prices could be lower than international transaction prices due to subsidies. More information on end-user prices can be found on the Health Action International website at http://www.haiweb.org/medicineprices/16.</t>
  </si>
  <si>
    <t>Taxes, tariffs, and/or International Commercial Terms (INCOTERMS: cost or condition of transport, insurance, etc.) are not consistently reported and therefore are not considered††.</t>
  </si>
  <si>
    <t>Previous investigations by the U.S. Government Accounting Office and Management Sciences for Health suggested</t>
  </si>
  <si>
    <t>that any variation in INCOTERMS constituted a 3% -15% increases over the factory or ex works (EXW) price12</t>
  </si>
  <si>
    <t>ABC+3TC</t>
  </si>
  <si>
    <t>600+300</t>
  </si>
  <si>
    <t>FPV</t>
  </si>
  <si>
    <t>Inh Int</t>
  </si>
  <si>
    <t>RAL</t>
  </si>
  <si>
    <t>300/100</t>
  </si>
  <si>
    <t>Matrix/Mylan</t>
  </si>
  <si>
    <t>[6]</t>
  </si>
  <si>
    <t>RPV</t>
  </si>
  <si>
    <t>D'après Untangling the web of price reduction - http://msf-utw.tumblr.com/post/13260793909/first-ever-atv-r-combination-pill-improves-treatment</t>
  </si>
  <si>
    <t>150+200+30</t>
  </si>
  <si>
    <t>According to GPRM-AMDS-OMS 10/2011, to 'Untangling the web of price reduction' MSF Access report and French price for ETV in 2010</t>
  </si>
  <si>
    <t>TDF+FTC/3TC+ATV/r</t>
  </si>
  <si>
    <t>tab</t>
  </si>
  <si>
    <t>Passage en 2ème ligne - Défalcation 1ère ligne [1]</t>
  </si>
  <si>
    <t>Passage en 2ème ligne Entrées</t>
  </si>
  <si>
    <t>Patients sous traitement</t>
  </si>
  <si>
    <t>Patients suivis</t>
  </si>
  <si>
    <t>Nb de patients suivis recevant l'ARV</t>
  </si>
  <si>
    <t>Quantités de conditionnements nécessaires pour l'ensemble des patients suivis pour 1 mois</t>
  </si>
  <si>
    <t>Patients initiés</t>
  </si>
  <si>
    <t>Nb de patients initiés par mois recevant l'ARV</t>
  </si>
  <si>
    <t>Quantités de conditionnements nécessaires pour l'ensemble des patients initiés sur 1 mois</t>
  </si>
  <si>
    <t>Initiation NVP</t>
  </si>
  <si>
    <t>Besoins totaux hors SS</t>
  </si>
  <si>
    <t>Besoins totaux avec SS</t>
  </si>
  <si>
    <t>Quantités nécessaire sur le SS</t>
  </si>
  <si>
    <t>Répartitions spécifiques (DDI, 3ème ligne)</t>
  </si>
  <si>
    <t>Période quantifiée + tampon</t>
  </si>
  <si>
    <t>Facteur multiplicateur</t>
  </si>
  <si>
    <t>Nb cdt/mois/patient</t>
  </si>
  <si>
    <t># tabs/caps /day</t>
  </si>
  <si>
    <t># tabs/caps/month</t>
  </si>
  <si>
    <r>
      <t>TDF+3TC/FTC+EFV</t>
    </r>
    <r>
      <rPr>
        <b/>
        <i/>
        <sz val="10"/>
        <rFont val="Calibri"/>
        <family val="2"/>
        <scheme val="minor"/>
      </rPr>
      <t xml:space="preserve"> [a]</t>
    </r>
  </si>
  <si>
    <r>
      <t>TDF+3TC/FTC</t>
    </r>
    <r>
      <rPr>
        <b/>
        <i/>
        <sz val="10"/>
        <rFont val="Calibri"/>
        <family val="2"/>
        <scheme val="minor"/>
      </rPr>
      <t xml:space="preserve"> [a]</t>
    </r>
  </si>
  <si>
    <t>3TC/FTC</t>
  </si>
  <si>
    <t>Patients initiés/swichés / mois</t>
  </si>
  <si>
    <t>A</t>
  </si>
  <si>
    <t>Répartitions spécifiques 3ème ligne</t>
  </si>
  <si>
    <t>Quantités conditionnements nécessaires Spécificités 3èmes lignes pour 1 mois</t>
  </si>
  <si>
    <t>Patients switchés</t>
  </si>
  <si>
    <t>Défalcation (nb patients switchés/mois)</t>
  </si>
  <si>
    <t>Défalcation retrait du passage en 2ème sur les 1ères lignes (ATTENTION négatif)</t>
  </si>
  <si>
    <t># units of measurement / month</t>
  </si>
  <si>
    <t>Détails des calculs</t>
  </si>
  <si>
    <t>Initiation NVP regimen</t>
  </si>
  <si>
    <t>Choice FTC/3TC</t>
  </si>
  <si>
    <t>Selection</t>
  </si>
  <si>
    <t>Dosage for each product</t>
  </si>
  <si>
    <t>AZT+3TC+ABC baby</t>
  </si>
  <si>
    <t>60/30/60 mg</t>
  </si>
  <si>
    <t>100/25 mg</t>
  </si>
  <si>
    <t>LPV/r baby</t>
  </si>
  <si>
    <t>60 mg</t>
  </si>
  <si>
    <t>3TC+ABC</t>
  </si>
  <si>
    <t>300/600 mg</t>
  </si>
  <si>
    <t>KIVEXA</t>
  </si>
  <si>
    <t>30/60 mg</t>
  </si>
  <si>
    <t>Efavirenz</t>
  </si>
  <si>
    <t>Abacavir</t>
  </si>
  <si>
    <t>Zidovudine</t>
  </si>
  <si>
    <t>International Nonproprietary Names (INN)</t>
  </si>
  <si>
    <t>ABC baby</t>
  </si>
  <si>
    <t>600/300 mg</t>
  </si>
  <si>
    <t>AZT+3TC+ABC adulte</t>
  </si>
  <si>
    <t>ABC adulte</t>
  </si>
  <si>
    <t>Tranche 3 - 9,9 kg</t>
  </si>
  <si>
    <t>Nb de cdt/mois pour la tranche</t>
  </si>
  <si>
    <t>3 - 9,9</t>
  </si>
  <si>
    <t>Premières lignes</t>
  </si>
  <si>
    <t>Deuxièmes lignes</t>
  </si>
  <si>
    <t>Tranche 10 - 14,9 kg</t>
  </si>
  <si>
    <t>Tranche 15 -19,9 kg</t>
  </si>
  <si>
    <t>15-19,9</t>
  </si>
  <si>
    <t>Tranche 20 - 24,9 kg</t>
  </si>
  <si>
    <t>20-24,9</t>
  </si>
  <si>
    <t>nb de patients mois période quantifiée</t>
  </si>
  <si>
    <t>nb de patients mois avec période de sécurité</t>
  </si>
  <si>
    <t>Récapitulatif</t>
  </si>
  <si>
    <t>60+30+60</t>
  </si>
  <si>
    <t>From 10 to 14,9 kg</t>
  </si>
  <si>
    <t>From 3 to 9,9 kg</t>
  </si>
  <si>
    <t>From 15 to 19,9 kg</t>
  </si>
  <si>
    <t>From 20 to 24,9 kg</t>
  </si>
  <si>
    <t>Détails des calculs Quantification</t>
  </si>
  <si>
    <t>You can also take into account management fees. Define the rate you want</t>
  </si>
  <si>
    <t>Prices used for the estimates are with INCOTERMS EXW. You can define a rate to increase the prices for the taxes, cost or condition of transport, insurance, cost fluctuation buffer (usually ranged from 3% -20%)</t>
  </si>
  <si>
    <t>Rate for transport, insurance, cost fluctuation buffer</t>
  </si>
  <si>
    <t>NVP cp</t>
  </si>
  <si>
    <t>volume flacon (mL) [1]</t>
  </si>
  <si>
    <t>Note</t>
  </si>
  <si>
    <t>Define the daily dose for each formulation</t>
  </si>
  <si>
    <t>The volume is specified in the sheet 'Available stocks'</t>
  </si>
  <si>
    <t>Solid forms</t>
  </si>
  <si>
    <t>Nb de patients-mois / produit - SANS SS</t>
  </si>
  <si>
    <t>Nb de patients-mois / produit - AVEC SS</t>
  </si>
  <si>
    <t>Nb de cdt - Estimation période AVEC SS</t>
  </si>
  <si>
    <t>Nb de cdt - Estimation période SANS SS</t>
  </si>
  <si>
    <t>Névirapine</t>
  </si>
  <si>
    <t>Stavudine</t>
  </si>
  <si>
    <t>Lamivudine</t>
  </si>
  <si>
    <t>Emtricitabine</t>
  </si>
  <si>
    <t>Didanosine</t>
  </si>
  <si>
    <t>Ténofovir</t>
  </si>
  <si>
    <t>Lopinavir/ritonavir</t>
  </si>
  <si>
    <t>Indinavir</t>
  </si>
  <si>
    <t>Ritonavir</t>
  </si>
  <si>
    <t>Saquinavir</t>
  </si>
  <si>
    <t>Atazanavir/ritonavir</t>
  </si>
  <si>
    <t>Darunavir</t>
  </si>
  <si>
    <t>Raltégravir</t>
  </si>
  <si>
    <t>Etravirine</t>
  </si>
  <si>
    <t>INN</t>
  </si>
  <si>
    <t>Zidovudine + Lamivudine + Névirapine</t>
  </si>
  <si>
    <t>Zidovudine + Lamivudine + Abacavir</t>
  </si>
  <si>
    <t>Zidovudine + Lamivudine
 + Abacavir</t>
  </si>
  <si>
    <t>Zidovudine + Lamivudine</t>
  </si>
  <si>
    <t>Lamivudine + Abacavir</t>
  </si>
  <si>
    <t>Stavudine + Lamivudine + Névirapine</t>
  </si>
  <si>
    <t>Stavudine + Lamivudine</t>
  </si>
  <si>
    <t>Ténofovir + Emtricitabine
 + Efavirenz</t>
  </si>
  <si>
    <t>Ténofovir + Emtricitabine</t>
  </si>
  <si>
    <t>Ténofovir + Lamivudine
 + Efavirenz</t>
  </si>
  <si>
    <t>Ténofovir + Lamivudine</t>
  </si>
  <si>
    <t>these sheets are hiden</t>
  </si>
  <si>
    <t xml:space="preserve">5 sheets : Annual estimate for Adults </t>
  </si>
  <si>
    <t xml:space="preserve">5 sheets : Annual estimate for Children </t>
  </si>
  <si>
    <t>Sheet 7 : Adults ART Treatment synthesis</t>
  </si>
  <si>
    <t>Sheet 8 : Global ART Treatment synthesis</t>
  </si>
  <si>
    <t>Sheet 9 : Prices</t>
  </si>
  <si>
    <t>Prices - GPRM report October 2011</t>
  </si>
  <si>
    <t>Select the product you want for each regimen with a X</t>
  </si>
  <si>
    <t># products selected for each regimen</t>
  </si>
  <si>
    <t>If an adjustement of the strength needs to be done (as for DDI), select it with a A</t>
  </si>
  <si>
    <t>Liquid forms</t>
  </si>
  <si>
    <t>_</t>
  </si>
  <si>
    <t>NVP - Nevirapine startup</t>
  </si>
  <si>
    <t>15 cp</t>
  </si>
  <si>
    <t>only with FDC : AZT+3TC &amp; AZT+3TC+NVP</t>
  </si>
  <si>
    <t>with NVP syrup + FDC : AZT+3TC</t>
  </si>
  <si>
    <t>with NVP syrup + oral suspension AZT &amp; 3TC</t>
  </si>
  <si>
    <t>with NVP syrup + oral suspension D4T &amp; 3TC</t>
  </si>
  <si>
    <t>median price</t>
  </si>
  <si>
    <t>tabs / coblister</t>
  </si>
  <si>
    <t>ABC+3TC+EFV</t>
  </si>
  <si>
    <t>[AZT+3TC]+EFV</t>
  </si>
  <si>
    <t>tabs/coblister</t>
  </si>
  <si>
    <t>6/30 mg</t>
  </si>
  <si>
    <t>[300/150]/600 mg</t>
  </si>
  <si>
    <t>D4T+3TC baby</t>
  </si>
  <si>
    <t>only with FDC : D4T+3TC+NVP qd &amp; D4T+3TC qd</t>
  </si>
  <si>
    <t>with NVP syrup + FDC : D4T+3TC</t>
  </si>
  <si>
    <t>[Zidovudine + Lamivudine] + Efavirenz</t>
  </si>
  <si>
    <t>2-FDCa</t>
  </si>
  <si>
    <t>[300+150]+600</t>
  </si>
  <si>
    <t>D'après MSF Untangling the web, 14th ed</t>
  </si>
  <si>
    <t>Cp / coblister</t>
  </si>
  <si>
    <t>ABC+3TC adulte</t>
  </si>
  <si>
    <t>15cp</t>
  </si>
  <si>
    <t>TB &amp; AZT Side Effects</t>
  </si>
  <si>
    <t>VHB &amp; AZT Side Effects</t>
  </si>
  <si>
    <t>NVP baby</t>
  </si>
  <si>
    <t xml:space="preserve">LPV/r adulte </t>
  </si>
  <si>
    <t>3TC baby</t>
  </si>
  <si>
    <t>Forms</t>
  </si>
  <si>
    <t>All products included in the tools are prequalified according to the Global Fund Quality Assurance Policy</t>
  </si>
  <si>
    <t xml:space="preserve">Choisir la langue souhaitée / Choose the wished language : </t>
  </si>
  <si>
    <t>Anglais</t>
  </si>
  <si>
    <t>Français</t>
  </si>
  <si>
    <t>Langue sélectionnée</t>
  </si>
  <si>
    <t xml:space="preserve">Permettre une estimation rapide des quantités d'ARV et des budgets nécessaires pour un programme de prise en charge </t>
  </si>
  <si>
    <t>Ce document de quantification permet d'estimer les besoins en ARV pour :</t>
  </si>
  <si>
    <t>* la prise en charge des adultes</t>
  </si>
  <si>
    <t>* la prise en charge des enfants</t>
  </si>
  <si>
    <t>Adultes An1</t>
  </si>
  <si>
    <t>Adultes An2</t>
  </si>
  <si>
    <t>Adultes An3</t>
  </si>
  <si>
    <t>Adultes An4</t>
  </si>
  <si>
    <t>Adultes An5</t>
  </si>
  <si>
    <t>Enfants An1</t>
  </si>
  <si>
    <t>Enfants An2</t>
  </si>
  <si>
    <t>Enfants An3</t>
  </si>
  <si>
    <t>Enfants An4</t>
  </si>
  <si>
    <t>Enfants An5</t>
  </si>
  <si>
    <t>Synthèse 1 &amp; Synthèse 2</t>
  </si>
  <si>
    <t>Synthèse 3 &amp; Synthèse 4</t>
  </si>
  <si>
    <t>Synthèse 5 Quantités &amp; prix</t>
  </si>
  <si>
    <t>La méthode de calcul utilisée ici est uniquement basée sur la morbidité : nombre de patients / schéma thérapeutique et nombre de nouveux patients / schéma</t>
  </si>
  <si>
    <t>Première étape</t>
  </si>
  <si>
    <t>spécifier les données dans les tableaux des onglets verts de saisie de données</t>
  </si>
  <si>
    <t>Les données sont à remplir dans les cases vertes des feuilles avec onglets verts</t>
  </si>
  <si>
    <t>Les données dans des cellules oranges correspondent à des données remplies dans des feuilles précédentes</t>
  </si>
  <si>
    <t>Si vous souhaitez tenir compte des stocks, il est possible de le faire. 
Ces données sont prises en compte dans l'onglet final 'Synthèse globale quantité prix', uniquement pour les 2 premières années.</t>
  </si>
  <si>
    <t>Deuxième étape</t>
  </si>
  <si>
    <t>lire les résultats dans les tableaux de synthèse des onglets oranges</t>
  </si>
  <si>
    <t>Les pages sont paramétrées pour être imprimées. Il est également possible d'utiliser l'option 'Save as pdf' si disponible. (voir http://www.microsoft.com/downloads)</t>
  </si>
  <si>
    <t>Dans l'onglet formule, assurez vous que dans 'Options de calcul', les calculs soient automatisés. Cela peut totalement fausser vos résultats.</t>
  </si>
  <si>
    <t>Attention, il est nécessaire d'ajouter à ces quantités les besoins en ARV des activités de PTME et de PEC des AES</t>
  </si>
  <si>
    <t>Malgré l'attention que nous avons pu mettre dans cet outil, il est possible qu'une erreur s'y soit glissée. Merci de nous en faire part !</t>
  </si>
  <si>
    <t>Cet outil fait l'objet d'une licence libre de type Creative Commons (http://creativecommons.org/)</t>
  </si>
  <si>
    <t>3. L'utilisateur reconnaît que l'outil a été initialement développé par Solthis</t>
  </si>
  <si>
    <t xml:space="preserve">Pour toute questions et commentaires, contacter Solthis : </t>
  </si>
  <si>
    <t xml:space="preserve">Outil de quantification pour les ARV </t>
  </si>
  <si>
    <t>Introduction:  description de la méthode  d'utilisation</t>
  </si>
  <si>
    <t xml:space="preserve">Objectif </t>
  </si>
  <si>
    <t>feuilles 2 à 5: Saisie de données</t>
  </si>
  <si>
    <t xml:space="preserve"> ces onglets sont masqués</t>
  </si>
  <si>
    <t xml:space="preserve">feuille  8: Synthèse globale PEC ARV </t>
  </si>
  <si>
    <t>5 feuilles : Calculs annuels Enfants</t>
  </si>
  <si>
    <t>5 feuilles : Calculs annuels Adultes</t>
  </si>
  <si>
    <t>Prix provenant du rapport du GPRM d'octobre 2011</t>
  </si>
  <si>
    <t>Méthode</t>
  </si>
  <si>
    <t xml:space="preserve">Commentaires </t>
  </si>
  <si>
    <t>Les résultats tiennent compte de toutes les données entrées et de tous les paramètres sélectionnés.</t>
  </si>
  <si>
    <t xml:space="preserve">Free use and copy  : </t>
  </si>
  <si>
    <t>2. Il sert à atteindre l'objectif pour lequel il a été crée : améliorer la disponibilité des traitements antirétroviraux</t>
  </si>
  <si>
    <t xml:space="preserve">feuille 6:  Synthèse PEC adultes </t>
  </si>
  <si>
    <t>Nom du pays concerné</t>
  </si>
  <si>
    <t>Mentionne le nom du pays sur les documents imprimés pour les impressions</t>
  </si>
  <si>
    <t>Pour combien d'années souhaitez vous faire les estimations ?</t>
  </si>
  <si>
    <t>Précisez les périodes correspondantes</t>
  </si>
  <si>
    <t>Année 1</t>
  </si>
  <si>
    <t>(exemple : juillet 2010 - juin 2011)</t>
  </si>
  <si>
    <t>Année 2</t>
  </si>
  <si>
    <t>Année 3</t>
  </si>
  <si>
    <t>Année 4</t>
  </si>
  <si>
    <t>Année 5</t>
  </si>
  <si>
    <t>Quelle période de sécurité souhaitez vous ajouter ?</t>
  </si>
  <si>
    <t>Chaque année la quantité est réajustée pour couvrir les besoins sur cette période en fonction de l'augmentation des besoins par rapport à l'année précédente.</t>
  </si>
  <si>
    <t>Année(s)</t>
  </si>
  <si>
    <t>Si oui, cliquez la case verte par un X</t>
  </si>
  <si>
    <t xml:space="preserve">Option: Cas où la période de quantification  &lt;12 mois </t>
  </si>
  <si>
    <t>L'illustrer par des diagrammes</t>
  </si>
  <si>
    <t>Exprimer les périodes de quantification en mois (3 mois, 6 mois,…)</t>
  </si>
  <si>
    <t>Les prix utilisés pour les estimations prennent en compte les INCOTERMS EXW. Vous pouvez définir un taux d'augmentation pour les taxes, coût ou condition de transport, assurance, une marge de variation des coûts (habituellement dans l'ordre de 3 à 20%)</t>
  </si>
  <si>
    <t>Vous pouvez également prendre en compte les frais de gestion. Définir le taux que vous souhaitez</t>
  </si>
  <si>
    <t>Taux de change 1$ =</t>
  </si>
  <si>
    <t>Donateur</t>
  </si>
  <si>
    <t>NA</t>
  </si>
  <si>
    <t>Etape 1 : Renseignement de données générales</t>
  </si>
  <si>
    <t>T</t>
  </si>
  <si>
    <t>Langue Sélectionnée</t>
  </si>
  <si>
    <t>Step N°2 : Hypothesis &amp; Data ADULTS</t>
  </si>
  <si>
    <t>Number of patients at the beginning of the year [1]</t>
  </si>
  <si>
    <t>Distribution of the population supposed to be switched to 2nd line treatments</t>
  </si>
  <si>
    <t>Distribution of the population supposed to be switched to 3rd line treatments</t>
  </si>
  <si>
    <t>Ratio of patients on 3rd line regimen compared to patients on 2nd line regimen (at the end of the period)</t>
  </si>
  <si>
    <t>Evolution du nombre de patients Adultes sous ARV au cours de la période</t>
  </si>
  <si>
    <t>Adultes pris en charge dans l'estimation</t>
  </si>
  <si>
    <t>TOTAL à la fin de l'année</t>
  </si>
  <si>
    <t>Période réelle de l'année si ajustement voulu [2]</t>
  </si>
  <si>
    <t>en début d'année ou au début de la période quantifiée</t>
  </si>
  <si>
    <t>se reporter aux données saisies dans la feuille "Données générales"</t>
  </si>
  <si>
    <t>Préciser la proportion d'adultes dans chaque schéma thérapeutique. Le nombre de patients est calculé automatiquement à partir du nombre total de patients en début d'année (cellule D9)</t>
  </si>
  <si>
    <t>Schémas thérapeutiques</t>
  </si>
  <si>
    <t>Nb de patients prévus au début de la période quantifiée</t>
  </si>
  <si>
    <t>Répartition des Initiations en 1ère lignes</t>
  </si>
  <si>
    <t>Année</t>
  </si>
  <si>
    <t>Nb de patients prévus en 2ème lignes à la fin de la période quantifiée</t>
  </si>
  <si>
    <t>Nb total de patients suivis à la fin de l'année</t>
  </si>
  <si>
    <t>Défalcation des patients passés en deuxièmes lignes sur les premières lignes</t>
  </si>
  <si>
    <t>Diminuer les quantités de premières lignes ?</t>
  </si>
  <si>
    <t>OUI</t>
  </si>
  <si>
    <t>Proportion des patients en 3ème ligne sur l'ensemble des patients</t>
  </si>
  <si>
    <t>Nombre de patients prévus en 3ème ligne à la fin de l'année</t>
  </si>
  <si>
    <t>les quantités de RTV sont calculées en fonction du boost défini ci-dessous</t>
  </si>
  <si>
    <t>Attention à l'utilisation du pourcentage total. Pour couvrir les besoins d'une trithérapie, il faut donc un total de 200 / 300 % en fonction des produits voulus. Une marge peut être prise en compte.</t>
  </si>
  <si>
    <t>Le boost par RTV a été considéré ainsi :</t>
  </si>
  <si>
    <t>2 caps RTV / j</t>
  </si>
  <si>
    <t>Proportion de patients ayant un poids &lt; 60 kg</t>
  </si>
  <si>
    <t>Valeurs courantes</t>
  </si>
  <si>
    <t>Proportion de patients ayant un poids &gt; 60 kg</t>
  </si>
  <si>
    <t>le total des 2 peut être supérieur à 100% afin de garantir une marge</t>
  </si>
  <si>
    <t>Pour chaque schéma thérapeutique, mettre un X majuscule dans la case sélection pour l'option retenue</t>
  </si>
  <si>
    <t>Option choisie</t>
  </si>
  <si>
    <t>Médicament 1</t>
  </si>
  <si>
    <t>Médicament 2</t>
  </si>
  <si>
    <t>AZT+3TC 1cp/j</t>
  </si>
  <si>
    <t>AZT+3TC+NVP 1cp/j</t>
  </si>
  <si>
    <t>Dans ce cas on considère 1 boite et 15 cp de AZT+3TC+NVP le premier mois</t>
  </si>
  <si>
    <t>AZT+3TC 2cp/j</t>
  </si>
  <si>
    <t>NVP 1cp/j</t>
  </si>
  <si>
    <t>D4T+3TC 1cp/j</t>
  </si>
  <si>
    <t>D4T+3TC+NVP 1cp/j</t>
  </si>
  <si>
    <t>Dans ce cas on considère 1 boite et 15 cp de D4T+3TC+NVP le premier mois</t>
  </si>
  <si>
    <t>D4T+3TC 2cp/j</t>
  </si>
  <si>
    <t>Dans ce cas, on considère pour le premier mois 30 cp d'D4T+3TC et 15 cp de NVP puis 1 boite de D4T+3TC+NVP</t>
  </si>
  <si>
    <t>Nombre total de patients  attendu à la fin de la période</t>
  </si>
  <si>
    <t>Proportion (%)</t>
  </si>
  <si>
    <t>Nb d'inclusion / mois</t>
  </si>
  <si>
    <t>Nb d'inclusion / période</t>
  </si>
  <si>
    <t>cela signifie que seuls 10% des patients supposés passant en 2ème ligne ont encore  besoin de la 1ère ligne</t>
  </si>
  <si>
    <t>Nombre total de patients suivis à la fin de la période quantifiée</t>
  </si>
  <si>
    <t>Sélection des schémas thérapeutiques et formes galéniques souhaitées</t>
  </si>
  <si>
    <t>Ne choisir qu'un seul schéma thérapeutique et une forme galénique</t>
  </si>
  <si>
    <t>Initiation du schéma NVP</t>
  </si>
  <si>
    <t>Médicament</t>
  </si>
  <si>
    <t>tablettes</t>
  </si>
  <si>
    <t>En cas d' ajustement du à une dose (comme pour DDI), mettre un A dans la case sélection pour l'option retenue</t>
  </si>
  <si>
    <t>Dose</t>
  </si>
  <si>
    <t>tablettes/blister</t>
  </si>
  <si>
    <t>choix FTC/3TC</t>
  </si>
  <si>
    <t>posologie pour chaque produit</t>
  </si>
  <si>
    <t>Produit</t>
  </si>
  <si>
    <t>Unité de mesure</t>
  </si>
  <si>
    <t>tab/blister</t>
  </si>
  <si>
    <t>Dans ce cas, on considère pour le premier mois 30 cp d'AZT+3TC et 15 cp de NVP puis 1 boite de AZT+3TC+NVP</t>
  </si>
  <si>
    <t>TB &amp; Anémie</t>
  </si>
  <si>
    <t>TB &amp; NNRTI effets secondaires</t>
  </si>
  <si>
    <t xml:space="preserve">HIV 2, TB &amp; NNRTI effets secondaires </t>
  </si>
  <si>
    <t>TB &amp; AZT effets secondaires</t>
  </si>
  <si>
    <t>VHB &amp; AZT effets secondaires</t>
  </si>
  <si>
    <t>Répartition selon les molécules de troisièmes lignes</t>
  </si>
  <si>
    <t>Répartition</t>
  </si>
  <si>
    <t>Proportion DDI 250 mg vs 400 mg</t>
  </si>
  <si>
    <t>Choisir le schéma thérapeutique qui sera le plus utilisé, au regard des besoins</t>
  </si>
  <si>
    <t>Tous les produits inclus dans les outils sont préqualifiés selon la Politique d'Assurance qualité du Fonds Mondiale</t>
  </si>
  <si>
    <t xml:space="preserve">TDF+FTC, TDF+FTC/3TC+EFV et FTC </t>
  </si>
  <si>
    <t xml:space="preserve">TDF+3TC, TDF+3TC+EFV et 3TC </t>
  </si>
  <si>
    <t>Répartition prévue au début de la première année pour les patients déjà pris en charge</t>
  </si>
  <si>
    <t>Passage en 2ème ligne</t>
  </si>
  <si>
    <t>Passage en 3ème ligne</t>
  </si>
  <si>
    <t>Quantification des besoins en ARV pour la prise en charge médicale pour la première année selon la répartition envisagée</t>
  </si>
  <si>
    <t>Qtés conditionnements pour l'ensemble des patients sur toute la période hors SS</t>
  </si>
  <si>
    <t>Qtés conditionnements pour l'ensemble des patients sur toute la période avec SS</t>
  </si>
  <si>
    <t>Qtés conditionnements pour l'ensemble des patients initiés sur toute la période sans SS</t>
  </si>
  <si>
    <t>Qtés conditionnements pour l'ensemble des patients initiés sur toute la période avec SS</t>
  </si>
  <si>
    <t>Besoins pour initiation NVP sans SS</t>
  </si>
  <si>
    <t>Besoins pour initiation NVP avec SS</t>
  </si>
  <si>
    <t>Défalcation sans SS</t>
  </si>
  <si>
    <t>Défalcation avec SS</t>
  </si>
  <si>
    <t>Voir l'évolution des diagrammes</t>
  </si>
  <si>
    <t>Really quantified period</t>
  </si>
  <si>
    <t>Quantified period + buffer</t>
  </si>
  <si>
    <t>month</t>
  </si>
  <si>
    <t>Multiplier Factor</t>
  </si>
  <si>
    <t>Proportion planned at the beginning of period</t>
  </si>
  <si>
    <t>Total 2nd lines</t>
  </si>
  <si>
    <t>Total nb of patient 3rd lines</t>
  </si>
  <si>
    <t>Considering that the passage in 3rd line is theoretical, the total number does not take into account it so as to leave the sufficient quantity in 2èmes lines</t>
  </si>
  <si>
    <t>Distribution of initiations</t>
  </si>
  <si>
    <t>Criteria</t>
  </si>
  <si>
    <t>TB &amp; anaemia</t>
  </si>
  <si>
    <t>Total patients- months</t>
  </si>
  <si>
    <t>Total patients-months with safety margin</t>
  </si>
  <si>
    <t>Nb of patients-month safety margin single</t>
  </si>
  <si>
    <t xml:space="preserve">Monthly proportion </t>
  </si>
  <si>
    <t>2nd lines regimes</t>
  </si>
  <si>
    <t>TOTAL n of patients</t>
  </si>
  <si>
    <t>Passage in the 2nd line</t>
  </si>
  <si>
    <t>Passage rate in the 3rd line</t>
  </si>
  <si>
    <t>Passage rate in the 2nd line</t>
  </si>
  <si>
    <t>of 2nd line patients at the year end</t>
  </si>
  <si>
    <t>Pharmacological class</t>
  </si>
  <si>
    <t>Proportion of number of patients on 3rd lines</t>
  </si>
  <si>
    <t>TOTAL nb of patients over the year</t>
  </si>
  <si>
    <t xml:space="preserve">Regimens </t>
  </si>
  <si>
    <t>Regimens</t>
  </si>
  <si>
    <t>Data at the beginning of the year</t>
  </si>
  <si>
    <t>First initiation</t>
  </si>
  <si>
    <t>Passage in the  3rd line</t>
  </si>
  <si>
    <t>Passage in 2nd lines and déduction of 1st lines</t>
  </si>
  <si>
    <t xml:space="preserve"> Synthesis of the situation envisaged at the end of the year</t>
  </si>
  <si>
    <t>WITHOUT DEDUCTION of passage in 2nd lines on the 1st lines</t>
  </si>
  <si>
    <t>WITH PROPORTIONATE DEDUCTION at distribution of patients in 1st lines</t>
  </si>
  <si>
    <t>Schéma therpeutique</t>
  </si>
  <si>
    <t>Nb de patients</t>
  </si>
  <si>
    <t>Total 1st lines</t>
  </si>
  <si>
    <t xml:space="preserve">Treatment Regimen </t>
  </si>
  <si>
    <t>Quantification of ARV needs for medical care for the first year according to the proposed repartition</t>
  </si>
  <si>
    <t>Detail of calculations</t>
  </si>
  <si>
    <t>Drug name</t>
  </si>
  <si>
    <t>Dosage form</t>
  </si>
  <si>
    <t>Specific distributions (DDI, 3rd lines)</t>
  </si>
  <si>
    <t>Specific distributions  3rd lines</t>
  </si>
  <si>
    <t>Quantities of packaging required for all patients followed for 1 month</t>
  </si>
  <si>
    <t xml:space="preserve">Quantities of packaging for all patients on all period out SS </t>
  </si>
  <si>
    <t xml:space="preserve">Quantities of packaging for all patients on all period with SS </t>
  </si>
  <si>
    <t>Quantities of packaging required for all patients initiated for 1 month</t>
  </si>
  <si>
    <t>Nb of patients  taking ARV initiated by month</t>
  </si>
  <si>
    <t>Quantities of packaging required for specificity patients 3rd lines for 1 month</t>
  </si>
  <si>
    <t xml:space="preserve">Quantities of packaging for all patients initiated on all period without SS </t>
  </si>
  <si>
    <t xml:space="preserve">Quantities of packaging for all patients initiated on all period with SS </t>
  </si>
  <si>
    <t>Patients initiated</t>
  </si>
  <si>
    <t>Patients swiched</t>
  </si>
  <si>
    <t>NVP initiation</t>
  </si>
  <si>
    <t>Deduction withdrawal of passage in 2nd  on the 1st lines ( Attention negative)</t>
  </si>
  <si>
    <t>Needs for NVP iniation without SS</t>
  </si>
  <si>
    <t>Needs for NVP iniation with SS</t>
  </si>
  <si>
    <t>Deduction without SS</t>
  </si>
  <si>
    <t>Deduction with SS</t>
  </si>
  <si>
    <t>Total needs without SS</t>
  </si>
  <si>
    <t>Total needs with SS</t>
  </si>
  <si>
    <t>Necessary quantity on the SS</t>
  </si>
  <si>
    <t>Synthesis</t>
  </si>
  <si>
    <t>Box quantity of presents patients at the beginning of period</t>
  </si>
  <si>
    <t>Box quantity for the initiations</t>
  </si>
  <si>
    <t>Box quantity for the NVP initiation</t>
  </si>
  <si>
    <t>Passage in 2nd lines Enters</t>
  </si>
  <si>
    <t>TOTAL + Margin defined period</t>
  </si>
  <si>
    <t>Margin defined period (nb of boxs)</t>
  </si>
  <si>
    <t>Margin</t>
  </si>
  <si>
    <t>The Deduction on 1st lines is done in  cells in orange according to  the defined  parameters in the data tab. It's obtained by this calculation:</t>
  </si>
  <si>
    <t>DDI dose adjustement according to the parameters defined in the data tab</t>
  </si>
  <si>
    <t xml:space="preserve">Dose calculated as defined in tab 1. Presentation.  The number of box/month/patient is considered for 1 caps/day  </t>
  </si>
  <si>
    <t>Nb of theorical patients for XXX total patients</t>
  </si>
  <si>
    <t>Total first lines</t>
  </si>
  <si>
    <t>Treatment regimens initiations</t>
  </si>
  <si>
    <t>total various 3rd</t>
  </si>
  <si>
    <t>Répartition prévue au début de la deuxième année pour les patients déjà pris en charge</t>
  </si>
  <si>
    <t>Quantification des besoins en ARV pour la prise en charge médicale pour la deuxième année selon la répartition envisagée</t>
  </si>
  <si>
    <t>Total second lines</t>
  </si>
  <si>
    <t>Quantification of ARV needs for medical care for the second year according to the proposed repartition</t>
  </si>
  <si>
    <t>Patient under treatement</t>
  </si>
  <si>
    <t>Patient initiated/switched/month</t>
  </si>
  <si>
    <t>Deduction (nb of switched patients/month)</t>
  </si>
  <si>
    <t>Margin difference/ last year</t>
  </si>
  <si>
    <t>Répartition prévue au début de la troisième année pour les patients déjà pris en charge</t>
  </si>
  <si>
    <t>Quantification des besoins en ARV pour la prise en charge médicale pour la troisième année selon la répartition envisagée</t>
  </si>
  <si>
    <t>Quantification of ARV needs for medical care for the  third year according to the proposed repartition</t>
  </si>
  <si>
    <t>Répartition prévue au début de la quatrième année pour les patients déjà pris en charge</t>
  </si>
  <si>
    <t>Quantification of ARV needs for medical care for the  fourth year according to the proposed repartition</t>
  </si>
  <si>
    <t>Quantification des besoins en ARV pour la prise en charge médicale pour la quatrième année selon la répartition envisagée</t>
  </si>
  <si>
    <t>Répartition prévue au début de la cinquième année pour les patients déjà pris en charge</t>
  </si>
  <si>
    <t>Quantification des besoins en ARV pour la prise en charge médicale pour la cinquième année selon la répartition envisagée</t>
  </si>
  <si>
    <t>Quantification of ARV needs for medical care for the  fifth year according to the proposed repartition</t>
  </si>
  <si>
    <t>Etape N° 4: Stock Disponible</t>
  </si>
  <si>
    <t>Vous devez tenir compte du stock au niveau central et périphérique</t>
  </si>
  <si>
    <t>Attention, c'est le stock disponible au début de la période  qui sera quantifié</t>
  </si>
  <si>
    <t>Vous devez tenir compte seulement des produits qui n'expirent pas dans les mois prochains</t>
  </si>
  <si>
    <t>produits</t>
  </si>
  <si>
    <t>Dénomination Commune Internationale (DCI)</t>
  </si>
  <si>
    <t>Nom de Spécialité</t>
  </si>
  <si>
    <t>Nom du Générique</t>
  </si>
  <si>
    <t>Quantité physique en stock (nombre de paquets)</t>
  </si>
  <si>
    <t>Unité de mesure (bouteille)</t>
  </si>
  <si>
    <t>Pour les adultes: Vous devez tenir comptes des besoins totaux (= Adultes + Enfants = PMTCT + Traitement prophylaxique après exposition)</t>
  </si>
  <si>
    <t>Uniquement une dose de Triomune ( forme galénique pour  bébé  6/30/50mg) a été pris en considération pour le produit</t>
  </si>
  <si>
    <t>Remplir le formulaire par le stock disponible  actuellement et vérifier la quantité (en ml) des sirops et des suspensions orales</t>
  </si>
  <si>
    <t>strengh</t>
  </si>
  <si>
    <t>Unité de mesure (ml)</t>
  </si>
  <si>
    <t>When the data were not present in the report 12-2010, we take the data of the previous report.</t>
  </si>
  <si>
    <t>The calculations were made by comparing the annual cost per day and per number of decision</t>
  </si>
  <si>
    <t>For the pediatrics ARV, 2 possibilities exist in the  GPRM report , for the children of 5 and 10 kg. We mentioned 2 prices, which vary little between them.</t>
  </si>
  <si>
    <t>Careful, cells contain formulas. If you copy data, think  to copy only the values</t>
  </si>
  <si>
    <t>The datas presented in this table arise from the  GPRM report, WHO, of October, 2011 (Source http: // www.who.int / hiv / amds/)</t>
  </si>
  <si>
    <t>comments mentioned in the GPRM report on the nature of prices presented</t>
  </si>
  <si>
    <t>Les prix mentionnés dans ce rapport sont ceux  des transactions internationales, et non ceux  payés par le bénéficiaire au niveau des pays. Les prix du bénéficiaire sont souvent plus élevés que ceux des transactions internationales en raison des frais de douane, taxes, frais de transport, et les marges. Toutefois, dans certains cas, les prix de revient pourraient être inférieurs aux prix des transactions internationales en raison des subventions. Pour avoir plus d'informations sur les prix de revient, consultez  le site Web de Health Action International à http://www.haiweb.org/medicineprices/16.</t>
  </si>
  <si>
    <t>Les taxes, les tarifs, et / ou Termes Commerciaux Internationaux (INCOTERMS: coût ou conditions de transport, d'assurance, etc) ne sont pas déclarés et ne sont donc pas considérés † †.</t>
  </si>
  <si>
    <t>Les  précédentes  enquêtes menées par  l'Office de la comptabilité et des sciences de gestion de la santé du gouvernement des États-Unis a suggéré</t>
  </si>
  <si>
    <t xml:space="preserve">que toute variation dans les INCOTERMS constituait une augmentation de 3% -15% sur la fabrication ou prix 12 ex works (EXW) </t>
  </si>
  <si>
    <t>ADULTS FORM</t>
  </si>
  <si>
    <t>Qties / boxs - vials</t>
  </si>
  <si>
    <t>Nb of taken unit/ day</t>
  </si>
  <si>
    <t>annuel price /patient (US$)</t>
  </si>
  <si>
    <t>Price/taken unit (US$)</t>
  </si>
  <si>
    <t>price/ box (US$)</t>
  </si>
  <si>
    <t>Median</t>
  </si>
  <si>
    <t xml:space="preserve">2nd and 3rd lines </t>
  </si>
  <si>
    <t>According to MSF Untangling the web, 14th ed</t>
  </si>
  <si>
    <t>Capsule</t>
  </si>
  <si>
    <t>Existence of a generic? (G) prequalified A or B? (GPQ)</t>
  </si>
  <si>
    <t>Qties / boxs</t>
  </si>
  <si>
    <t xml:space="preserve">Annual price (excluding other ARV triple therapy or boost) (US$)
(U.S. $) </t>
  </si>
  <si>
    <t>source</t>
  </si>
  <si>
    <t xml:space="preserve">According to Untangling the web of price reduction - http://utw.msfaccess.org/drugs/emtricitabine </t>
  </si>
  <si>
    <t>According to Untangling the web of price reduction - http://msf-utw.tumblr.com/post/13260793909/first-ever-atv-r-combination-pill-improves-treatment</t>
  </si>
  <si>
    <t>According to Untangling the web of price reduction - http://utw.msfaccess.org/drugs/raltegravir</t>
  </si>
  <si>
    <t>According to Untangling the web of price reduction - http://utw.msfaccess.org/drugs/darunavir</t>
  </si>
  <si>
    <t>According to negotiated price  France - VIDAL - 2009</t>
  </si>
  <si>
    <t>PEDIATRIC FORMS</t>
  </si>
  <si>
    <t>Qties/boxs-vials</t>
  </si>
  <si>
    <t>Price / box or vial (US$)</t>
  </si>
  <si>
    <t xml:space="preserve">INFORMATION NOTE </t>
  </si>
  <si>
    <t>Brand name</t>
  </si>
  <si>
    <t xml:space="preserve"> unit of measurement</t>
  </si>
  <si>
    <t>Au début de la 1ère année</t>
  </si>
  <si>
    <t>Fin de la 5ème année</t>
  </si>
  <si>
    <t>Nbre de patients</t>
  </si>
  <si>
    <t>La répartition en 3ème ligne est une hypothèse. Le Total est supérieur à 100%</t>
  </si>
  <si>
    <t>Résultats N ° 2: LES BESOINS EN ARV POUR ADULTES (sans stocks disponibles au début de la période)</t>
  </si>
  <si>
    <t>produit</t>
  </si>
  <si>
    <t>unité de mesure</t>
  </si>
  <si>
    <t>TOTAL (nbre de paquets)</t>
  </si>
  <si>
    <t>Tampon (nbre de paquets)</t>
  </si>
  <si>
    <t>PRIX TOTAL (US$)</t>
  </si>
  <si>
    <t>PRIX TOTAL durant toute la période (US$)</t>
  </si>
  <si>
    <t>NNRTI 3rd lines</t>
  </si>
  <si>
    <t>D'après GPRM-AMDS-OMS 10/2011, to 'Untangling the web of price reduction' MSF Access report and French price for ETV in 2010</t>
  </si>
  <si>
    <t xml:space="preserve">Selon les options choisies dans les différents modèles précédents   </t>
  </si>
  <si>
    <t>Les prix n'incluent pas les frais de transport ni les frais de gestion de stock</t>
  </si>
  <si>
    <t>Tarif de transport, d'assurance, coût de variation du tampon</t>
  </si>
  <si>
    <t>Frais de Gestion</t>
  </si>
  <si>
    <t>correspondant à</t>
  </si>
  <si>
    <t>Coût Total</t>
  </si>
  <si>
    <t xml:space="preserve">Taux de change 1 $ =  </t>
  </si>
  <si>
    <t>Fin 1ère année / Début  2ème année</t>
  </si>
  <si>
    <t>Fin 2ème année / Début 3ème année</t>
  </si>
  <si>
    <t>Fin 3ème année / Début 4ème année</t>
  </si>
  <si>
    <t>Fin 4ème année / Début 5ème année</t>
  </si>
  <si>
    <t>Total annuel en nb de patients -mois</t>
  </si>
  <si>
    <t>Quantification des besoins en ARV pour la prise en charge pédiatrique sur la première année SANS stock de sécurité</t>
  </si>
  <si>
    <t>Quantification des besoins en ARV pour la prise en charge pédiatrique sur la première année AVEC stock de sécurité</t>
  </si>
  <si>
    <t>Distribution planned at the beginning of the first year  of quantified period for the CHILDRENS already in care</t>
  </si>
  <si>
    <t>Distribution planned at the beginning of the second year for patients already in care</t>
  </si>
  <si>
    <t>Distribution planned at the beginning of the third year for patients already in care</t>
  </si>
  <si>
    <t>Distribution planned at the beginning of the fourth year for patients already in care</t>
  </si>
  <si>
    <t>Distribution planned at the beginning of the fifth year for patients already in care</t>
  </si>
  <si>
    <t>Number of patients planned at beginning of the  first year</t>
  </si>
  <si>
    <t>Proportiions</t>
  </si>
  <si>
    <t>Evolution of active file under ARV treatment at foresee for the first year</t>
  </si>
  <si>
    <t>criterias / regimens</t>
  </si>
  <si>
    <t>Total patients-month</t>
  </si>
  <si>
    <t>Total patients-month WITH Safety Margin</t>
  </si>
  <si>
    <t>Nb of patients-month Safety Margin</t>
  </si>
  <si>
    <t>TOTAL initiations</t>
  </si>
  <si>
    <t>Distribution of passages in 2nd line</t>
  </si>
  <si>
    <t>Actually in 2nd line :</t>
  </si>
  <si>
    <t>Nb of patients who switched in year</t>
  </si>
  <si>
    <t>Nb of annuels patients / Regimen</t>
  </si>
  <si>
    <t>percentage</t>
  </si>
  <si>
    <t>WITHOUT safety margin</t>
  </si>
  <si>
    <t>Nb of patients- month</t>
  </si>
  <si>
    <t>Initiations and passages in the 2nd lines</t>
  </si>
  <si>
    <t>WITH safety margin</t>
  </si>
  <si>
    <t>calculation of quantities</t>
  </si>
  <si>
    <t>TRIOMUNE bébé / DUOVIR-N bébé / DUOVIR bébé</t>
  </si>
  <si>
    <t>Morning</t>
  </si>
  <si>
    <t>Evening</t>
  </si>
  <si>
    <t>If children &gt; 15 Kg: adults forms at take account</t>
  </si>
  <si>
    <t>Initiation du traitement NVP pour les enfants recevant la TRIOMUNE bébé</t>
  </si>
  <si>
    <t>Qties / children</t>
  </si>
  <si>
    <t>15 first days</t>
  </si>
  <si>
    <t>Overs regimens (1st and 2nd lines)</t>
  </si>
  <si>
    <t>Composing</t>
  </si>
  <si>
    <t>Primary packaging volume (mL)</t>
  </si>
  <si>
    <t>secondary packaging</t>
  </si>
  <si>
    <t>Qties of patients-month</t>
  </si>
  <si>
    <t>volume (mL) / day</t>
  </si>
  <si>
    <t>volume (mL) / month</t>
  </si>
  <si>
    <t>Vial volume (mL)</t>
  </si>
  <si>
    <t>nb of vials / month</t>
  </si>
  <si>
    <t>nb of vials / month rounded</t>
  </si>
  <si>
    <t>residue (mL)</t>
  </si>
  <si>
    <t>If children from 6 - 7 kg (taken account for the range 3 - 9,9 kg)</t>
  </si>
  <si>
    <t>Adults forms</t>
  </si>
  <si>
    <t>Weight considered</t>
  </si>
  <si>
    <t>Nb of boxs / month / patient</t>
  </si>
  <si>
    <t>Summary</t>
  </si>
  <si>
    <t>Oral solutions</t>
  </si>
  <si>
    <t>AZT+3TC+NVP bébé</t>
  </si>
  <si>
    <t>AZT+3TC bébé</t>
  </si>
  <si>
    <t>D4T+3TC+NVP bébé</t>
  </si>
  <si>
    <t>D4T+3TC bébé</t>
  </si>
  <si>
    <t>AZT+3TC+ABC bébé</t>
  </si>
  <si>
    <t>ABC+3TC bébé</t>
  </si>
  <si>
    <t>3TC bébé</t>
  </si>
  <si>
    <t>ABC bébé</t>
  </si>
  <si>
    <t>NVP bébé</t>
  </si>
  <si>
    <t>LPV/r bébé</t>
  </si>
  <si>
    <t>AZT+3TC+NVP adult</t>
  </si>
  <si>
    <t>AZT+3TC adult</t>
  </si>
  <si>
    <t>D4T+3TC+NVP adult</t>
  </si>
  <si>
    <t>AZT+3TC+ABC adult</t>
  </si>
  <si>
    <t>ABC+3TC adult</t>
  </si>
  <si>
    <t>ABC adult</t>
  </si>
  <si>
    <t>LPV/r adult</t>
  </si>
  <si>
    <t>Range 3 - 9,9 kg</t>
  </si>
  <si>
    <t>Nb of boxs / month for all patients</t>
  </si>
  <si>
    <t>Nb of packaging / month for the range</t>
  </si>
  <si>
    <t>First lines</t>
  </si>
  <si>
    <t>Second lines</t>
  </si>
  <si>
    <t>Nb of patients-month / product - WITHOUT SS</t>
  </si>
  <si>
    <t>Nb of patients-month / product - WITH SS</t>
  </si>
  <si>
    <t xml:space="preserve">Nb of packaging- Period Estimate WITHOUT SS </t>
  </si>
  <si>
    <t>Nb of patients-month period quantified</t>
  </si>
  <si>
    <t>nb of mensuel patients with safety period</t>
  </si>
  <si>
    <t>Range 10 - 14,9 kg</t>
  </si>
  <si>
    <t>Range 15 -19,9 kg</t>
  </si>
  <si>
    <t>Range 20 - 24,9 kg</t>
  </si>
  <si>
    <t>Distribution of patient by month/ weight range</t>
  </si>
  <si>
    <t>Distribution of pediatric active file under treatment at the end of year 1</t>
  </si>
  <si>
    <t>Nb of children</t>
  </si>
  <si>
    <t>Remark</t>
  </si>
  <si>
    <t>WITH DEDUCTION ON MAJORITY regimen first line</t>
  </si>
  <si>
    <t>For more precision, a deduction can be taken into account</t>
  </si>
  <si>
    <t xml:space="preserve">Forme galénique </t>
  </si>
  <si>
    <t>Tablets, 6mg d4T,</t>
  </si>
  <si>
    <t>boxes</t>
  </si>
  <si>
    <t>1 vial</t>
  </si>
  <si>
    <t>15 tablets</t>
  </si>
  <si>
    <t>oral sol</t>
  </si>
  <si>
    <t>NVP CP</t>
  </si>
  <si>
    <t>NVP Tablets</t>
  </si>
  <si>
    <t>Soit un stock de sécurité de</t>
  </si>
  <si>
    <t>Total qties nb of boxes/ vials</t>
  </si>
  <si>
    <t>Total + margin</t>
  </si>
  <si>
    <t>Total quantities</t>
  </si>
  <si>
    <t>Quantités totales</t>
  </si>
  <si>
    <t>Safety stock margin</t>
  </si>
  <si>
    <t>Marge de stock de sécurité</t>
  </si>
  <si>
    <t>Répartition prévue au début de la 2ème année  pour les ENFANTS déjà pris en charge</t>
  </si>
  <si>
    <t>Répartition prévue au début de la 3ème année pour les ENFANTS déjà pris en charge</t>
  </si>
  <si>
    <t>Répartition prévue au début de la 4ème année  pour les ENFANTS déjà pris en charge</t>
  </si>
  <si>
    <t>Répartition prévue au début de la 5ème année  pour les ENFANTS déjà pris en charge</t>
  </si>
  <si>
    <t>Répartition prévue au début de la 1ère année  pour les ENFANTS déjà pris en charge</t>
  </si>
  <si>
    <t>Quantification des besoins en ARV pour la prise en charge pédiatrique sur la deuxième année SANS stock de sécurité</t>
  </si>
  <si>
    <t>Quantification des besoins en ARV pour la prise en charge pédiatrique sur la deuxième année AVEC stock de sécurité</t>
  </si>
  <si>
    <t>Quantification des besoins en ARV pour la prise en charge pédiatrique sur la 3ème année SANS stock de sécurité</t>
  </si>
  <si>
    <t>Quantification des besoins en ARV pour la prise en charge pédiatrique sur la 3ème année AVEC stock de sécurité</t>
  </si>
  <si>
    <t>Quantification des besoins en ARV pour la prise en charge pédiatrique sur la 4ème année SANS stock de sécurité</t>
  </si>
  <si>
    <t>Quantification des besoins en ARV pour la prise en charge pédiatrique sur la 4ème année AVEC stock de sécurité</t>
  </si>
  <si>
    <t>Distribution planned at the beginning of the  second year  of quantified period for the CHILDRENS already in care</t>
  </si>
  <si>
    <t>Distribution planned at the beginning of the  3rd year  of quantified period for the CHILDRENS already in care</t>
  </si>
  <si>
    <t>Distribution planned at the beginning of the  4th year  of quantified period for the CHILDRENS already in care</t>
  </si>
  <si>
    <t>Distribution planned at the beginning of the  5th year  of quantified period for the CHILDRENS already in care</t>
  </si>
  <si>
    <t>Evolution of active file under ARV treatment at foresee for the second year</t>
  </si>
  <si>
    <t>Evolution of active file under ARV treatment at foresee for the 3rd year</t>
  </si>
  <si>
    <t>Evolution of active file under ARV treatment at foresee for the 4th year</t>
  </si>
  <si>
    <t>Nb de prise / mois / patient</t>
  </si>
  <si>
    <t>Nb de boite / mois / patient</t>
  </si>
  <si>
    <t>Si enfant de 6 - 7 kg (pris en compte pour la tranche 3 - 9,9 kg)</t>
  </si>
  <si>
    <t>Si enfant de 12 - 14 kg (pris en compte pour la tranche 10 - 14,9 kg)</t>
  </si>
  <si>
    <t>Si enfant de 15 - 19,9 kg (pris en compte pour la tranche 17 - 19,9 kg)</t>
  </si>
  <si>
    <t>Nb of patients-month  ONLY Safety Margin</t>
  </si>
  <si>
    <t>Active File Distribution under treatment in nb of patient - month /weight /regimen</t>
  </si>
  <si>
    <t>Nb de patients prévus au début de la 1ère année</t>
  </si>
  <si>
    <t>Number of patients planned at beginning of the  2nd year</t>
  </si>
  <si>
    <t>Number of patients planned at beginning of the  3rd year</t>
  </si>
  <si>
    <t>Number of patients planned at beginning of the  4th year</t>
  </si>
  <si>
    <t>Number of patients planned at beginning of the  5th year</t>
  </si>
  <si>
    <t>TOTAL (nbre de boîtes / flacons)</t>
  </si>
  <si>
    <t>TOTAL (nb of boxes / vials)</t>
  </si>
  <si>
    <t>Safety margin (nb of boxes / vials)</t>
  </si>
  <si>
    <t>Safety margin difference / last year (nb of boxes / vials)</t>
  </si>
  <si>
    <t>Total + Différence de marge (nb de boîtes / flacons)</t>
  </si>
  <si>
    <t>Total + margin difference (nb of boxes / vials)</t>
  </si>
  <si>
    <t xml:space="preserve">TRIOMUNE bébé </t>
  </si>
  <si>
    <t>Distribution planned at the beginning of the first year for patients already in care</t>
  </si>
  <si>
    <t>Evolution de la file active de patients sous traitement à prévoir pour la 2ème année</t>
  </si>
  <si>
    <t>Progression of patients cohorts under treatment  to plan for 2nd year</t>
  </si>
  <si>
    <t>Evolution de la file active de patients sous traitement à prévoir pour la 1ère année</t>
  </si>
  <si>
    <t>Progression of patients cohorts under treatment  to plan for 1st year</t>
  </si>
  <si>
    <t>Evolution de la file active de patients sous traitement à prévoir pour la 3ème  année</t>
  </si>
  <si>
    <t>Progression of patients cohorts under treatment  to plan for the 3rd year</t>
  </si>
  <si>
    <t>Evolution de la file active de patients sous traitement à prévoir pour la 4ème année</t>
  </si>
  <si>
    <t>Progression of patients cohorts under treatment  to plan for the 4th year</t>
  </si>
  <si>
    <t>Evolution de la file active de patients sous traitement à prévoir pour la 5ème année</t>
  </si>
  <si>
    <t>Progression of patients cohorts under treatment  to plan for the 5 th year</t>
  </si>
  <si>
    <t># Produits choisis pour chaque schéma thérapeutique</t>
  </si>
  <si>
    <t>Etape 2 : Hypothèses &amp; Données ADULTES</t>
  </si>
  <si>
    <t>Nombre de patient en début d'année [1]</t>
  </si>
  <si>
    <t>Répartition des adultes par schémas thérapeutiques au début de la période quantifiée</t>
  </si>
  <si>
    <t>Proportion de patients en 2ème lignes</t>
  </si>
  <si>
    <t>Proportion de patients en 3ème lignes</t>
  </si>
  <si>
    <t>Proportion de patients en 3ème ligne sur les patients en 2ème lignes</t>
  </si>
  <si>
    <t>Etape 2 : Hypothèses &amp; Données ENFANTS</t>
  </si>
  <si>
    <t>Enfant</t>
  </si>
  <si>
    <t>Children</t>
  </si>
  <si>
    <t>Répartition des enfants par schémas thérapeutiques au début de la période quantifiée</t>
  </si>
  <si>
    <t>Répartition  en fonction des catégories de poids</t>
  </si>
  <si>
    <t>Définir les hypothèses de répartition par catégories de poids</t>
  </si>
  <si>
    <t xml:space="preserve">Weight </t>
  </si>
  <si>
    <t>Percentage</t>
  </si>
  <si>
    <t xml:space="preserve">Poids </t>
  </si>
  <si>
    <t xml:space="preserve">Ratio of children on 2nd line treatment /total of children </t>
  </si>
  <si>
    <t>Proportion d'enfants en 2ème ligne / total des enfants</t>
  </si>
  <si>
    <t>Répartition (%)</t>
  </si>
  <si>
    <t>Choix de la formulation thérapeutique</t>
  </si>
  <si>
    <t>Tous les produits inclus dans les outils sont préqualifiés  selon la politique d'assurance qualité du Fond  Mondial</t>
  </si>
  <si>
    <t>Avertissement</t>
  </si>
  <si>
    <t>Ces choix ne concernent pas la période d'initiation NVP. Nous avions considéré que l'initiation avec NVP ne se fait qu'avec les solutions buvables.</t>
  </si>
  <si>
    <t>Choisir la forme galénique qui sera plus utile par rapport aux  besoins de chaque schéma thérapeutique</t>
  </si>
  <si>
    <t>Le total peut dépasser 100% dans le but de garantir une disponibilité suffisante des formes galéniques pédiatriques</t>
  </si>
  <si>
    <t>Choisir l'association  la plus utile, au regard des besoins</t>
  </si>
  <si>
    <t>Attention au choix de la forme galénique même s'il n'y a aucun patient sous ce schéma thérapeutique</t>
  </si>
  <si>
    <t>Résultats N ° 1: Estimation du nombre d' ADULTES par schéma thérapeutique sur la période de quantification</t>
  </si>
  <si>
    <t>Résultats N ° 3: Estimations du nombre d'enfants par  schéma thérapeutique sur la période de quantification</t>
  </si>
  <si>
    <t>Fin de la 1ère année / Début de la  2ème année</t>
  </si>
  <si>
    <t>Fin de la  2ème année / Début de la 3ème année</t>
  </si>
  <si>
    <t>Fin de la 3ème année / Début de la 4ème année</t>
  </si>
  <si>
    <t>Fin de la  4ème année / Début de la 5ème année</t>
  </si>
  <si>
    <t>Résultats N ° 4: LES BESOINS EN ARV POUR ENFANTS (sans stocks disponibles au début de la période)</t>
  </si>
  <si>
    <t>unité de mesure (ml) [1]</t>
  </si>
  <si>
    <t>unité de mesure (bouteille) [1]</t>
  </si>
  <si>
    <t>Unité  de prix par bouteille unitaire (US$)  [2]</t>
  </si>
  <si>
    <t>TOTAL + Tampon (nbre de paquets)</t>
  </si>
  <si>
    <t>Tampon / Année précédente (nbre de paquets)</t>
  </si>
  <si>
    <t>Poudre pour suspension</t>
  </si>
  <si>
    <t>Les cellules en orange dépendent des données entrées dans la feuille "Disponibilité de Stocks".</t>
  </si>
  <si>
    <t>Susp buv</t>
  </si>
  <si>
    <t xml:space="preserve"> TOTAL COST during the all period (US$)</t>
  </si>
  <si>
    <t>Nature of funding</t>
  </si>
  <si>
    <t>Date of estimate</t>
  </si>
  <si>
    <t>TOTAL + Tampon (nbre de paquets) - STOCK restant de l'année précédente [3]</t>
  </si>
  <si>
    <t xml:space="preserve">unité de mesure (ml, conditionnement, etc) </t>
  </si>
  <si>
    <t>Unit of measurement (mL, pack, etc)</t>
  </si>
  <si>
    <t>Unit Cost  (US $) [1]</t>
  </si>
  <si>
    <t>Unité  de prix  (US$)  [1]</t>
  </si>
  <si>
    <t>Stocks disponibles au début de la période [2]</t>
  </si>
  <si>
    <t>TOTAL + Tampon (nbre de paquets) - STOCK disponible [3]</t>
  </si>
  <si>
    <t>Susp buvable</t>
  </si>
  <si>
    <t>Nous avions pris uniquement en compte les stocks disonibles de la 1ère et 2 ème années</t>
  </si>
  <si>
    <t>Nous considérons que la disponibilité du stock n'a pas excédé 2 années.</t>
  </si>
  <si>
    <t>Les prix n'incluent pas les frais liés au transport et à la gestion du stock</t>
  </si>
  <si>
    <t>Seul avec FDC : AZT+3TC &amp; AZT+3TC+NVP</t>
  </si>
  <si>
    <t>Avec NVP sirop + FDC : AZT+3TC</t>
  </si>
  <si>
    <t>Avec NVP sirop +  suspension buvable  AZT &amp; 3TC</t>
  </si>
  <si>
    <t>Seul avec FDC : D4T+3TC+NVP qd &amp; D4T+3TC qd</t>
  </si>
  <si>
    <t>Avec NVP sirop + FDC : D4T+3TC</t>
  </si>
  <si>
    <t>Avec NVP sirop +  suspension buvable  D4T &amp; 3TC</t>
  </si>
  <si>
    <t>De 3 à 9,9 kg</t>
  </si>
  <si>
    <t>De 10 à 14,9 kg</t>
  </si>
  <si>
    <t>De 15  à 19,9 kg</t>
  </si>
  <si>
    <t>De 20 à 24,9 kg</t>
  </si>
  <si>
    <t>Définir la dose journalière pour chaque formulation</t>
  </si>
  <si>
    <t>Les données présentés dans ce fichier sont tirées des recommandations 2010 de l'OMS</t>
  </si>
  <si>
    <t>Formes liquides</t>
  </si>
  <si>
    <t>Enfants de 6 à 7 kg (tranche de poids considéré : 3 - 9,9 kg)</t>
  </si>
  <si>
    <t>Volume (mL) / day</t>
  </si>
  <si>
    <t>Volume (mL) / month</t>
  </si>
  <si>
    <t>Vial Volume (mL) [1]</t>
  </si>
  <si>
    <t>Le volume est notifié dans la feuille "Stocks disponible"</t>
  </si>
  <si>
    <t>Enfants de 12 à 14,9 kg (tranche de poids considéré : 10 - 14,9 kg)</t>
  </si>
  <si>
    <t>Enfants de 15 à 20 kg (tranche de poids considéré : 17 - 19,9 kg)</t>
  </si>
  <si>
    <t>Formes solides</t>
  </si>
  <si>
    <t>Formes</t>
  </si>
  <si>
    <t>Nb of boxs/ month / patient</t>
  </si>
  <si>
    <t>NVP tabs</t>
  </si>
  <si>
    <t xml:space="preserve">LPV/r adult </t>
  </si>
  <si>
    <t>Nb of boxs/ month  for all patients</t>
  </si>
  <si>
    <t>Strenght</t>
  </si>
  <si>
    <t>Existence d'un générique ? (G) préqualifié A ou B ? (GPQ)</t>
  </si>
  <si>
    <t>Pour Lopinavir/r, prenez  l'Unité de mesure "ml" comme une référence (le nombre de bouteilles ≠ Nombre de paquets)</t>
  </si>
  <si>
    <t>For Lopinavir/r, take the Unit of measurement in "ml" as a reference (number of bottles ≠ number of packets)</t>
  </si>
  <si>
    <t xml:space="preserve">Step N° 4 : Available Stocks </t>
  </si>
  <si>
    <t>Calculs SANS marge de sécurité</t>
  </si>
  <si>
    <t>Calculation without safety margin</t>
  </si>
  <si>
    <t>Calculs AVEC marge de sécurité</t>
  </si>
  <si>
    <t>Calculation with safety margin</t>
  </si>
  <si>
    <t>Step N°1 : General Data</t>
  </si>
  <si>
    <t>Sheet 1 Presentation</t>
  </si>
  <si>
    <t>feuille 1 Présentation</t>
  </si>
  <si>
    <t>Données générales</t>
  </si>
  <si>
    <t>Data for Adults Treatment</t>
  </si>
  <si>
    <t>Données sur PEC Adultes</t>
  </si>
  <si>
    <t>Evolution du nombre de patients adultes sous ARV sur la période</t>
  </si>
  <si>
    <t>Données et hypothèses adultes</t>
  </si>
  <si>
    <t>Data for Children Treatment</t>
  </si>
  <si>
    <t>Données sur PEC Enfants</t>
  </si>
  <si>
    <t>Evolution du nombre de patients enfants sous ARV sur la période</t>
  </si>
  <si>
    <t>Données et hypothèses enfants</t>
  </si>
  <si>
    <t xml:space="preserve">Data on available stocks </t>
  </si>
  <si>
    <t>Données de stocks disponibles</t>
  </si>
  <si>
    <t>feuille 7: Synthèse PEC adultes</t>
  </si>
  <si>
    <t>feuille 9: Prix</t>
  </si>
  <si>
    <t>Country name</t>
  </si>
  <si>
    <t>Results N°5 : ART Needs for Adults and Children WITH AVAILABLE STOCKS at the beginning of the quantification period</t>
  </si>
  <si>
    <t>At the beginning of the 1st Year</t>
  </si>
  <si>
    <t xml:space="preserve"> TOTAL COST during the whole period (US$)</t>
  </si>
  <si>
    <t xml:space="preserve">Results N° 3 : Trends of the number of CHILDREN by regimen on the quantification period </t>
  </si>
  <si>
    <t>Beginning of the 1st Year</t>
  </si>
  <si>
    <t>End of first Year / Beginning of the 2nd Year</t>
  </si>
  <si>
    <t>End of 2nd Year / Beginning of the 3rd Year</t>
  </si>
  <si>
    <t>End of 3rd Year / Beginning of the 4th Year</t>
  </si>
  <si>
    <t>End of 4th Year / Beginning of the 5th Year</t>
  </si>
  <si>
    <t>End of 5th Year</t>
  </si>
  <si>
    <t xml:space="preserve">Patients' number </t>
  </si>
  <si>
    <t>Results N° 4 : CHILDREN'S ART NEEDS  (without available stocks at the beginning of the period)</t>
  </si>
  <si>
    <t>Unit'price per bottle  (US $) [2]</t>
  </si>
  <si>
    <t>Orange cells depend on data filled in the sheet 'Available Stocks'</t>
  </si>
  <si>
    <t xml:space="preserve">Results N°1 : Estimate of the number of ADULTS by regimen on the quantification period </t>
  </si>
  <si>
    <t>Results N° 4 : ADULTS' ART NEEDS  (without available stocks at the beginning of the period)</t>
  </si>
  <si>
    <t>Exchange rate 1$ =</t>
  </si>
  <si>
    <t>Step 2 : Hypothesis &amp; Data CHILDREN</t>
  </si>
  <si>
    <t>Trends for patients' number during the period</t>
  </si>
  <si>
    <t>Patients' number at the beginning of the year [1]</t>
  </si>
  <si>
    <t>Inclusion number / month</t>
  </si>
  <si>
    <t>Inclusion number / period</t>
  </si>
  <si>
    <t>Real annual period if an adjustement is required [2]</t>
  </si>
  <si>
    <t>at the beginning of the year or at the beginning of the quantified period</t>
  </si>
  <si>
    <t>Children's distribution by regimen at the beginning of the quantified period</t>
  </si>
  <si>
    <t>Specify the proportion of patients in each regimen. The number of patients is automatically calculated from the total number of patients in the earlyd'année (cellule D9)</t>
  </si>
  <si>
    <t>Number of patients estimated at the beginning of the quantified period</t>
  </si>
  <si>
    <t>Select the formulation will be most usefull in regard of each regimen's need</t>
  </si>
  <si>
    <t>These choices do not apply to NVP initiationperiod. We considered that initiation with NVP is always done with oral solutions.</t>
  </si>
  <si>
    <t xml:space="preserve">Distribution of 1st line regimens </t>
  </si>
  <si>
    <t>Répartition des enfants qui sont supposés transiter de la 1ère ligne a la 2ème lignes thérapeutiques</t>
  </si>
  <si>
    <t xml:space="preserve">Distribution of the children supposed to be switched from first line to the 2nd treatments line </t>
  </si>
  <si>
    <t>Selection for therapeutic formulation</t>
  </si>
  <si>
    <t xml:space="preserve">RTV quantities are calculated as followed : </t>
  </si>
  <si>
    <t>Regarding the needs, select the most usefull combination</t>
  </si>
  <si>
    <t>Be careful in selecting the dosage form even if there is no patient on the regimen</t>
  </si>
  <si>
    <t xml:space="preserve">NVP regimen initiation </t>
  </si>
  <si>
    <t xml:space="preserve">Regimen </t>
  </si>
  <si>
    <t>the data presented here are from WHO's 2010 recommendations</t>
  </si>
  <si>
    <t>Number of patients expected at beginning of the  first year</t>
  </si>
  <si>
    <t>Evolution of the active line under ARV treatment to foresee for the first year</t>
  </si>
  <si>
    <t>Repartition of initiations</t>
  </si>
  <si>
    <t>Monthly patients number</t>
  </si>
  <si>
    <t>Periodical total new patients number WITH Safety margin</t>
  </si>
  <si>
    <t>Periodical total new patients number</t>
  </si>
  <si>
    <t>Drugs needed</t>
  </si>
  <si>
    <t xml:space="preserve">Passage Rate in 2nd line </t>
  </si>
  <si>
    <t>Total patients at the end of yeah year</t>
  </si>
  <si>
    <t>Monthly proportion</t>
  </si>
  <si>
    <t>Distribution of monthly patients / weight ranges</t>
  </si>
  <si>
    <t>Children present at beginning of year</t>
  </si>
  <si>
    <t>Annuel total of patients-month nb</t>
  </si>
  <si>
    <t>Monthly qties</t>
  </si>
  <si>
    <t>Show simple forms</t>
  </si>
  <si>
    <t>Initiation of NVP treatment for children who receive TRIOMUNE baby</t>
  </si>
  <si>
    <t>Vial total nb for the news childrens of the year</t>
  </si>
  <si>
    <t>Vial total nb for the news childrens on period WITH safety margin</t>
  </si>
  <si>
    <t>If children from 12 - 14 kg (accounted for the range 10 - 14,9 kg)</t>
  </si>
  <si>
    <t>If children from 15 - 19,9 kg (accounted for the range 17 - 19,9 kg)</t>
  </si>
  <si>
    <t>If children &gt; 15 Kg: can take adults forms</t>
  </si>
  <si>
    <t>Details of Quantification calculations</t>
  </si>
  <si>
    <t>Quanfications of what is needed for the first year of medical care in regard to proposed allocation</t>
  </si>
  <si>
    <t>Quantification of ARV needed for pediatric care on the first year without safety stock</t>
  </si>
  <si>
    <t>Safety stock of</t>
  </si>
  <si>
    <t>Quantification of ARV needed for pediatric care on the first year with safety stock</t>
  </si>
  <si>
    <t xml:space="preserve">Quantification of ARV needed for pediatric care on the first year </t>
  </si>
  <si>
    <t>Possible Generic name</t>
  </si>
  <si>
    <t>Packaging</t>
  </si>
  <si>
    <t>WITH PROPORTIONNEL DEDUCTION  on first line patients distribution</t>
  </si>
  <si>
    <t>The data deducted on the major regimen in 1st line were taken into account for the next years. (The major regimen is generally the cheapest, this option was retained in budgetary estimation framework</t>
  </si>
  <si>
    <t>Quanfying needs for medical care for the first year according to planned allocation</t>
  </si>
  <si>
    <t>Quanfying needs for medical care for the third year according to planned allocation</t>
  </si>
  <si>
    <t>Quantification of ARV needed for pediatric care on the second year without safety stock</t>
  </si>
  <si>
    <t>Quantification of ARV needed for pediatric care on the second year with safety stock</t>
  </si>
  <si>
    <t>Quantification of ARV needed for pediatric care on the 3rd year without safety stock</t>
  </si>
  <si>
    <t>Quantification of ARV needed for pediatric care on the 3rd year with safety stock</t>
  </si>
  <si>
    <t>Quantification of ARV needed for pediatric care on the 4th year without safety stock</t>
  </si>
  <si>
    <t>Quantification of ARV needed for pediatric care on the 4th year with safety stock</t>
  </si>
  <si>
    <t xml:space="preserve">Quantification of ARV needed for pediatric care on the second year </t>
  </si>
  <si>
    <t xml:space="preserve">Quantification of ARV needed for pediatric care on the 3rd year </t>
  </si>
  <si>
    <t>PRICES of ARV in US Dollar $ according to the Report GPRM 10-2011 for the Low Income Countries</t>
  </si>
  <si>
    <t>In-take quantifies by box or  the vials volumes  may change depending on suppliers. Secondary packaging may also vary (LPV / r au sol. oral.)</t>
  </si>
  <si>
    <t>According to BMS Global Access Program in mai 2009</t>
  </si>
  <si>
    <t xml:space="preserve">Fill in the form with the current available stock and check the capacity (in mL) for syrups and oral suspensions </t>
  </si>
  <si>
    <t>Total patients-mois</t>
  </si>
  <si>
    <t>Show graphs</t>
  </si>
  <si>
    <t>Quantified period</t>
  </si>
  <si>
    <t>of patients at the end of the year</t>
  </si>
  <si>
    <t>For 3rd line, the method is not the same and is not based on the lines. We considered the proportion of patients and the molecules necessary for patient care. This allows to make several combinations.</t>
  </si>
  <si>
    <t>Evolution of therapeutic lines over the year</t>
  </si>
  <si>
    <t>Distribution at the end of the period</t>
  </si>
  <si>
    <t>Deduction on 1st lines is obtained by this formula</t>
  </si>
  <si>
    <t xml:space="preserve"> = - Proportion of  therapeutique regimen in the 1st lines at the end of the year * nb of patients passing in 2nd lines</t>
  </si>
  <si>
    <t>WITH DEDUCTION ON THERAPEUTIC REGIMEN MAJORITARY  1st lines</t>
  </si>
  <si>
    <t>The Patients number in 3rd lines is not voluntarily taken into account in the total</t>
  </si>
  <si>
    <t>For the next year, we have taken into account a deduction proportionate at the distribution of initiations in 1st lines (data in red)</t>
  </si>
  <si>
    <t>We considered the new dosage form of DRV at 600 mg</t>
  </si>
  <si>
    <t>patients followed-up</t>
  </si>
  <si>
    <t>Trends for patients during the period</t>
  </si>
  <si>
    <t># tab/cap/jr</t>
  </si>
  <si>
    <t># tab/cap/mois</t>
  </si>
  <si>
    <t># unité de mesure/mois</t>
  </si>
  <si>
    <t>To permit a quick estimate of ART quantity and necessary budget for a given program</t>
  </si>
  <si>
    <t>This inventory tool allows for estimating ART needs for :</t>
  </si>
  <si>
    <t xml:space="preserve">Periodical trends for number of adults on ART for: </t>
  </si>
  <si>
    <t xml:space="preserve">Periodical trends for number of children on ART </t>
  </si>
  <si>
    <t>these sheets are hidden</t>
  </si>
  <si>
    <t xml:space="preserve">Data are to be filled in the green corresponding sheets </t>
  </si>
  <si>
    <t>How many years would you wish to make estimates?</t>
  </si>
  <si>
    <t>Isolate the corresponding periods</t>
  </si>
  <si>
    <t>Describe the time period in months (3 months, 6 months, …)</t>
  </si>
  <si>
    <t xml:space="preserve">Choose only one regimen and formulation </t>
  </si>
  <si>
    <t xml:space="preserve">In this case, we consider 1 pack and 15 tablets of AZT+3TC+NVP the first month </t>
  </si>
  <si>
    <t>No. of  monthly patients</t>
  </si>
  <si>
    <t>Total No. of patients in a defined period</t>
  </si>
  <si>
    <t>No. of patients in the 2nd line at begining of year</t>
  </si>
  <si>
    <t>No. of patients who switched a year</t>
  </si>
  <si>
    <t>No. of patients-month</t>
  </si>
  <si>
    <t>No. of patients-month safety margin single</t>
  </si>
  <si>
    <t>No. of patients in the 3rd lines at begining of year</t>
  </si>
  <si>
    <t>No. of patients</t>
  </si>
  <si>
    <t>No. of patients at the end of period</t>
  </si>
  <si>
    <t>Total no. of patient 3rd lines</t>
  </si>
  <si>
    <t>No. cdt/month/patient</t>
  </si>
  <si>
    <t>No. of patients reiceving ARV followed</t>
  </si>
  <si>
    <t>No. of dosage unit/box</t>
  </si>
  <si>
    <t>No. of doses/month/patient</t>
  </si>
  <si>
    <t>No. of box/month/patient</t>
  </si>
  <si>
    <t>TOTAL (no. of boxs)</t>
  </si>
  <si>
    <t xml:space="preserve"> =No. of patient by month in 2nd lines * Drug proportion in the regimens of 1st lines at the end of the year * Deduction rate set (tab 'Data Adults')*Nb of box/month/patient</t>
  </si>
  <si>
    <t>Distribution of pediatric cohort under treatment at the end of year 1</t>
  </si>
  <si>
    <t>Distribution of pediatric cohort under treatment at the end of year 2</t>
  </si>
  <si>
    <t>Distribution of pediatric cohort under treatment at the end of year 3</t>
  </si>
  <si>
    <t>TOTAL (nbre de btes)</t>
  </si>
  <si>
    <t>Tampon (nbre de btes)</t>
  </si>
  <si>
    <t>Tampon / Année passée (nbre de btes)</t>
  </si>
  <si>
    <t>TOTAL + Tampon (nbre de btes)</t>
  </si>
  <si>
    <t>Gél</t>
  </si>
  <si>
    <t>caps</t>
  </si>
  <si>
    <t>Oral Susp</t>
  </si>
  <si>
    <t>Caps. Molle</t>
  </si>
  <si>
    <t>Cp/coblister</t>
  </si>
  <si>
    <t>Gél.</t>
  </si>
  <si>
    <t>Susp. Buv.</t>
  </si>
  <si>
    <t>Poudre pr Susp. Buv.</t>
  </si>
  <si>
    <t>Oral Sol</t>
  </si>
  <si>
    <t>INTI</t>
  </si>
  <si>
    <t>INNTI</t>
  </si>
  <si>
    <t>Int. I</t>
  </si>
  <si>
    <t>INNTI 3ème ligne</t>
  </si>
  <si>
    <t>Formes buvables</t>
  </si>
  <si>
    <t>Oral forms</t>
  </si>
  <si>
    <t>Frais de gestion</t>
  </si>
  <si>
    <t>correspondant à ;</t>
  </si>
  <si>
    <t>taux de change pour 1$</t>
  </si>
  <si>
    <t>Frais de transports, d'assurance et de fluctuation des prix</t>
  </si>
  <si>
    <t>Résultats N°5: Besoins en ARV pour les adultes et les enfants EN TENANT COMPTE DES STOCKS DISPONIBLES au début de la période de quantification</t>
  </si>
  <si>
    <r>
      <t xml:space="preserve">The methodology used here is based on morbidity data : number of patients by regimen &amp; number of </t>
    </r>
    <r>
      <rPr>
        <u/>
        <sz val="11"/>
        <rFont val="Calibri"/>
        <family val="2"/>
      </rPr>
      <t>new</t>
    </r>
    <r>
      <rPr>
        <sz val="11"/>
        <rFont val="Calibri"/>
        <family val="2"/>
      </rPr>
      <t xml:space="preserve"> patients by regimen</t>
    </r>
  </si>
  <si>
    <r>
      <t>L'</t>
    </r>
    <r>
      <rPr>
        <u/>
        <sz val="11"/>
        <rFont val="Calibri"/>
        <family val="2"/>
      </rPr>
      <t>utilisation</t>
    </r>
    <r>
      <rPr>
        <sz val="11"/>
        <rFont val="Calibri"/>
        <family val="2"/>
      </rPr>
      <t xml:space="preserve"> et la </t>
    </r>
    <r>
      <rPr>
        <u/>
        <sz val="11"/>
        <rFont val="Calibri"/>
        <family val="2"/>
      </rPr>
      <t>copie</t>
    </r>
    <r>
      <rPr>
        <sz val="11"/>
        <rFont val="Calibri"/>
        <family val="2"/>
      </rPr>
      <t xml:space="preserve"> de cet outil sont libres dans la mesure où : </t>
    </r>
  </si>
  <si>
    <r>
      <t>1. This tool is used as nonprofit</t>
    </r>
    <r>
      <rPr>
        <u/>
        <sz val="11"/>
        <rFont val="Calibri"/>
        <family val="2"/>
      </rPr>
      <t xml:space="preserve"> </t>
    </r>
  </si>
  <si>
    <r>
      <t xml:space="preserve">1. L'outil est utilisé dans un </t>
    </r>
    <r>
      <rPr>
        <u/>
        <sz val="11"/>
        <rFont val="Calibri"/>
        <family val="2"/>
      </rPr>
      <t xml:space="preserve">but non lucratif  </t>
    </r>
  </si>
  <si>
    <r>
      <t xml:space="preserve">Pour toutes </t>
    </r>
    <r>
      <rPr>
        <u/>
        <sz val="11"/>
        <rFont val="Calibri"/>
        <family val="2"/>
      </rPr>
      <t>modifications</t>
    </r>
    <r>
      <rPr>
        <sz val="11"/>
        <rFont val="Calibri"/>
        <family val="2"/>
      </rPr>
      <t xml:space="preserve"> et adaptations de l'outil, contactez-nous.</t>
    </r>
  </si>
  <si>
    <r>
      <t xml:space="preserve">TOTAL (nb of </t>
    </r>
    <r>
      <rPr>
        <sz val="11"/>
        <color rgb="FFFF0000"/>
        <rFont val="Calibri"/>
        <family val="2"/>
      </rPr>
      <t>packets)</t>
    </r>
  </si>
  <si>
    <r>
      <t>TOTAL</t>
    </r>
    <r>
      <rPr>
        <sz val="11"/>
        <color rgb="FFFF0000"/>
        <rFont val="Calibri"/>
        <family val="2"/>
      </rPr>
      <t xml:space="preserve"> COST</t>
    </r>
    <r>
      <rPr>
        <sz val="11"/>
        <rFont val="Calibri"/>
        <family val="2"/>
      </rPr>
      <t xml:space="preserve"> (US$)</t>
    </r>
  </si>
  <si>
    <r>
      <t xml:space="preserve">Prix TOTAL (US$) sans </t>
    </r>
    <r>
      <rPr>
        <sz val="11"/>
        <color rgb="FFFF0000"/>
        <rFont val="Calibri"/>
        <family val="2"/>
      </rPr>
      <t>Stocks</t>
    </r>
  </si>
  <si>
    <r>
      <t>Prix TOTAL (US$) avec</t>
    </r>
    <r>
      <rPr>
        <sz val="11"/>
        <color rgb="FFFF0000"/>
        <rFont val="Calibri"/>
        <family val="2"/>
      </rPr>
      <t xml:space="preserve"> Stocks</t>
    </r>
  </si>
  <si>
    <t>Indiquez la proportion de patients dans chaque schéma thérapeutique. Le nombre de patients est automatiquement calculé à partir du nombre total de patients dans le earlyd'année (cellule D9)</t>
  </si>
  <si>
    <t>Child from 6 to 7 kg (Weight categorie used : 3 - 9,9 kg)</t>
  </si>
  <si>
    <t>Child from 12 to 14,9 kg (Weight categorie used : 10 - 14,9 kg)</t>
  </si>
  <si>
    <t>Child from 15 to 20 kg (Weight categorie used : 17 - 19,9 kg)</t>
  </si>
  <si>
    <r>
      <t xml:space="preserve">Transportation price, insurance, cost fluctuation </t>
    </r>
    <r>
      <rPr>
        <sz val="11"/>
        <color rgb="FFFF0000"/>
        <rFont val="Calibri"/>
        <family val="2"/>
      </rPr>
      <t>buffer</t>
    </r>
  </si>
  <si>
    <r>
      <t xml:space="preserve"> =Nb de patients mois en 2ème lignes*proportion que représente le médicament dans les schémas de premières lignes </t>
    </r>
    <r>
      <rPr>
        <u/>
        <sz val="11"/>
        <rFont val="Calibri"/>
        <family val="2"/>
      </rPr>
      <t>à la fin de l'année</t>
    </r>
    <r>
      <rPr>
        <sz val="11"/>
        <rFont val="Calibri"/>
        <family val="2"/>
      </rPr>
      <t>* taux de défalcation défini (onglet 'Données Adultes')*Nb de bte/mois/patient</t>
    </r>
  </si>
  <si>
    <r>
      <t xml:space="preserve">Orange </t>
    </r>
    <r>
      <rPr>
        <sz val="11"/>
        <color rgb="FFFF0000"/>
        <rFont val="Calibri"/>
        <family val="2"/>
      </rPr>
      <t>cells</t>
    </r>
    <r>
      <rPr>
        <sz val="11"/>
        <rFont val="Calibri"/>
        <family val="2"/>
      </rPr>
      <t xml:space="preserve"> depend on data filled in the sheet 'Available Stocks'</t>
    </r>
  </si>
  <si>
    <t>Prix médian</t>
  </si>
  <si>
    <t xml:space="preserve">Depending on selected options in the previous templates </t>
  </si>
  <si>
    <t>NON</t>
  </si>
  <si>
    <t>NO</t>
  </si>
  <si>
    <t>Mettre un X majuscule dans la case sélection pour l'option retenue</t>
  </si>
  <si>
    <t>Select the option you want with a X</t>
  </si>
  <si>
    <t xml:space="preserve">Adults counted </t>
  </si>
  <si>
    <r>
      <t xml:space="preserve">TOTAL + </t>
    </r>
    <r>
      <rPr>
        <sz val="11"/>
        <color rgb="FFFF0000"/>
        <rFont val="Calibri"/>
        <family val="2"/>
      </rPr>
      <t>buffer</t>
    </r>
    <r>
      <rPr>
        <sz val="11"/>
        <rFont val="Calibri"/>
        <family val="2"/>
      </rPr>
      <t xml:space="preserve"> (nb of packets) - remaining STOCK from the previous year [3]</t>
    </r>
  </si>
  <si>
    <r>
      <t xml:space="preserve">TOTAL + </t>
    </r>
    <r>
      <rPr>
        <sz val="11"/>
        <color rgb="FFFF0000"/>
        <rFont val="Calibri"/>
        <family val="2"/>
      </rPr>
      <t>buffer</t>
    </r>
    <r>
      <rPr>
        <sz val="11"/>
        <rFont val="Calibri"/>
        <family val="2"/>
      </rPr>
      <t xml:space="preserve"> (nb of packets) - available STOCK [3]</t>
    </r>
  </si>
  <si>
    <r>
      <t xml:space="preserve">TOTAL COST (US$)
WITHOUT </t>
    </r>
    <r>
      <rPr>
        <sz val="11"/>
        <color rgb="FFFF0000"/>
        <rFont val="Calibri"/>
        <family val="2"/>
      </rPr>
      <t>STOCKS</t>
    </r>
  </si>
  <si>
    <r>
      <t xml:space="preserve"> TOTAL COST (US$) WITH </t>
    </r>
    <r>
      <rPr>
        <sz val="11"/>
        <color rgb="FFFF0000"/>
        <rFont val="Calibri"/>
        <family val="2"/>
      </rPr>
      <t xml:space="preserve"> STOCKS</t>
    </r>
  </si>
  <si>
    <t>Montant total</t>
  </si>
  <si>
    <t>Une partie du travail d'élaboration de cet outil a été financé par l'Initiative 5% du Ministère des Affaires Etrangères de la France</t>
  </si>
  <si>
    <t>A part of the work on this tool has been financed by the Initiative 5% of the Ministry of Foreign Affairs in France</t>
  </si>
  <si>
    <t>warning, only one choice. If not, it will be the first one.</t>
  </si>
  <si>
    <t>Attention, il ne faut qu'un seul choix, sinon le premier sera retenu.</t>
  </si>
  <si>
    <t>INFORMATION NOTE</t>
  </si>
  <si>
    <t>source GPRM or UTW</t>
  </si>
  <si>
    <t>ritonavir</t>
  </si>
  <si>
    <t>[TDF+3TC]+ATV/r</t>
  </si>
  <si>
    <t>[300+300]+300/100</t>
  </si>
  <si>
    <t>oral solution</t>
  </si>
  <si>
    <t>mg/mL</t>
  </si>
  <si>
    <t>dispersible tablets</t>
  </si>
  <si>
    <t>Prix VPP</t>
  </si>
  <si>
    <t>VPP Prices</t>
  </si>
  <si>
    <t>Prix moyen</t>
  </si>
  <si>
    <t>medium price</t>
  </si>
  <si>
    <t>Prix maximum</t>
  </si>
  <si>
    <t>maximum price</t>
  </si>
  <si>
    <t>Prix minimum</t>
  </si>
  <si>
    <t>minimum price</t>
  </si>
  <si>
    <t>Prix unitaire par cdt (US$)  [1]</t>
  </si>
  <si>
    <t>Unit Cost per pack (US$) [1]</t>
  </si>
  <si>
    <t>NIGER</t>
  </si>
  <si>
    <t>Pour chaque schéma de première ligne, précisez le(s) schéma(s) de 2ème ligne souhaité(s) à l'aide des menus déroulants</t>
  </si>
  <si>
    <t>For every first line regimen choose the second line regimen with the drop down menu</t>
  </si>
  <si>
    <t>Ensuite, pour chacun des schémas sélectionnés, précisez ensuite les proportions attendues</t>
  </si>
  <si>
    <t>Then, mention the proportion of each second line regimen</t>
  </si>
  <si>
    <t>Si vous changez le détail des schémas dans le tableau 1 tout en haut de cette feuille, vous devez actualiser la sélection des schémas dans ce tableau</t>
  </si>
  <si>
    <t>If you change the details of the regimens in the first table of this sheet, you need to actualise every choice</t>
  </si>
  <si>
    <t>Attention</t>
  </si>
  <si>
    <t>Careful</t>
  </si>
  <si>
    <t>Consigne d'utilisation</t>
  </si>
  <si>
    <t>Instructions</t>
  </si>
  <si>
    <t>Nombre total de patients en première ligne (actuel + initiation du mois)</t>
  </si>
  <si>
    <t>Total number of patients in first line (still &amp; new)</t>
  </si>
  <si>
    <t>Nombre de nouveaux patients attendus en 2ème ligne par mois</t>
  </si>
  <si>
    <t>Number of new patients in second line</t>
  </si>
  <si>
    <t>Treatment regimen</t>
  </si>
  <si>
    <t>Proportion %</t>
  </si>
  <si>
    <t xml:space="preserve">Nombre de patients </t>
  </si>
  <si>
    <t xml:space="preserve">Number of patients </t>
  </si>
  <si>
    <t>Les paramètres renseignés ici sont les mêmes pour toute la période quantifiée</t>
  </si>
  <si>
    <t>Parameters mentionned there are the same for the whole quantified period</t>
  </si>
  <si>
    <t>Nombre de patients 1ère ligne à la fin de l'année</t>
  </si>
  <si>
    <t>Number of patients 1st line at the end of the year</t>
  </si>
  <si>
    <t>Nombre de patients 2ème ligne à la fin de l'année</t>
  </si>
  <si>
    <t>Number of patients 2nd line at the end of the year</t>
  </si>
  <si>
    <t>Passage en 2ème ligne - spécifications par schémas</t>
  </si>
  <si>
    <t>Switch to 2nd line - therapeutic regimen details</t>
  </si>
  <si>
    <t>Ratio of patients in first line failure who will be switch to 2nd line treatment (at the end of the period)</t>
  </si>
  <si>
    <t>Proportion de patients en échappement thérapeutique en 1ère ligne entrainant un passage en 2ème ligne (à la fin de la période)</t>
  </si>
  <si>
    <t>Préciser les schémas thérapeutiques utilisés. Ces schémas apparaitront ensuite ainsi dans l'ensemble du document</t>
  </si>
  <si>
    <t>pecify the therapeutic regimens used. They will appear in every table in the entire document</t>
  </si>
  <si>
    <t>Critère</t>
  </si>
  <si>
    <t>Criterion</t>
  </si>
  <si>
    <t>Nombre de patient par schéma par mois</t>
  </si>
  <si>
    <t>Drugs to look at more for the possible 3rd lines</t>
  </si>
  <si>
    <t>patient nb per regimen</t>
  </si>
  <si>
    <t>1 feuille : Calculs du passage en 2ème ligne</t>
  </si>
  <si>
    <t>1 sheet : calculation for the 2nd switch needs</t>
  </si>
  <si>
    <t>Option 1</t>
  </si>
  <si>
    <t>Option 2</t>
  </si>
  <si>
    <t>Option 3</t>
  </si>
  <si>
    <t>35I</t>
  </si>
  <si>
    <t>TDF adulte</t>
  </si>
  <si>
    <t>3TC adulte</t>
  </si>
  <si>
    <t>DDI adulte</t>
  </si>
  <si>
    <t>NVP adulte</t>
  </si>
  <si>
    <t>EFV enfant</t>
  </si>
  <si>
    <t>LPV/r adulte</t>
  </si>
  <si>
    <t>LPV/r enfant</t>
  </si>
  <si>
    <t>AZT+ 3TC+ NVP adulte</t>
  </si>
  <si>
    <t>AZT+ 3TC+ NVP bébé</t>
  </si>
  <si>
    <t>AZT+ 3TC adulte</t>
  </si>
  <si>
    <t>AZT+ 3TC bébé</t>
  </si>
  <si>
    <t>D4T+ 3TC+ NVP adulte</t>
  </si>
  <si>
    <t>D4T+ 3TC+ NVP bébé</t>
  </si>
  <si>
    <t>D4T+ 3TC bébé</t>
  </si>
  <si>
    <t>AZT+ 3TC+ ABC adulte</t>
  </si>
  <si>
    <t>AZT+ 3TC+ ABC bébé</t>
  </si>
  <si>
    <t>ABC+ 3TC adulte</t>
  </si>
  <si>
    <t>ABC+ 3TC bébé</t>
  </si>
  <si>
    <t>TDF+ FTC/3TC+ EFV adulte</t>
  </si>
  <si>
    <t>TDF+ FTC/3TC adulte</t>
  </si>
  <si>
    <t>300/200-300/600 mg</t>
  </si>
  <si>
    <t>300/200-300 mg</t>
  </si>
  <si>
    <t>TDF+FTC+EFV [a]</t>
  </si>
  <si>
    <t>TDF+FTC [a]</t>
  </si>
  <si>
    <t>TDF+3TC+EFV [a]</t>
  </si>
  <si>
    <t>TDF+3TC [a]</t>
  </si>
  <si>
    <t>Besoins Nationaux</t>
  </si>
  <si>
    <t>Juillet 2014 - Juin 2015</t>
  </si>
  <si>
    <t>TDF+3TC/FTC+ABC</t>
  </si>
  <si>
    <t>ABC+3TC+LPV/r</t>
  </si>
  <si>
    <t>ABC+3TC+NVP</t>
  </si>
  <si>
    <t>TDF+3TC+LPV/r</t>
  </si>
  <si>
    <t>Répartition selon les molécules de deuxièmes lignes</t>
  </si>
  <si>
    <t xml:space="preserve">Distribution by categories of 2nd line drugs </t>
  </si>
  <si>
    <t>Source de prix 2
 - VPP
 - Prix min</t>
  </si>
  <si>
    <t>Source de prix 2
 - VPP
 - Prix max</t>
  </si>
  <si>
    <t>Source de prix 2
 - VPP
 - Prix moyen</t>
  </si>
  <si>
    <t>Conditionnement primaire (nb d'unités)</t>
  </si>
  <si>
    <t>Prix par conditionnement</t>
  </si>
  <si>
    <t>Sol buv</t>
  </si>
  <si>
    <t>Cp disp</t>
  </si>
  <si>
    <t>Atazanavir</t>
  </si>
  <si>
    <t>Poudre orale</t>
  </si>
  <si>
    <t>50 mg/1,5g</t>
  </si>
  <si>
    <t>Atazanavir/ Ritonavir</t>
  </si>
  <si>
    <t>75 mg</t>
  </si>
  <si>
    <t>125 mg</t>
  </si>
  <si>
    <t>25 mg</t>
  </si>
  <si>
    <t>Fosamprenavir</t>
  </si>
  <si>
    <t>700 mg</t>
  </si>
  <si>
    <t>3TC/ABC</t>
  </si>
  <si>
    <t>Lamivudine/ Abacavir</t>
  </si>
  <si>
    <t>Lopinavir/ Ritonavir</t>
  </si>
  <si>
    <t>Lopinavir/Ritonavir</t>
  </si>
  <si>
    <t>Nevirapine</t>
  </si>
  <si>
    <t>Raltegravir</t>
  </si>
  <si>
    <t>Cp à macher</t>
  </si>
  <si>
    <t>Rilpivirine</t>
  </si>
  <si>
    <t>15 mg</t>
  </si>
  <si>
    <t>20 mg</t>
  </si>
  <si>
    <t>D4T/3TC</t>
  </si>
  <si>
    <t>Stavudine/ Lamivudine</t>
  </si>
  <si>
    <t>12/60 mg</t>
  </si>
  <si>
    <t>D4T/3TC/NVP</t>
  </si>
  <si>
    <t>Stavudine/ Lamivudine/ Nevirapine</t>
  </si>
  <si>
    <t>12/60/100 mg</t>
  </si>
  <si>
    <t>Tenofovir</t>
  </si>
  <si>
    <t>40 mg/1g</t>
  </si>
  <si>
    <t>TDF/FTC</t>
  </si>
  <si>
    <t>Tenofovir/ Emtricitabine</t>
  </si>
  <si>
    <t>TDF/FTC/EFV</t>
  </si>
  <si>
    <t>Tenofovir/ Emtricitabine/ Efavirenz</t>
  </si>
  <si>
    <t>TDF/3TC</t>
  </si>
  <si>
    <t>Tenofovir/ Lamivudine</t>
  </si>
  <si>
    <t>300/300 mg</t>
  </si>
  <si>
    <t>[TDF/3TC]/ATV/r</t>
  </si>
  <si>
    <t>Tenofovir/ Lamivudine/ Atazanavir/Ritonavir</t>
  </si>
  <si>
    <t>Cp coblister</t>
  </si>
  <si>
    <t>[300/300]/300/100 mg</t>
  </si>
  <si>
    <t>TDF/3TC/EFV</t>
  </si>
  <si>
    <t>Tenofovir/ Lamivudine/ Efavirenz</t>
  </si>
  <si>
    <t>300/300/600 mg</t>
  </si>
  <si>
    <t>[TDF/3TC]/NVP</t>
  </si>
  <si>
    <t>Tenofovir/ Lamivudine/ Névirapine</t>
  </si>
  <si>
    <t>[300/300]/200 mg</t>
  </si>
  <si>
    <t>AZT/3TC</t>
  </si>
  <si>
    <t>Zidovudine/ Lamivudine</t>
  </si>
  <si>
    <t>AZT/3TC/ABC</t>
  </si>
  <si>
    <t>Zidovudine/ Lamivudine/ Abacavir</t>
  </si>
  <si>
    <t>AZT/3TC/NVP</t>
  </si>
  <si>
    <t>Zidovudine/ Lamivudine/ Nevirapine</t>
  </si>
  <si>
    <t>[AZT/3TC]/EFV</t>
  </si>
  <si>
    <t>Zidovudine/Lamivudine/Efavirenz</t>
  </si>
  <si>
    <t>Source de prix 3
 - IDPIG - MSH
Buyer</t>
  </si>
  <si>
    <t>Source de prix 3
- IDPIG - MSH
Supplier</t>
  </si>
  <si>
    <t>Source de prix 4
 - CHAI</t>
  </si>
  <si>
    <t>Source de prix 5
 - Source libre</t>
  </si>
  <si>
    <t>Prix selon source retenue</t>
  </si>
  <si>
    <t>Si vous voulez le prix en euros, vous devez définir le taux de change (pour 1$)</t>
  </si>
  <si>
    <t>If you want the price in euros, you have to define the exchange rate (for 1$)</t>
  </si>
  <si>
    <t>Les prix GPRM n'étant plus actualisés, ils ne sont plus mentionnés dans cet outil</t>
  </si>
  <si>
    <t>GPRM Prices are no longer updated so that you can't use them in this costing tool</t>
  </si>
  <si>
    <t>Prix centrale d'achat nationale</t>
  </si>
  <si>
    <t>CMS Prices</t>
  </si>
  <si>
    <t>Prix médian Vendeur</t>
  </si>
  <si>
    <t>Prix médian Acheteur</t>
  </si>
  <si>
    <t xml:space="preserve">International Drug Prices Indicator Guide - MSH </t>
  </si>
  <si>
    <t>Buyer median price</t>
  </si>
  <si>
    <t>Supplier median price</t>
  </si>
  <si>
    <t>Vous pouvez également choisir le prix moyen ou maximum de l'ensemble des sources de prix renseignées</t>
  </si>
  <si>
    <t>You can also select the medium or maximum price between all mentionned prices in the sheet Prices</t>
  </si>
  <si>
    <t>Other prices' source</t>
  </si>
  <si>
    <t>Guide international des prix de médicaments - MSH</t>
  </si>
  <si>
    <t>CHAI's prices</t>
  </si>
  <si>
    <t>Autre source de prix</t>
  </si>
  <si>
    <t>Prix CHAI</t>
  </si>
  <si>
    <t>Décaler de :</t>
  </si>
  <si>
    <t>Prix max</t>
  </si>
  <si>
    <t>Ordre outil</t>
  </si>
  <si>
    <t>Prix unitaire</t>
  </si>
  <si>
    <t>Pour être plus réalistes dans les calculs des nombres de patients, les patients passant en 2ème lignes sortent des premières lignes proportionnellement au nombre de patients sur chaque schéma</t>
  </si>
  <si>
    <t>Toutefois, pour ne pas sous estimer les quantités d'ARV de première ligne, il est possible de limiter la défalcation des besoins sur la première ligne en mentionnant un pourcentage de défalcation</t>
  </si>
  <si>
    <t>In order to avoid understimation of the quantities for 1st line treatment in case where these patients were not finally switched to 2nd line treatment and would stay on 1st line treatment, it's possible to maintain part of them with a %</t>
  </si>
  <si>
    <t>Proportion des besoins (nb de cdt) défalquée des 1ères lignes en % ?</t>
  </si>
  <si>
    <t>Percentage of needs decreased from 1st line (not kept in 1st line) ?</t>
  </si>
  <si>
    <t>Pour les enfants comme pour les adultes, les patients passés en 2ème ligne sont défalqués des premières lignes</t>
  </si>
  <si>
    <t>Par contre, étant donné les besoins limités pour enfants, pour éviter des sous estimations, il n'est pas possible de défalquer les besoins sur les 1ère ligne. Les besoins sont donc pris en compte sur la première ligne ligne et la 2ème ligne et réajusté tous les ans.</t>
  </si>
  <si>
    <t>For children as for adults, patients switched to 2nd line are decresed from the 1st line</t>
  </si>
  <si>
    <t>In order to be more realistic with calculations, patients switched to 2nd line treatment are removed from the 1st line treatment with the proportion of 1st line regimen</t>
  </si>
  <si>
    <t>In contrary, in case of children's needs, there is no decrease of the amount of needs</t>
  </si>
  <si>
    <t>Prix / prices</t>
  </si>
  <si>
    <t>Rappel des paramétrages</t>
  </si>
  <si>
    <t>Mode d'emploi</t>
  </si>
  <si>
    <t>Source de prix 1
 - centrale d'achats</t>
  </si>
  <si>
    <t>Correspondance avec les tableaux de cet outil de quantification</t>
  </si>
  <si>
    <t>Renseigner les différentes sources de prix que souhaitez pouvoir utiliser dans les cellules jaunes et bleues claires</t>
  </si>
  <si>
    <t>Précisez la source des prix que vous souhaitez prendre en compte (attention, les prix doivent être renseignés dans la feuille correspondante)</t>
  </si>
  <si>
    <t>Please select the prices' source you want to use in the costing? Warning: various prices' sources need be completed in the dedicated sheet</t>
  </si>
  <si>
    <t>Si aucune des sources de prix ne vous convient, vous pouvez en ajouter une dans la colonnes P : source libre</t>
  </si>
  <si>
    <t>Les prix mentionnés ici ont été actualisés fin 2013</t>
  </si>
  <si>
    <t>LPV/r+3TC+ABC</t>
  </si>
  <si>
    <t>Nb ayant switché dans l'année</t>
  </si>
  <si>
    <t xml:space="preserve">Passage de 1ère à 2ème ligne </t>
  </si>
  <si>
    <t>Bilan des passages en 2ème ligne par période</t>
  </si>
  <si>
    <t>N'inclus pas les patients sur ces schémas au début des périodes</t>
  </si>
  <si>
    <t>Patient already in 2nd line at the beginning of the quantified period are not include here</t>
  </si>
  <si>
    <t>Version Française/Anglaise 5.11 mise à jour par Solthis en février 2015</t>
  </si>
  <si>
    <t>French/English Version 5.11 updated by Solthis in February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</si>
</sst>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4" formatCode="_-* #,##0.00\ &quot;€&quot;_-;\-* #,##0.00\ &quot;€&quot;_-;_-* &quot;-&quot;??\ &quot;€&quot;_-;_-@_-"/>
    <numFmt numFmtId="164" formatCode="#,##0.00\ &quot;€&quot;"/>
    <numFmt numFmtId="165" formatCode="_-* #,##0.00\ &quot;F&quot;_-;\-* #,##0.00\ &quot;F&quot;_-;_-* &quot;-&quot;??\ &quot;F&quot;_-;_-@_-"/>
    <numFmt numFmtId="166" formatCode="0.0"/>
    <numFmt numFmtId="167" formatCode="0.000"/>
    <numFmt numFmtId="168" formatCode="0.0%"/>
    <numFmt numFmtId="169" formatCode="_-[$$-409]* #,##0.00_ ;_-[$$-409]* \-#,##0.00\ ;_-[$$-409]* &quot;-&quot;??_ ;_-@_ "/>
    <numFmt numFmtId="170" formatCode="#,##0.0"/>
    <numFmt numFmtId="171" formatCode="#,##0_ ;\-#,##0\ "/>
  </numFmts>
  <fonts count="76" x14ac:knownFonts="1">
    <font>
      <sz val="10"/>
      <name val="Times New Roman"/>
    </font>
    <font>
      <sz val="10"/>
      <name val="Times New Roman"/>
      <family val="1"/>
    </font>
    <font>
      <sz val="8"/>
      <name val="Times New Roman"/>
      <family val="1"/>
    </font>
    <font>
      <sz val="10"/>
      <name val="Times New Roman"/>
      <family val="1"/>
    </font>
    <font>
      <b/>
      <sz val="12"/>
      <name val="Century Gothic"/>
      <family val="2"/>
    </font>
    <font>
      <sz val="9"/>
      <color indexed="81"/>
      <name val="Tahoma"/>
      <family val="2"/>
    </font>
    <font>
      <b/>
      <sz val="9"/>
      <color indexed="81"/>
      <name val="Tahoma"/>
      <family val="2"/>
    </font>
    <font>
      <sz val="10"/>
      <name val="Arial"/>
      <family val="2"/>
    </font>
    <font>
      <sz val="8"/>
      <name val="Arial"/>
      <family val="2"/>
    </font>
    <font>
      <sz val="8"/>
      <color indexed="81"/>
      <name val="Tahoma"/>
      <family val="2"/>
    </font>
    <font>
      <b/>
      <sz val="8"/>
      <color indexed="81"/>
      <name val="Tahoma"/>
      <family val="2"/>
    </font>
    <font>
      <b/>
      <sz val="10"/>
      <name val="Century Gothic"/>
      <family val="2"/>
    </font>
    <font>
      <sz val="8"/>
      <name val="Times New Roman"/>
      <family val="1"/>
    </font>
    <font>
      <b/>
      <sz val="18"/>
      <color indexed="9"/>
      <name val="Century Gothic"/>
      <family val="2"/>
    </font>
    <font>
      <b/>
      <sz val="10"/>
      <name val="Calibri"/>
      <family val="2"/>
    </font>
    <font>
      <sz val="10"/>
      <name val="Calibri"/>
      <family val="2"/>
    </font>
    <font>
      <i/>
      <sz val="10"/>
      <name val="Calibri"/>
      <family val="2"/>
    </font>
    <font>
      <b/>
      <i/>
      <sz val="10"/>
      <name val="Calibri"/>
      <family val="2"/>
    </font>
    <font>
      <sz val="10"/>
      <name val="Century Gothic"/>
      <family val="2"/>
    </font>
    <font>
      <sz val="12"/>
      <name val="Century Gothic"/>
      <family val="2"/>
    </font>
    <font>
      <b/>
      <sz val="10"/>
      <name val="Calibri"/>
      <family val="2"/>
      <scheme val="minor"/>
    </font>
    <font>
      <sz val="10"/>
      <name val="Calibri"/>
      <family val="2"/>
      <scheme val="minor"/>
    </font>
    <font>
      <i/>
      <sz val="10"/>
      <name val="Calibri"/>
      <family val="2"/>
      <scheme val="minor"/>
    </font>
    <font>
      <sz val="10"/>
      <color theme="0"/>
      <name val="Calibri"/>
      <family val="2"/>
      <scheme val="minor"/>
    </font>
    <font>
      <b/>
      <i/>
      <sz val="10"/>
      <name val="Calibri"/>
      <family val="2"/>
      <scheme val="minor"/>
    </font>
    <font>
      <b/>
      <sz val="12"/>
      <name val="Calibri"/>
      <family val="2"/>
      <scheme val="minor"/>
    </font>
    <font>
      <b/>
      <sz val="11"/>
      <color indexed="9"/>
      <name val="Calibri"/>
      <family val="2"/>
      <scheme val="minor"/>
    </font>
    <font>
      <b/>
      <sz val="10"/>
      <color indexed="10"/>
      <name val="Calibri"/>
      <family val="2"/>
      <scheme val="minor"/>
    </font>
    <font>
      <sz val="11"/>
      <name val="Calibri"/>
      <family val="2"/>
      <scheme val="minor"/>
    </font>
    <font>
      <b/>
      <sz val="10"/>
      <color indexed="9"/>
      <name val="Calibri"/>
      <family val="2"/>
      <scheme val="minor"/>
    </font>
    <font>
      <b/>
      <sz val="10"/>
      <color theme="0"/>
      <name val="Calibri"/>
      <family val="2"/>
      <scheme val="minor"/>
    </font>
    <font>
      <b/>
      <sz val="10"/>
      <color rgb="FFFF0000"/>
      <name val="Calibri"/>
      <family val="2"/>
      <scheme val="minor"/>
    </font>
    <font>
      <b/>
      <sz val="12"/>
      <color rgb="FF993366"/>
      <name val="Calibri"/>
      <family val="2"/>
      <scheme val="minor"/>
    </font>
    <font>
      <sz val="10"/>
      <color rgb="FF993366"/>
      <name val="Calibri"/>
      <family val="2"/>
      <scheme val="minor"/>
    </font>
    <font>
      <b/>
      <sz val="11"/>
      <color rgb="FFFFFFFF"/>
      <name val="Century Gothic"/>
      <family val="2"/>
    </font>
    <font>
      <b/>
      <sz val="10"/>
      <color rgb="FFFF0000"/>
      <name val="Calibri"/>
      <family val="2"/>
    </font>
    <font>
      <b/>
      <i/>
      <sz val="10"/>
      <color rgb="FFFF0000"/>
      <name val="Calibri"/>
      <family val="2"/>
    </font>
    <font>
      <b/>
      <i/>
      <sz val="10"/>
      <color rgb="FFFF0000"/>
      <name val="Calibri"/>
      <family val="2"/>
      <scheme val="minor"/>
    </font>
    <font>
      <sz val="12"/>
      <name val="Calibri"/>
      <family val="2"/>
      <scheme val="minor"/>
    </font>
    <font>
      <b/>
      <sz val="10"/>
      <color theme="0" tint="-0.249977111117893"/>
      <name val="Calibri"/>
      <family val="2"/>
      <scheme val="minor"/>
    </font>
    <font>
      <i/>
      <sz val="10"/>
      <color theme="1" tint="0.34998626667073579"/>
      <name val="Calibri"/>
      <family val="2"/>
      <scheme val="minor"/>
    </font>
    <font>
      <b/>
      <sz val="11"/>
      <color indexed="9"/>
      <name val="Century Gothic"/>
      <family val="2"/>
    </font>
    <font>
      <i/>
      <sz val="10"/>
      <color rgb="FFFF0000"/>
      <name val="Calibri"/>
      <family val="2"/>
      <scheme val="minor"/>
    </font>
    <font>
      <b/>
      <sz val="10"/>
      <name val="Times New Roman"/>
      <family val="1"/>
    </font>
    <font>
      <b/>
      <sz val="10"/>
      <color rgb="FFFF0000"/>
      <name val="Arial"/>
      <family val="2"/>
    </font>
    <font>
      <b/>
      <sz val="11"/>
      <name val="Calibri"/>
      <family val="2"/>
      <scheme val="minor"/>
    </font>
    <font>
      <b/>
      <sz val="11"/>
      <color rgb="FFFF0000"/>
      <name val="Calibri"/>
      <family val="2"/>
      <scheme val="minor"/>
    </font>
    <font>
      <sz val="9"/>
      <name val="Calibri"/>
      <family val="2"/>
      <scheme val="minor"/>
    </font>
    <font>
      <u/>
      <sz val="10"/>
      <color theme="10"/>
      <name val="Times New Roman"/>
      <family val="1"/>
    </font>
    <font>
      <u/>
      <sz val="10"/>
      <color theme="10"/>
      <name val="Calibri"/>
      <family val="2"/>
      <scheme val="minor"/>
    </font>
    <font>
      <b/>
      <sz val="12"/>
      <color rgb="FFFF0000"/>
      <name val="Calibri"/>
      <family val="2"/>
      <scheme val="minor"/>
    </font>
    <font>
      <b/>
      <sz val="12"/>
      <name val="Calibri"/>
      <family val="2"/>
    </font>
    <font>
      <b/>
      <sz val="12"/>
      <color indexed="9"/>
      <name val="Calibri"/>
      <family val="2"/>
      <scheme val="minor"/>
    </font>
    <font>
      <sz val="10"/>
      <color rgb="FFFF0000"/>
      <name val="Calibri"/>
      <family val="2"/>
      <scheme val="minor"/>
    </font>
    <font>
      <i/>
      <sz val="10"/>
      <color rgb="FFFF0000"/>
      <name val="Calibri"/>
      <family val="2"/>
    </font>
    <font>
      <sz val="10"/>
      <color rgb="FFFF0000"/>
      <name val="Times New Roman"/>
      <family val="1"/>
    </font>
    <font>
      <sz val="10"/>
      <name val="Arial"/>
      <family val="2"/>
    </font>
    <font>
      <b/>
      <sz val="11"/>
      <color theme="1"/>
      <name val="Calibri"/>
      <family val="2"/>
      <scheme val="minor"/>
    </font>
    <font>
      <b/>
      <i/>
      <sz val="11"/>
      <color theme="1"/>
      <name val="Calibri"/>
      <family val="2"/>
      <scheme val="minor"/>
    </font>
    <font>
      <b/>
      <sz val="10"/>
      <color theme="0"/>
      <name val="Calibri"/>
      <family val="2"/>
    </font>
    <font>
      <b/>
      <sz val="12"/>
      <color indexed="25"/>
      <name val="Century Gothic"/>
      <family val="2"/>
    </font>
    <font>
      <b/>
      <sz val="11"/>
      <color indexed="9"/>
      <name val="Times New Roman"/>
      <family val="1"/>
    </font>
    <font>
      <b/>
      <sz val="11"/>
      <name val="Calibri"/>
      <family val="2"/>
    </font>
    <font>
      <b/>
      <sz val="11"/>
      <color theme="1"/>
      <name val="Calibri"/>
      <family val="2"/>
    </font>
    <font>
      <sz val="11"/>
      <name val="Calibri"/>
      <family val="2"/>
    </font>
    <font>
      <b/>
      <sz val="11"/>
      <color rgb="FFFFFFFF"/>
      <name val="Calibri"/>
      <family val="2"/>
    </font>
    <font>
      <u/>
      <sz val="11"/>
      <name val="Calibri"/>
      <family val="2"/>
    </font>
    <font>
      <b/>
      <sz val="11"/>
      <color rgb="FF993366"/>
      <name val="Calibri"/>
      <family val="2"/>
    </font>
    <font>
      <sz val="11"/>
      <color rgb="FF993366"/>
      <name val="Calibri"/>
      <family val="2"/>
    </font>
    <font>
      <b/>
      <sz val="11"/>
      <color rgb="FFFF0000"/>
      <name val="Calibri"/>
      <family val="2"/>
    </font>
    <font>
      <sz val="11"/>
      <color rgb="FFFF0000"/>
      <name val="Calibri"/>
      <family val="2"/>
    </font>
    <font>
      <sz val="11"/>
      <color rgb="FFC00000"/>
      <name val="Calibri"/>
      <family val="2"/>
    </font>
    <font>
      <sz val="11"/>
      <color theme="1"/>
      <name val="Calibri"/>
      <family val="2"/>
    </font>
    <font>
      <b/>
      <sz val="11"/>
      <color indexed="9"/>
      <name val="Calibri"/>
      <family val="2"/>
    </font>
    <font>
      <b/>
      <sz val="11"/>
      <color rgb="FFC00000"/>
      <name val="Calibri"/>
      <family val="2"/>
    </font>
    <font>
      <sz val="10"/>
      <color theme="1"/>
      <name val="Calibri"/>
      <family val="2"/>
      <scheme val="minor"/>
    </font>
  </fonts>
  <fills count="38">
    <fill>
      <patternFill patternType="none"/>
    </fill>
    <fill>
      <patternFill patternType="gray125"/>
    </fill>
    <fill>
      <patternFill patternType="solid">
        <fgColor indexed="22"/>
        <bgColor indexed="64"/>
      </patternFill>
    </fill>
    <fill>
      <patternFill patternType="solid">
        <fgColor indexed="55"/>
        <bgColor indexed="64"/>
      </patternFill>
    </fill>
    <fill>
      <patternFill patternType="solid">
        <fgColor indexed="50"/>
        <bgColor indexed="64"/>
      </patternFill>
    </fill>
    <fill>
      <patternFill patternType="solid">
        <fgColor indexed="23"/>
        <bgColor indexed="64"/>
      </patternFill>
    </fill>
    <fill>
      <patternFill patternType="solid">
        <fgColor indexed="53"/>
        <bgColor indexed="64"/>
      </patternFill>
    </fill>
    <fill>
      <patternFill patternType="solid">
        <fgColor indexed="61"/>
        <bgColor indexed="64"/>
      </patternFill>
    </fill>
    <fill>
      <patternFill patternType="solid">
        <fgColor theme="9"/>
        <bgColor indexed="64"/>
      </patternFill>
    </fill>
    <fill>
      <patternFill patternType="solid">
        <fgColor theme="6"/>
        <bgColor indexed="64"/>
      </patternFill>
    </fill>
    <fill>
      <patternFill patternType="solid">
        <fgColor theme="2" tint="-0.499984740745262"/>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99CC00"/>
        <bgColor indexed="64"/>
      </patternFill>
    </fill>
    <fill>
      <patternFill patternType="solid">
        <fgColor theme="0" tint="-0.249977111117893"/>
        <bgColor indexed="64"/>
      </patternFill>
    </fill>
    <fill>
      <patternFill patternType="solid">
        <fgColor theme="1" tint="0.499984740745262"/>
        <bgColor indexed="64"/>
      </patternFill>
    </fill>
    <fill>
      <patternFill patternType="solid">
        <fgColor rgb="FFFFFF00"/>
        <bgColor indexed="64"/>
      </patternFill>
    </fill>
    <fill>
      <patternFill patternType="solid">
        <fgColor rgb="FFC0C0C0"/>
        <bgColor rgb="FF000000"/>
      </patternFill>
    </fill>
    <fill>
      <patternFill patternType="solid">
        <fgColor rgb="FF808080"/>
        <bgColor rgb="FF000000"/>
      </patternFill>
    </fill>
    <fill>
      <patternFill patternType="solid">
        <fgColor rgb="FF9BBB59"/>
        <bgColor rgb="FF000000"/>
      </patternFill>
    </fill>
    <fill>
      <patternFill patternType="solid">
        <fgColor rgb="FFBFBFBF"/>
        <bgColor rgb="FF000000"/>
      </patternFill>
    </fill>
    <fill>
      <patternFill patternType="solid">
        <fgColor rgb="FFFF0000"/>
        <bgColor indexed="64"/>
      </patternFill>
    </fill>
    <fill>
      <patternFill patternType="solid">
        <fgColor theme="1" tint="4.9989318521683403E-2"/>
        <bgColor indexed="64"/>
      </patternFill>
    </fill>
    <fill>
      <patternFill patternType="solid">
        <fgColor rgb="FFFF9900"/>
        <bgColor indexed="64"/>
      </patternFill>
    </fill>
    <fill>
      <patternFill patternType="solid">
        <fgColor theme="1"/>
        <bgColor indexed="64"/>
      </patternFill>
    </fill>
    <fill>
      <patternFill patternType="solid">
        <fgColor rgb="FFFFC000"/>
        <bgColor indexed="64"/>
      </patternFill>
    </fill>
    <fill>
      <patternFill patternType="solid">
        <fgColor rgb="FFCC3399"/>
        <bgColor indexed="64"/>
      </patternFill>
    </fill>
    <fill>
      <patternFill patternType="solid">
        <fgColor rgb="FF993366"/>
        <bgColor indexed="64"/>
      </patternFill>
    </fill>
    <fill>
      <patternFill patternType="solid">
        <fgColor theme="0"/>
        <bgColor indexed="64"/>
      </patternFill>
    </fill>
    <fill>
      <patternFill patternType="solid">
        <fgColor theme="5" tint="-0.249977111117893"/>
        <bgColor indexed="64"/>
      </patternFill>
    </fill>
    <fill>
      <patternFill patternType="solid">
        <fgColor theme="6" tint="-0.249977111117893"/>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6" tint="-0.499984740745262"/>
        <bgColor indexed="64"/>
      </patternFill>
    </fill>
    <fill>
      <patternFill patternType="solid">
        <fgColor theme="2" tint="-9.9978637043366805E-2"/>
        <bgColor indexed="64"/>
      </patternFill>
    </fill>
    <fill>
      <patternFill patternType="solid">
        <fgColor rgb="FF92D050"/>
        <bgColor indexed="64"/>
      </patternFill>
    </fill>
    <fill>
      <patternFill patternType="solid">
        <fgColor theme="8" tint="0.39997558519241921"/>
        <bgColor indexed="64"/>
      </patternFill>
    </fill>
    <fill>
      <patternFill patternType="solid">
        <fgColor rgb="FF00B0F0"/>
        <bgColor indexed="64"/>
      </patternFill>
    </fill>
  </fills>
  <borders count="242">
    <border>
      <left/>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medium">
        <color auto="1"/>
      </left>
      <right style="thin">
        <color auto="1"/>
      </right>
      <top style="hair">
        <color auto="1"/>
      </top>
      <bottom style="hair">
        <color auto="1"/>
      </bottom>
      <diagonal/>
    </border>
    <border>
      <left style="thin">
        <color auto="1"/>
      </left>
      <right style="thin">
        <color auto="1"/>
      </right>
      <top style="hair">
        <color auto="1"/>
      </top>
      <bottom style="hair">
        <color auto="1"/>
      </bottom>
      <diagonal/>
    </border>
    <border>
      <left style="medium">
        <color auto="1"/>
      </left>
      <right style="thin">
        <color auto="1"/>
      </right>
      <top style="hair">
        <color auto="1"/>
      </top>
      <bottom style="medium">
        <color auto="1"/>
      </bottom>
      <diagonal/>
    </border>
    <border>
      <left style="thin">
        <color auto="1"/>
      </left>
      <right style="thin">
        <color auto="1"/>
      </right>
      <top style="hair">
        <color auto="1"/>
      </top>
      <bottom style="medium">
        <color auto="1"/>
      </bottom>
      <diagonal/>
    </border>
    <border>
      <left style="thin">
        <color auto="1"/>
      </left>
      <right style="medium">
        <color auto="1"/>
      </right>
      <top style="hair">
        <color auto="1"/>
      </top>
      <bottom style="medium">
        <color auto="1"/>
      </bottom>
      <diagonal/>
    </border>
    <border>
      <left/>
      <right/>
      <top/>
      <bottom style="hair">
        <color auto="1"/>
      </bottom>
      <diagonal/>
    </border>
    <border>
      <left/>
      <right/>
      <top style="medium">
        <color auto="1"/>
      </top>
      <bottom style="hair">
        <color auto="1"/>
      </bottom>
      <diagonal/>
    </border>
    <border>
      <left/>
      <right/>
      <top style="hair">
        <color auto="1"/>
      </top>
      <bottom style="hair">
        <color auto="1"/>
      </bottom>
      <diagonal/>
    </border>
    <border>
      <left/>
      <right/>
      <top/>
      <bottom style="double">
        <color auto="1"/>
      </bottom>
      <diagonal/>
    </border>
    <border>
      <left/>
      <right/>
      <top style="double">
        <color auto="1"/>
      </top>
      <bottom/>
      <diagonal/>
    </border>
    <border>
      <left/>
      <right/>
      <top style="hair">
        <color auto="1"/>
      </top>
      <bottom style="double">
        <color auto="1"/>
      </bottom>
      <diagonal/>
    </border>
    <border>
      <left/>
      <right/>
      <top/>
      <bottom style="medium">
        <color auto="1"/>
      </bottom>
      <diagonal/>
    </border>
    <border>
      <left/>
      <right/>
      <top style="medium">
        <color auto="1"/>
      </top>
      <bottom style="thin">
        <color auto="1"/>
      </bottom>
      <diagonal/>
    </border>
    <border>
      <left/>
      <right/>
      <top/>
      <bottom style="thin">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medium">
        <color auto="1"/>
      </right>
      <top/>
      <bottom/>
      <diagonal/>
    </border>
    <border>
      <left style="medium">
        <color auto="1"/>
      </left>
      <right style="medium">
        <color auto="1"/>
      </right>
      <top/>
      <bottom style="dotted">
        <color auto="1"/>
      </bottom>
      <diagonal/>
    </border>
    <border>
      <left/>
      <right style="medium">
        <color auto="1"/>
      </right>
      <top/>
      <bottom style="dotted">
        <color auto="1"/>
      </bottom>
      <diagonal/>
    </border>
    <border>
      <left style="thin">
        <color auto="1"/>
      </left>
      <right style="thin">
        <color auto="1"/>
      </right>
      <top style="thin">
        <color auto="1"/>
      </top>
      <bottom style="medium">
        <color auto="1"/>
      </bottom>
      <diagonal/>
    </border>
    <border>
      <left style="medium">
        <color auto="1"/>
      </left>
      <right style="thin">
        <color auto="1"/>
      </right>
      <top/>
      <bottom style="hair">
        <color auto="1"/>
      </bottom>
      <diagonal/>
    </border>
    <border>
      <left style="thin">
        <color auto="1"/>
      </left>
      <right style="thin">
        <color auto="1"/>
      </right>
      <top/>
      <bottom style="hair">
        <color auto="1"/>
      </bottom>
      <diagonal/>
    </border>
    <border>
      <left style="thin">
        <color auto="1"/>
      </left>
      <right style="medium">
        <color auto="1"/>
      </right>
      <top/>
      <bottom style="hair">
        <color auto="1"/>
      </bottom>
      <diagonal/>
    </border>
    <border>
      <left/>
      <right style="medium">
        <color auto="1"/>
      </right>
      <top style="medium">
        <color auto="1"/>
      </top>
      <bottom/>
      <diagonal/>
    </border>
    <border>
      <left/>
      <right style="medium">
        <color auto="1"/>
      </right>
      <top style="medium">
        <color auto="1"/>
      </top>
      <bottom style="hair">
        <color auto="1"/>
      </bottom>
      <diagonal/>
    </border>
    <border>
      <left/>
      <right style="medium">
        <color auto="1"/>
      </right>
      <top/>
      <bottom style="hair">
        <color auto="1"/>
      </bottom>
      <diagonal/>
    </border>
    <border>
      <left/>
      <right style="medium">
        <color auto="1"/>
      </right>
      <top style="hair">
        <color auto="1"/>
      </top>
      <bottom style="hair">
        <color auto="1"/>
      </bottom>
      <diagonal/>
    </border>
    <border>
      <left/>
      <right style="medium">
        <color auto="1"/>
      </right>
      <top style="hair">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top style="medium">
        <color auto="1"/>
      </top>
      <bottom style="medium">
        <color auto="1"/>
      </bottom>
      <diagonal/>
    </border>
    <border>
      <left/>
      <right style="thin">
        <color auto="1"/>
      </right>
      <top style="medium">
        <color auto="1"/>
      </top>
      <bottom/>
      <diagonal/>
    </border>
    <border>
      <left style="thin">
        <color auto="1"/>
      </left>
      <right/>
      <top style="medium">
        <color auto="1"/>
      </top>
      <bottom style="medium">
        <color auto="1"/>
      </bottom>
      <diagonal/>
    </border>
    <border>
      <left style="medium">
        <color auto="1"/>
      </left>
      <right/>
      <top/>
      <bottom/>
      <diagonal/>
    </border>
    <border>
      <left/>
      <right style="thin">
        <color auto="1"/>
      </right>
      <top style="medium">
        <color auto="1"/>
      </top>
      <bottom style="hair">
        <color auto="1"/>
      </bottom>
      <diagonal/>
    </border>
    <border>
      <left/>
      <right style="thin">
        <color auto="1"/>
      </right>
      <top style="hair">
        <color auto="1"/>
      </top>
      <bottom style="hair">
        <color auto="1"/>
      </bottom>
      <diagonal/>
    </border>
    <border>
      <left style="thin">
        <color auto="1"/>
      </left>
      <right style="medium">
        <color auto="1"/>
      </right>
      <top style="hair">
        <color auto="1"/>
      </top>
      <bottom style="hair">
        <color auto="1"/>
      </bottom>
      <diagonal/>
    </border>
    <border>
      <left/>
      <right style="thin">
        <color auto="1"/>
      </right>
      <top style="hair">
        <color auto="1"/>
      </top>
      <bottom style="medium">
        <color auto="1"/>
      </bottom>
      <diagonal/>
    </border>
    <border>
      <left/>
      <right style="thin">
        <color auto="1"/>
      </right>
      <top/>
      <bottom style="hair">
        <color auto="1"/>
      </bottom>
      <diagonal/>
    </border>
    <border>
      <left/>
      <right style="medium">
        <color auto="1"/>
      </right>
      <top/>
      <bottom/>
      <diagonal/>
    </border>
    <border>
      <left style="medium">
        <color auto="1"/>
      </left>
      <right style="medium">
        <color auto="1"/>
      </right>
      <top style="medium">
        <color auto="1"/>
      </top>
      <bottom/>
      <diagonal/>
    </border>
    <border>
      <left style="medium">
        <color auto="1"/>
      </left>
      <right style="thin">
        <color auto="1"/>
      </right>
      <top style="hair">
        <color auto="1"/>
      </top>
      <bottom/>
      <diagonal/>
    </border>
    <border>
      <left style="medium">
        <color auto="1"/>
      </left>
      <right style="medium">
        <color auto="1"/>
      </right>
      <top style="hair">
        <color auto="1"/>
      </top>
      <bottom style="hair">
        <color auto="1"/>
      </bottom>
      <diagonal/>
    </border>
    <border>
      <left style="medium">
        <color auto="1"/>
      </left>
      <right style="medium">
        <color auto="1"/>
      </right>
      <top/>
      <bottom style="hair">
        <color auto="1"/>
      </bottom>
      <diagonal/>
    </border>
    <border>
      <left style="medium">
        <color auto="1"/>
      </left>
      <right style="thin">
        <color auto="1"/>
      </right>
      <top style="hair">
        <color auto="1"/>
      </top>
      <bottom style="thin">
        <color auto="1"/>
      </bottom>
      <diagonal/>
    </border>
    <border>
      <left style="thin">
        <color auto="1"/>
      </left>
      <right style="thin">
        <color auto="1"/>
      </right>
      <top style="hair">
        <color auto="1"/>
      </top>
      <bottom style="thin">
        <color auto="1"/>
      </bottom>
      <diagonal/>
    </border>
    <border>
      <left/>
      <right style="thin">
        <color auto="1"/>
      </right>
      <top style="hair">
        <color auto="1"/>
      </top>
      <bottom style="thin">
        <color auto="1"/>
      </bottom>
      <diagonal/>
    </border>
    <border>
      <left style="thin">
        <color auto="1"/>
      </left>
      <right style="medium">
        <color auto="1"/>
      </right>
      <top style="hair">
        <color auto="1"/>
      </top>
      <bottom style="thin">
        <color auto="1"/>
      </bottom>
      <diagonal/>
    </border>
    <border>
      <left style="thin">
        <color auto="1"/>
      </left>
      <right style="thin">
        <color auto="1"/>
      </right>
      <top style="hair">
        <color auto="1"/>
      </top>
      <bottom/>
      <diagonal/>
    </border>
    <border>
      <left/>
      <right style="thin">
        <color auto="1"/>
      </right>
      <top style="hair">
        <color auto="1"/>
      </top>
      <bottom/>
      <diagonal/>
    </border>
    <border>
      <left style="thin">
        <color auto="1"/>
      </left>
      <right style="medium">
        <color auto="1"/>
      </right>
      <top style="hair">
        <color auto="1"/>
      </top>
      <bottom/>
      <diagonal/>
    </border>
    <border>
      <left/>
      <right/>
      <top style="thin">
        <color auto="1"/>
      </top>
      <bottom style="thin">
        <color auto="1"/>
      </bottom>
      <diagonal/>
    </border>
    <border>
      <left style="medium">
        <color auto="1"/>
      </left>
      <right/>
      <top/>
      <bottom style="medium">
        <color auto="1"/>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medium">
        <color auto="1"/>
      </right>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top style="medium">
        <color auto="1"/>
      </top>
      <bottom/>
      <diagonal/>
    </border>
    <border>
      <left style="thin">
        <color auto="1"/>
      </left>
      <right/>
      <top style="medium">
        <color auto="1"/>
      </top>
      <bottom style="hair">
        <color auto="1"/>
      </bottom>
      <diagonal/>
    </border>
    <border>
      <left style="thin">
        <color auto="1"/>
      </left>
      <right/>
      <top/>
      <bottom style="hair">
        <color auto="1"/>
      </bottom>
      <diagonal/>
    </border>
    <border>
      <left style="thin">
        <color auto="1"/>
      </left>
      <right/>
      <top style="hair">
        <color auto="1"/>
      </top>
      <bottom style="hair">
        <color auto="1"/>
      </bottom>
      <diagonal/>
    </border>
    <border>
      <left style="thin">
        <color auto="1"/>
      </left>
      <right/>
      <top style="hair">
        <color auto="1"/>
      </top>
      <bottom style="medium">
        <color auto="1"/>
      </bottom>
      <diagonal/>
    </border>
    <border>
      <left/>
      <right/>
      <top style="thin">
        <color auto="1"/>
      </top>
      <bottom/>
      <diagonal/>
    </border>
    <border>
      <left/>
      <right style="thin">
        <color auto="1"/>
      </right>
      <top style="hair">
        <color auto="1"/>
      </top>
      <bottom style="double">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medium">
        <color auto="1"/>
      </right>
      <top style="hair">
        <color auto="1"/>
      </top>
      <bottom style="medium">
        <color auto="1"/>
      </bottom>
      <diagonal/>
    </border>
    <border>
      <left style="medium">
        <color auto="1"/>
      </left>
      <right/>
      <top style="medium">
        <color auto="1"/>
      </top>
      <bottom style="hair">
        <color auto="1"/>
      </bottom>
      <diagonal/>
    </border>
    <border>
      <left style="medium">
        <color auto="1"/>
      </left>
      <right/>
      <top style="hair">
        <color auto="1"/>
      </top>
      <bottom style="hair">
        <color auto="1"/>
      </bottom>
      <diagonal/>
    </border>
    <border>
      <left style="medium">
        <color auto="1"/>
      </left>
      <right/>
      <top style="medium">
        <color auto="1"/>
      </top>
      <bottom/>
      <diagonal/>
    </border>
    <border>
      <left style="medium">
        <color auto="1"/>
      </left>
      <right/>
      <top/>
      <bottom style="hair">
        <color auto="1"/>
      </bottom>
      <diagonal/>
    </border>
    <border>
      <left style="medium">
        <color auto="1"/>
      </left>
      <right/>
      <top style="hair">
        <color auto="1"/>
      </top>
      <bottom style="medium">
        <color auto="1"/>
      </bottom>
      <diagonal/>
    </border>
    <border>
      <left style="medium">
        <color auto="1"/>
      </left>
      <right style="medium">
        <color auto="1"/>
      </right>
      <top style="medium">
        <color auto="1"/>
      </top>
      <bottom style="hair">
        <color auto="1"/>
      </bottom>
      <diagonal/>
    </border>
    <border>
      <left/>
      <right style="thin">
        <color auto="1"/>
      </right>
      <top/>
      <bottom style="medium">
        <color auto="1"/>
      </bottom>
      <diagonal/>
    </border>
    <border>
      <left/>
      <right/>
      <top style="thin">
        <color auto="1"/>
      </top>
      <bottom style="hair">
        <color auto="1"/>
      </bottom>
      <diagonal/>
    </border>
    <border>
      <left/>
      <right/>
      <top style="hair">
        <color auto="1"/>
      </top>
      <bottom style="thin">
        <color auto="1"/>
      </bottom>
      <diagonal/>
    </border>
    <border>
      <left style="medium">
        <color indexed="10"/>
      </left>
      <right style="medium">
        <color indexed="10"/>
      </right>
      <top style="medium">
        <color indexed="10"/>
      </top>
      <bottom style="medium">
        <color indexed="10"/>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right style="medium">
        <color auto="1"/>
      </right>
      <top style="thin">
        <color auto="1"/>
      </top>
      <bottom style="hair">
        <color auto="1"/>
      </bottom>
      <diagonal/>
    </border>
    <border>
      <left style="medium">
        <color auto="1"/>
      </left>
      <right/>
      <top style="thin">
        <color auto="1"/>
      </top>
      <bottom style="hair">
        <color auto="1"/>
      </bottom>
      <diagonal/>
    </border>
    <border>
      <left style="medium">
        <color auto="1"/>
      </left>
      <right/>
      <top style="double">
        <color auto="1"/>
      </top>
      <bottom style="medium">
        <color auto="1"/>
      </bottom>
      <diagonal/>
    </border>
    <border>
      <left/>
      <right style="medium">
        <color auto="1"/>
      </right>
      <top style="double">
        <color auto="1"/>
      </top>
      <bottom style="medium">
        <color auto="1"/>
      </bottom>
      <diagonal/>
    </border>
    <border>
      <left style="thin">
        <color auto="1"/>
      </left>
      <right/>
      <top/>
      <bottom style="medium">
        <color auto="1"/>
      </bottom>
      <diagonal/>
    </border>
    <border>
      <left/>
      <right/>
      <top style="hair">
        <color auto="1"/>
      </top>
      <bottom/>
      <diagonal/>
    </border>
    <border>
      <left style="medium">
        <color auto="1"/>
      </left>
      <right/>
      <top style="hair">
        <color auto="1"/>
      </top>
      <bottom/>
      <diagonal/>
    </border>
    <border>
      <left/>
      <right style="medium">
        <color auto="1"/>
      </right>
      <top style="hair">
        <color auto="1"/>
      </top>
      <bottom/>
      <diagonal/>
    </border>
    <border>
      <left style="medium">
        <color auto="1"/>
      </left>
      <right/>
      <top style="hair">
        <color auto="1"/>
      </top>
      <bottom style="thin">
        <color auto="1"/>
      </bottom>
      <diagonal/>
    </border>
    <border>
      <left/>
      <right style="medium">
        <color auto="1"/>
      </right>
      <top style="hair">
        <color auto="1"/>
      </top>
      <bottom style="thin">
        <color auto="1"/>
      </bottom>
      <diagonal/>
    </border>
    <border>
      <left style="medium">
        <color auto="1"/>
      </left>
      <right style="medium">
        <color auto="1"/>
      </right>
      <top style="thin">
        <color auto="1"/>
      </top>
      <bottom style="hair">
        <color auto="1"/>
      </bottom>
      <diagonal/>
    </border>
    <border>
      <left style="medium">
        <color auto="1"/>
      </left>
      <right style="medium">
        <color auto="1"/>
      </right>
      <top style="hair">
        <color auto="1"/>
      </top>
      <bottom/>
      <diagonal/>
    </border>
    <border>
      <left style="medium">
        <color auto="1"/>
      </left>
      <right style="medium">
        <color auto="1"/>
      </right>
      <top style="hair">
        <color auto="1"/>
      </top>
      <bottom style="thin">
        <color auto="1"/>
      </bottom>
      <diagonal/>
    </border>
    <border>
      <left style="medium">
        <color rgb="FFFF0000"/>
      </left>
      <right style="medium">
        <color rgb="FFFF0000"/>
      </right>
      <top style="medium">
        <color rgb="FFFF0000"/>
      </top>
      <bottom style="medium">
        <color rgb="FFFF0000"/>
      </bottom>
      <diagonal/>
    </border>
    <border>
      <left style="medium">
        <color rgb="FFFF0000"/>
      </left>
      <right style="medium">
        <color rgb="FFFF0000"/>
      </right>
      <top/>
      <bottom style="medium">
        <color rgb="FFFF0000"/>
      </bottom>
      <diagonal/>
    </border>
    <border>
      <left style="medium">
        <color auto="1"/>
      </left>
      <right style="thin">
        <color auto="1"/>
      </right>
      <top/>
      <bottom/>
      <diagonal/>
    </border>
    <border>
      <left style="thin">
        <color auto="1"/>
      </left>
      <right style="thin">
        <color auto="1"/>
      </right>
      <top/>
      <bottom/>
      <diagonal/>
    </border>
    <border>
      <left style="medium">
        <color auto="1"/>
      </left>
      <right/>
      <top style="thin">
        <color auto="1"/>
      </top>
      <bottom/>
      <diagonal/>
    </border>
    <border>
      <left style="thin">
        <color auto="1"/>
      </left>
      <right style="thin">
        <color auto="1"/>
      </right>
      <top/>
      <bottom style="thin">
        <color auto="1"/>
      </bottom>
      <diagonal/>
    </border>
    <border>
      <left style="thin">
        <color auto="1"/>
      </left>
      <right/>
      <top style="hair">
        <color auto="1"/>
      </top>
      <bottom style="thin">
        <color auto="1"/>
      </bottom>
      <diagonal/>
    </border>
    <border>
      <left style="thin">
        <color auto="1"/>
      </left>
      <right/>
      <top style="hair">
        <color auto="1"/>
      </top>
      <bottom/>
      <diagonal/>
    </border>
    <border>
      <left/>
      <right/>
      <top style="double">
        <color auto="1"/>
      </top>
      <bottom style="medium">
        <color auto="1"/>
      </bottom>
      <diagonal/>
    </border>
    <border>
      <left/>
      <right/>
      <top style="hair">
        <color auto="1"/>
      </top>
      <bottom style="medium">
        <color auto="1"/>
      </bottom>
      <diagonal/>
    </border>
    <border>
      <left style="medium">
        <color rgb="FFFF0000"/>
      </left>
      <right/>
      <top style="medium">
        <color rgb="FFFF0000"/>
      </top>
      <bottom style="medium">
        <color rgb="FFFF0000"/>
      </bottom>
      <diagonal/>
    </border>
    <border>
      <left/>
      <right style="medium">
        <color rgb="FFFF0000"/>
      </right>
      <top style="medium">
        <color rgb="FFFF0000"/>
      </top>
      <bottom style="medium">
        <color rgb="FFFF0000"/>
      </bottom>
      <diagonal/>
    </border>
    <border>
      <left/>
      <right/>
      <top style="medium">
        <color rgb="FFFF0000"/>
      </top>
      <bottom style="medium">
        <color rgb="FFFF0000"/>
      </bottom>
      <diagonal/>
    </border>
    <border>
      <left style="medium">
        <color rgb="FFFF0000"/>
      </left>
      <right/>
      <top style="medium">
        <color rgb="FFFF0000"/>
      </top>
      <bottom/>
      <diagonal/>
    </border>
    <border>
      <left/>
      <right style="medium">
        <color rgb="FFFF0000"/>
      </right>
      <top style="medium">
        <color rgb="FFFF0000"/>
      </top>
      <bottom/>
      <diagonal/>
    </border>
    <border>
      <left style="medium">
        <color auto="1"/>
      </left>
      <right/>
      <top/>
      <bottom style="double">
        <color auto="1"/>
      </bottom>
      <diagonal/>
    </border>
    <border>
      <left/>
      <right style="medium">
        <color auto="1"/>
      </right>
      <top/>
      <bottom style="double">
        <color auto="1"/>
      </bottom>
      <diagonal/>
    </border>
    <border>
      <left/>
      <right style="medium">
        <color auto="1"/>
      </right>
      <top style="hair">
        <color auto="1"/>
      </top>
      <bottom style="double">
        <color auto="1"/>
      </bottom>
      <diagonal/>
    </border>
    <border>
      <left style="thin">
        <color auto="1"/>
      </left>
      <right style="thin">
        <color auto="1"/>
      </right>
      <top style="thin">
        <color auto="1"/>
      </top>
      <bottom style="hair">
        <color auto="1"/>
      </bottom>
      <diagonal/>
    </border>
    <border>
      <left style="thin">
        <color auto="1"/>
      </left>
      <right style="medium">
        <color auto="1"/>
      </right>
      <top style="thin">
        <color auto="1"/>
      </top>
      <bottom style="hair">
        <color auto="1"/>
      </bottom>
      <diagonal/>
    </border>
    <border>
      <left style="medium">
        <color auto="1"/>
      </left>
      <right style="thin">
        <color auto="1"/>
      </right>
      <top/>
      <bottom style="thin">
        <color auto="1"/>
      </bottom>
      <diagonal/>
    </border>
    <border>
      <left style="thin">
        <color auto="1"/>
      </left>
      <right/>
      <top/>
      <bottom/>
      <diagonal/>
    </border>
    <border>
      <left style="thin">
        <color auto="1"/>
      </left>
      <right/>
      <top style="thin">
        <color auto="1"/>
      </top>
      <bottom style="hair">
        <color auto="1"/>
      </bottom>
      <diagonal/>
    </border>
    <border>
      <left style="medium">
        <color auto="1"/>
      </left>
      <right style="thin">
        <color auto="1"/>
      </right>
      <top style="thin">
        <color auto="1"/>
      </top>
      <bottom style="hair">
        <color auto="1"/>
      </bottom>
      <diagonal/>
    </border>
    <border>
      <left/>
      <right style="medium">
        <color auto="1"/>
      </right>
      <top style="thin">
        <color auto="1"/>
      </top>
      <bottom/>
      <diagonal/>
    </border>
    <border>
      <left style="thin">
        <color auto="1"/>
      </left>
      <right/>
      <top style="medium">
        <color auto="1"/>
      </top>
      <bottom/>
      <diagonal/>
    </border>
    <border>
      <left style="medium">
        <color auto="1"/>
      </left>
      <right/>
      <top style="thin">
        <color auto="1"/>
      </top>
      <bottom style="thin">
        <color auto="1"/>
      </bottom>
      <diagonal/>
    </border>
    <border>
      <left/>
      <right style="thin">
        <color auto="1"/>
      </right>
      <top/>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right/>
      <top style="thin">
        <color auto="1"/>
      </top>
      <bottom style="medium">
        <color auto="1"/>
      </bottom>
      <diagonal/>
    </border>
    <border>
      <left style="medium">
        <color indexed="10"/>
      </left>
      <right style="medium">
        <color indexed="10"/>
      </right>
      <top style="medium">
        <color indexed="10"/>
      </top>
      <bottom/>
      <diagonal/>
    </border>
    <border>
      <left style="medium">
        <color indexed="10"/>
      </left>
      <right style="thin">
        <color auto="1"/>
      </right>
      <top style="hair">
        <color auto="1"/>
      </top>
      <bottom style="medium">
        <color auto="1"/>
      </bottom>
      <diagonal/>
    </border>
    <border>
      <left style="thin">
        <color auto="1"/>
      </left>
      <right style="medium">
        <color indexed="10"/>
      </right>
      <top style="medium">
        <color auto="1"/>
      </top>
      <bottom/>
      <diagonal/>
    </border>
    <border>
      <left style="medium">
        <color indexed="10"/>
      </left>
      <right style="medium">
        <color indexed="10"/>
      </right>
      <top style="medium">
        <color auto="1"/>
      </top>
      <bottom style="medium">
        <color indexed="10"/>
      </bottom>
      <diagonal/>
    </border>
    <border>
      <left style="medium">
        <color indexed="10"/>
      </left>
      <right style="thin">
        <color auto="1"/>
      </right>
      <top/>
      <bottom style="hair">
        <color auto="1"/>
      </bottom>
      <diagonal/>
    </border>
    <border>
      <left style="thin">
        <color auto="1"/>
      </left>
      <right style="medium">
        <color indexed="10"/>
      </right>
      <top/>
      <bottom style="medium">
        <color auto="1"/>
      </bottom>
      <diagonal/>
    </border>
    <border>
      <left style="medium">
        <color auto="1"/>
      </left>
      <right style="medium">
        <color indexed="10"/>
      </right>
      <top/>
      <bottom style="medium">
        <color auto="1"/>
      </bottom>
      <diagonal/>
    </border>
    <border>
      <left style="medium">
        <color indexed="10"/>
      </left>
      <right style="medium">
        <color indexed="10"/>
      </right>
      <top/>
      <bottom style="medium">
        <color auto="1"/>
      </bottom>
      <diagonal/>
    </border>
    <border>
      <left style="medium">
        <color auto="1"/>
      </left>
      <right style="medium">
        <color indexed="10"/>
      </right>
      <top style="medium">
        <color auto="1"/>
      </top>
      <bottom style="thin">
        <color auto="1"/>
      </bottom>
      <diagonal/>
    </border>
    <border>
      <left style="medium">
        <color indexed="10"/>
      </left>
      <right style="medium">
        <color indexed="10"/>
      </right>
      <top style="medium">
        <color auto="1"/>
      </top>
      <bottom style="thin">
        <color auto="1"/>
      </bottom>
      <diagonal/>
    </border>
    <border>
      <left style="medium">
        <color indexed="10"/>
      </left>
      <right/>
      <top/>
      <bottom style="medium">
        <color auto="1"/>
      </bottom>
      <diagonal/>
    </border>
    <border>
      <left style="medium">
        <color indexed="10"/>
      </left>
      <right/>
      <top style="medium">
        <color auto="1"/>
      </top>
      <bottom style="thin">
        <color auto="1"/>
      </bottom>
      <diagonal/>
    </border>
    <border>
      <left/>
      <right/>
      <top style="medium">
        <color rgb="FFFF0000"/>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double">
        <color auto="1"/>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style="double">
        <color auto="1"/>
      </right>
      <top/>
      <bottom style="double">
        <color auto="1"/>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diagonal/>
    </border>
    <border>
      <left/>
      <right style="thin">
        <color auto="1"/>
      </right>
      <top style="thin">
        <color auto="1"/>
      </top>
      <bottom style="thin">
        <color auto="1"/>
      </bottom>
      <diagonal/>
    </border>
    <border>
      <left/>
      <right style="thin">
        <color auto="1"/>
      </right>
      <top style="thin">
        <color auto="1"/>
      </top>
      <bottom style="hair">
        <color auto="1"/>
      </bottom>
      <diagonal/>
    </border>
    <border>
      <left style="medium">
        <color auto="1"/>
      </left>
      <right/>
      <top style="hair">
        <color auto="1"/>
      </top>
      <bottom style="double">
        <color auto="1"/>
      </bottom>
      <diagonal/>
    </border>
    <border>
      <left style="medium">
        <color auto="1"/>
      </left>
      <right style="thin">
        <color auto="1"/>
      </right>
      <top style="medium">
        <color auto="1"/>
      </top>
      <bottom style="thin">
        <color auto="1"/>
      </bottom>
      <diagonal/>
    </border>
    <border>
      <left style="medium">
        <color auto="1"/>
      </left>
      <right/>
      <top style="medium">
        <color auto="1"/>
      </top>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medium">
        <color auto="1"/>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right style="thin">
        <color auto="1"/>
      </right>
      <top style="medium">
        <color auto="1"/>
      </top>
      <bottom style="thin">
        <color auto="1"/>
      </bottom>
      <diagonal/>
    </border>
    <border>
      <left style="thin">
        <color auto="1"/>
      </left>
      <right style="medium">
        <color auto="1"/>
      </right>
      <top/>
      <bottom style="thin">
        <color auto="1"/>
      </bottom>
      <diagonal/>
    </border>
    <border>
      <left/>
      <right style="thin">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top style="medium">
        <color auto="1"/>
      </top>
      <bottom/>
      <diagonal/>
    </border>
    <border>
      <left/>
      <right/>
      <top style="medium">
        <color auto="1"/>
      </top>
      <bottom/>
      <diagonal/>
    </border>
    <border>
      <left style="medium">
        <color rgb="FFFF0000"/>
      </left>
      <right style="medium">
        <color rgb="FFFF0000"/>
      </right>
      <top style="medium">
        <color rgb="FFFF0000"/>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hair">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style="medium">
        <color indexed="64"/>
      </bottom>
      <diagonal/>
    </border>
    <border>
      <left style="medium">
        <color indexed="64"/>
      </left>
      <right style="medium">
        <color indexed="10"/>
      </right>
      <top style="medium">
        <color indexed="10"/>
      </top>
      <bottom style="medium">
        <color indexed="10"/>
      </bottom>
      <diagonal/>
    </border>
    <border>
      <left style="medium">
        <color indexed="64"/>
      </left>
      <right style="medium">
        <color indexed="10"/>
      </right>
      <top style="medium">
        <color indexed="10"/>
      </top>
      <bottom style="medium">
        <color indexed="64"/>
      </bottom>
      <diagonal/>
    </border>
    <border>
      <left style="medium">
        <color indexed="10"/>
      </left>
      <right style="medium">
        <color indexed="10"/>
      </right>
      <top style="medium">
        <color indexed="10"/>
      </top>
      <bottom style="medium">
        <color indexed="64"/>
      </bottom>
      <diagonal/>
    </border>
    <border>
      <left style="medium">
        <color indexed="10"/>
      </left>
      <right style="medium">
        <color indexed="64"/>
      </right>
      <top style="medium">
        <color indexed="10"/>
      </top>
      <bottom style="medium">
        <color indexed="10"/>
      </bottom>
      <diagonal/>
    </border>
    <border>
      <left style="medium">
        <color indexed="10"/>
      </left>
      <right style="medium">
        <color indexed="64"/>
      </right>
      <top style="medium">
        <color indexed="10"/>
      </top>
      <bottom style="medium">
        <color indexed="64"/>
      </bottom>
      <diagonal/>
    </border>
    <border>
      <left style="thin">
        <color indexed="64"/>
      </left>
      <right/>
      <top style="medium">
        <color indexed="64"/>
      </top>
      <bottom style="hair">
        <color indexed="64"/>
      </bottom>
      <diagonal/>
    </border>
    <border>
      <left style="medium">
        <color indexed="64"/>
      </left>
      <right/>
      <top style="medium">
        <color indexed="64"/>
      </top>
      <bottom style="hair">
        <color auto="1"/>
      </bottom>
      <diagonal/>
    </border>
    <border>
      <left/>
      <right style="medium">
        <color indexed="64"/>
      </right>
      <top style="medium">
        <color indexed="64"/>
      </top>
      <bottom style="hair">
        <color auto="1"/>
      </bottom>
      <diagonal/>
    </border>
    <border>
      <left/>
      <right/>
      <top style="medium">
        <color auto="1"/>
      </top>
      <bottom style="medium">
        <color auto="1"/>
      </bottom>
      <diagonal/>
    </border>
    <border>
      <left style="thin">
        <color auto="1"/>
      </left>
      <right style="thin">
        <color auto="1"/>
      </right>
      <top style="medium">
        <color auto="1"/>
      </top>
      <bottom style="thin">
        <color auto="1"/>
      </bottom>
      <diagonal/>
    </border>
    <border>
      <left style="medium">
        <color auto="1"/>
      </left>
      <right/>
      <top style="medium">
        <color auto="1"/>
      </top>
      <bottom style="hair">
        <color auto="1"/>
      </bottom>
      <diagonal/>
    </border>
    <border>
      <left/>
      <right/>
      <top style="medium">
        <color auto="1"/>
      </top>
      <bottom style="hair">
        <color auto="1"/>
      </bottom>
      <diagonal/>
    </border>
    <border>
      <left/>
      <right style="medium">
        <color auto="1"/>
      </right>
      <top style="medium">
        <color auto="1"/>
      </top>
      <bottom style="hair">
        <color auto="1"/>
      </bottom>
      <diagonal/>
    </border>
    <border>
      <left/>
      <right/>
      <top style="medium">
        <color auto="1"/>
      </top>
      <bottom style="hair">
        <color auto="1"/>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bottom style="thin">
        <color indexed="64"/>
      </bottom>
      <diagonal/>
    </border>
    <border>
      <left style="medium">
        <color rgb="FFFF0000"/>
      </left>
      <right/>
      <top/>
      <bottom style="thin">
        <color rgb="FFFF0000"/>
      </bottom>
      <diagonal/>
    </border>
    <border>
      <left style="medium">
        <color indexed="64"/>
      </left>
      <right style="thin">
        <color rgb="FFFF0000"/>
      </right>
      <top/>
      <bottom style="thin">
        <color rgb="FFFF0000"/>
      </bottom>
      <diagonal/>
    </border>
    <border>
      <left style="thin">
        <color rgb="FFFF0000"/>
      </left>
      <right style="thin">
        <color rgb="FFFF0000"/>
      </right>
      <top/>
      <bottom style="thin">
        <color rgb="FFFF0000"/>
      </bottom>
      <diagonal/>
    </border>
    <border>
      <left style="thin">
        <color rgb="FFFF0000"/>
      </left>
      <right style="medium">
        <color indexed="64"/>
      </right>
      <top/>
      <bottom style="thin">
        <color rgb="FFFF0000"/>
      </bottom>
      <diagonal/>
    </border>
    <border>
      <left style="medium">
        <color indexed="64"/>
      </left>
      <right style="medium">
        <color indexed="64"/>
      </right>
      <top/>
      <bottom style="thin">
        <color rgb="FFFF0000"/>
      </bottom>
      <diagonal/>
    </border>
    <border>
      <left style="medium">
        <color rgb="FFFF0000"/>
      </left>
      <right/>
      <top style="thin">
        <color rgb="FFFF0000"/>
      </top>
      <bottom style="thin">
        <color rgb="FFFF0000"/>
      </bottom>
      <diagonal/>
    </border>
    <border>
      <left style="medium">
        <color indexed="64"/>
      </left>
      <right style="thin">
        <color rgb="FFFF0000"/>
      </right>
      <top style="thin">
        <color rgb="FFFF0000"/>
      </top>
      <bottom style="thin">
        <color rgb="FFFF0000"/>
      </bottom>
      <diagonal/>
    </border>
    <border>
      <left style="thin">
        <color rgb="FFFF0000"/>
      </left>
      <right style="thin">
        <color rgb="FFFF0000"/>
      </right>
      <top style="thin">
        <color rgb="FFFF0000"/>
      </top>
      <bottom style="thin">
        <color rgb="FFFF0000"/>
      </bottom>
      <diagonal/>
    </border>
    <border>
      <left style="thin">
        <color rgb="FFFF0000"/>
      </left>
      <right style="medium">
        <color indexed="64"/>
      </right>
      <top style="thin">
        <color rgb="FFFF0000"/>
      </top>
      <bottom style="thin">
        <color rgb="FFFF0000"/>
      </bottom>
      <diagonal/>
    </border>
    <border>
      <left style="medium">
        <color indexed="64"/>
      </left>
      <right style="medium">
        <color indexed="64"/>
      </right>
      <top style="thin">
        <color rgb="FFFF0000"/>
      </top>
      <bottom style="thin">
        <color rgb="FFFF0000"/>
      </bottom>
      <diagonal/>
    </border>
    <border>
      <left style="medium">
        <color rgb="FFFF0000"/>
      </left>
      <right/>
      <top style="thin">
        <color rgb="FFFF0000"/>
      </top>
      <bottom style="medium">
        <color rgb="FFFF0000"/>
      </bottom>
      <diagonal/>
    </border>
    <border>
      <left style="medium">
        <color indexed="64"/>
      </left>
      <right style="thin">
        <color rgb="FFFF0000"/>
      </right>
      <top style="thin">
        <color rgb="FFFF0000"/>
      </top>
      <bottom style="medium">
        <color indexed="64"/>
      </bottom>
      <diagonal/>
    </border>
    <border>
      <left style="thin">
        <color rgb="FFFF0000"/>
      </left>
      <right style="thin">
        <color rgb="FFFF0000"/>
      </right>
      <top style="thin">
        <color rgb="FFFF0000"/>
      </top>
      <bottom style="medium">
        <color indexed="64"/>
      </bottom>
      <diagonal/>
    </border>
    <border>
      <left style="thin">
        <color rgb="FFFF0000"/>
      </left>
      <right style="medium">
        <color indexed="64"/>
      </right>
      <top style="thin">
        <color rgb="FFFF0000"/>
      </top>
      <bottom style="medium">
        <color indexed="64"/>
      </bottom>
      <diagonal/>
    </border>
    <border>
      <left style="medium">
        <color indexed="64"/>
      </left>
      <right style="medium">
        <color indexed="64"/>
      </right>
      <top style="thin">
        <color rgb="FFFF0000"/>
      </top>
      <bottom style="medium">
        <color indexed="64"/>
      </bottom>
      <diagonal/>
    </border>
    <border>
      <left style="medium">
        <color indexed="64"/>
      </left>
      <right style="medium">
        <color indexed="64"/>
      </right>
      <top style="medium">
        <color indexed="64"/>
      </top>
      <bottom style="thin">
        <color auto="1"/>
      </bottom>
      <diagonal/>
    </border>
    <border>
      <left style="medium">
        <color auto="1"/>
      </left>
      <right style="medium">
        <color auto="1"/>
      </right>
      <top style="thin">
        <color auto="1"/>
      </top>
      <bottom/>
      <diagonal/>
    </border>
  </borders>
  <cellStyleXfs count="18">
    <xf numFmtId="0" fontId="0" fillId="0" borderId="0"/>
    <xf numFmtId="44" fontId="1" fillId="0" borderId="0" applyFont="0" applyFill="0" applyBorder="0" applyAlignment="0" applyProtection="0"/>
    <xf numFmtId="44" fontId="3" fillId="0" borderId="0" applyFont="0" applyFill="0" applyBorder="0" applyAlignment="0" applyProtection="0"/>
    <xf numFmtId="0" fontId="3" fillId="0" borderId="0"/>
    <xf numFmtId="9" fontId="1" fillId="0" borderId="0" applyFont="0" applyFill="0" applyBorder="0" applyAlignment="0" applyProtection="0"/>
    <xf numFmtId="0" fontId="7" fillId="0" borderId="0"/>
    <xf numFmtId="165" fontId="7" fillId="0" borderId="0" applyFont="0" applyFill="0" applyBorder="0" applyAlignment="0" applyProtection="0"/>
    <xf numFmtId="0" fontId="1" fillId="0" borderId="0"/>
    <xf numFmtId="0" fontId="48" fillId="0" borderId="0" applyNumberFormat="0" applyFill="0" applyBorder="0" applyAlignment="0" applyProtection="0">
      <alignment vertical="top"/>
      <protection locked="0"/>
    </xf>
    <xf numFmtId="0" fontId="56" fillId="0" borderId="0"/>
    <xf numFmtId="0" fontId="7" fillId="0" borderId="0"/>
    <xf numFmtId="0" fontId="7" fillId="0" borderId="0"/>
    <xf numFmtId="0" fontId="7"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cellStyleXfs>
  <cellXfs count="2247">
    <xf numFmtId="0" fontId="0" fillId="0" borderId="0" xfId="0"/>
    <xf numFmtId="0" fontId="4" fillId="2" borderId="20" xfId="0" applyFont="1" applyFill="1" applyBorder="1" applyAlignment="1">
      <alignment horizontal="left" indent="1"/>
    </xf>
    <xf numFmtId="0" fontId="0" fillId="0" borderId="0" xfId="0" applyAlignment="1">
      <alignment vertical="center" wrapText="1"/>
    </xf>
    <xf numFmtId="0" fontId="20" fillId="0" borderId="0" xfId="0" applyFont="1"/>
    <xf numFmtId="0" fontId="21" fillId="0" borderId="0" xfId="0" applyFont="1"/>
    <xf numFmtId="0" fontId="21" fillId="9" borderId="0" xfId="0" applyFont="1" applyFill="1"/>
    <xf numFmtId="0" fontId="21" fillId="10" borderId="0" xfId="0" applyFont="1" applyFill="1"/>
    <xf numFmtId="0" fontId="21" fillId="11" borderId="0" xfId="0" applyFont="1" applyFill="1"/>
    <xf numFmtId="0" fontId="22" fillId="0" borderId="0" xfId="0" applyFont="1"/>
    <xf numFmtId="0" fontId="23" fillId="12" borderId="0" xfId="0" applyFont="1" applyFill="1"/>
    <xf numFmtId="0" fontId="24" fillId="0" borderId="0" xfId="0" applyFont="1"/>
    <xf numFmtId="0" fontId="21" fillId="0" borderId="0" xfId="0" applyFont="1" applyAlignment="1">
      <alignment vertical="center" wrapText="1"/>
    </xf>
    <xf numFmtId="0" fontId="26" fillId="5" borderId="0" xfId="0" applyFont="1" applyFill="1" applyBorder="1" applyAlignment="1">
      <alignment horizontal="left" vertical="top" indent="1"/>
    </xf>
    <xf numFmtId="0" fontId="21" fillId="0" borderId="80" xfId="0" applyFont="1" applyBorder="1"/>
    <xf numFmtId="0" fontId="21" fillId="0" borderId="15" xfId="0" applyFont="1" applyBorder="1" applyAlignment="1">
      <alignment vertical="top"/>
    </xf>
    <xf numFmtId="0" fontId="21" fillId="0" borderId="16" xfId="0" applyFont="1" applyBorder="1" applyAlignment="1">
      <alignment vertical="top"/>
    </xf>
    <xf numFmtId="0" fontId="21" fillId="0" borderId="16" xfId="0" applyFont="1" applyBorder="1"/>
    <xf numFmtId="0" fontId="21" fillId="0" borderId="85" xfId="0" applyFont="1" applyBorder="1"/>
    <xf numFmtId="0" fontId="21" fillId="0" borderId="98" xfId="0" applyFont="1" applyBorder="1"/>
    <xf numFmtId="0" fontId="21" fillId="0" borderId="0" xfId="0" applyFont="1" applyBorder="1"/>
    <xf numFmtId="0" fontId="21" fillId="0" borderId="18" xfId="0" applyFont="1" applyBorder="1"/>
    <xf numFmtId="0" fontId="26" fillId="5" borderId="0" xfId="0" applyFont="1" applyFill="1" applyBorder="1" applyAlignment="1">
      <alignment vertical="top"/>
    </xf>
    <xf numFmtId="0" fontId="21" fillId="0" borderId="22" xfId="0" applyFont="1" applyBorder="1" applyAlignment="1">
      <alignment horizontal="right" wrapText="1" indent="1"/>
    </xf>
    <xf numFmtId="0" fontId="21" fillId="0" borderId="22" xfId="0" applyFont="1" applyBorder="1"/>
    <xf numFmtId="0" fontId="20" fillId="2" borderId="14" xfId="0" applyFont="1" applyFill="1" applyBorder="1" applyAlignment="1">
      <alignment horizontal="center" wrapText="1"/>
    </xf>
    <xf numFmtId="0" fontId="20" fillId="2" borderId="20" xfId="0" applyFont="1" applyFill="1" applyBorder="1" applyAlignment="1">
      <alignment horizontal="center"/>
    </xf>
    <xf numFmtId="0" fontId="20" fillId="2" borderId="20" xfId="0" applyFont="1" applyFill="1" applyBorder="1" applyAlignment="1">
      <alignment horizontal="center" wrapText="1"/>
    </xf>
    <xf numFmtId="0" fontId="21" fillId="0" borderId="14" xfId="0" applyFont="1" applyBorder="1" applyAlignment="1">
      <alignment vertical="top"/>
    </xf>
    <xf numFmtId="0" fontId="21" fillId="0" borderId="17" xfId="0" applyFont="1" applyBorder="1"/>
    <xf numFmtId="166" fontId="21" fillId="0" borderId="14" xfId="0" applyNumberFormat="1" applyFont="1" applyBorder="1" applyAlignment="1">
      <alignment vertical="top"/>
    </xf>
    <xf numFmtId="1" fontId="21" fillId="0" borderId="14" xfId="0" applyNumberFormat="1" applyFont="1" applyBorder="1" applyAlignment="1">
      <alignment horizontal="right" vertical="top" indent="1"/>
    </xf>
    <xf numFmtId="1" fontId="21" fillId="0" borderId="17" xfId="0" applyNumberFormat="1" applyFont="1" applyBorder="1" applyAlignment="1">
      <alignment horizontal="right" indent="1"/>
    </xf>
    <xf numFmtId="2" fontId="21" fillId="0" borderId="18" xfId="0" applyNumberFormat="1" applyFont="1" applyBorder="1"/>
    <xf numFmtId="2" fontId="21" fillId="0" borderId="18" xfId="0" applyNumberFormat="1" applyFont="1" applyBorder="1" applyAlignment="1">
      <alignment horizontal="right" wrapText="1" indent="1"/>
    </xf>
    <xf numFmtId="2" fontId="21" fillId="0" borderId="0" xfId="0" applyNumberFormat="1" applyFont="1" applyBorder="1"/>
    <xf numFmtId="2" fontId="21" fillId="0" borderId="0" xfId="0" applyNumberFormat="1" applyFont="1" applyBorder="1" applyAlignment="1">
      <alignment horizontal="right" wrapText="1" indent="1"/>
    </xf>
    <xf numFmtId="0" fontId="21" fillId="0" borderId="16" xfId="0" applyFont="1" applyFill="1" applyBorder="1" applyAlignment="1">
      <alignment vertical="top"/>
    </xf>
    <xf numFmtId="0" fontId="21" fillId="0" borderId="0" xfId="0" applyFont="1" applyAlignment="1">
      <alignment horizontal="right" wrapText="1" indent="1"/>
    </xf>
    <xf numFmtId="168" fontId="21" fillId="0" borderId="14" xfId="4" applyNumberFormat="1" applyFont="1" applyBorder="1" applyAlignment="1">
      <alignment horizontal="right" vertical="top" indent="1"/>
    </xf>
    <xf numFmtId="168" fontId="21" fillId="0" borderId="17" xfId="4" applyNumberFormat="1" applyFont="1" applyBorder="1" applyAlignment="1">
      <alignment horizontal="right" indent="1"/>
    </xf>
    <xf numFmtId="0" fontId="20" fillId="2" borderId="5" xfId="0" applyFont="1" applyFill="1" applyBorder="1" applyAlignment="1">
      <alignment horizontal="center"/>
    </xf>
    <xf numFmtId="0" fontId="28" fillId="0" borderId="0" xfId="0" applyFont="1"/>
    <xf numFmtId="0" fontId="28" fillId="0" borderId="0" xfId="0" applyFont="1" applyAlignment="1">
      <alignment vertical="center" wrapText="1"/>
    </xf>
    <xf numFmtId="0" fontId="19" fillId="0" borderId="0" xfId="0" applyFont="1" applyAlignment="1">
      <alignment vertical="center" wrapText="1"/>
    </xf>
    <xf numFmtId="0" fontId="21" fillId="0" borderId="0" xfId="0" applyFont="1" applyBorder="1" applyAlignment="1">
      <alignment horizontal="right" wrapText="1" indent="1"/>
    </xf>
    <xf numFmtId="0" fontId="20" fillId="2" borderId="5" xfId="0" applyFont="1" applyFill="1" applyBorder="1" applyAlignment="1">
      <alignment horizontal="center" wrapText="1"/>
    </xf>
    <xf numFmtId="0" fontId="20" fillId="0" borderId="20" xfId="0" applyFont="1" applyBorder="1" applyAlignment="1">
      <alignment horizontal="center"/>
    </xf>
    <xf numFmtId="0" fontId="20" fillId="0" borderId="0" xfId="0" applyFont="1" applyBorder="1" applyAlignment="1">
      <alignment horizontal="center"/>
    </xf>
    <xf numFmtId="9" fontId="21" fillId="0" borderId="0" xfId="0" applyNumberFormat="1" applyFont="1" applyBorder="1" applyAlignment="1">
      <alignment horizontal="center"/>
    </xf>
    <xf numFmtId="0" fontId="18" fillId="0" borderId="0" xfId="0" applyFont="1" applyBorder="1"/>
    <xf numFmtId="0" fontId="18" fillId="0" borderId="0" xfId="0" applyFont="1"/>
    <xf numFmtId="0" fontId="20" fillId="0" borderId="24" xfId="0" applyFont="1" applyBorder="1" applyAlignment="1">
      <alignment horizontal="center" vertical="center" wrapText="1"/>
    </xf>
    <xf numFmtId="0" fontId="21" fillId="0" borderId="20" xfId="0" applyFont="1" applyBorder="1" applyAlignment="1">
      <alignment vertical="center" wrapText="1"/>
    </xf>
    <xf numFmtId="0" fontId="20" fillId="0" borderId="74" xfId="0" applyFont="1" applyBorder="1" applyAlignment="1">
      <alignment horizontal="center" vertical="center" wrapText="1"/>
    </xf>
    <xf numFmtId="0" fontId="21" fillId="0" borderId="77" xfId="0" applyFont="1" applyBorder="1" applyAlignment="1">
      <alignment horizontal="center" vertical="center" wrapText="1"/>
    </xf>
    <xf numFmtId="0" fontId="21" fillId="0" borderId="80" xfId="0" applyFont="1" applyBorder="1" applyAlignment="1">
      <alignment vertical="center" wrapText="1"/>
    </xf>
    <xf numFmtId="0" fontId="21" fillId="0" borderId="0" xfId="0" applyFont="1" applyFill="1" applyAlignment="1">
      <alignment vertical="center" wrapText="1"/>
    </xf>
    <xf numFmtId="0" fontId="20" fillId="2" borderId="52" xfId="0" applyFont="1" applyFill="1" applyBorder="1" applyAlignment="1">
      <alignment vertical="center" wrapText="1"/>
    </xf>
    <xf numFmtId="0" fontId="21" fillId="0" borderId="17" xfId="0" applyFont="1" applyFill="1" applyBorder="1" applyAlignment="1">
      <alignment vertical="top"/>
    </xf>
    <xf numFmtId="9" fontId="21" fillId="0" borderId="0" xfId="0" applyNumberFormat="1" applyFont="1"/>
    <xf numFmtId="9" fontId="22" fillId="0" borderId="0" xfId="0" applyNumberFormat="1" applyFont="1" applyAlignment="1">
      <alignment horizontal="right"/>
    </xf>
    <xf numFmtId="9" fontId="22" fillId="0" borderId="0" xfId="0" applyNumberFormat="1" applyFont="1"/>
    <xf numFmtId="0" fontId="20" fillId="2" borderId="5" xfId="0" applyFont="1" applyFill="1" applyBorder="1" applyAlignment="1">
      <alignment horizontal="center" vertical="center" wrapText="1"/>
    </xf>
    <xf numFmtId="0" fontId="26" fillId="5" borderId="0" xfId="0" applyFont="1" applyFill="1" applyBorder="1" applyAlignment="1">
      <alignment horizontal="left" vertical="top" indent="1"/>
    </xf>
    <xf numFmtId="0" fontId="21" fillId="0" borderId="0" xfId="5" applyFont="1" applyFill="1" applyBorder="1"/>
    <xf numFmtId="0" fontId="21" fillId="0" borderId="9" xfId="5" applyFont="1" applyFill="1" applyBorder="1" applyAlignment="1">
      <alignment horizontal="left"/>
    </xf>
    <xf numFmtId="0" fontId="21" fillId="0" borderId="10" xfId="5" applyFont="1" applyFill="1" applyBorder="1" applyAlignment="1">
      <alignment horizontal="left"/>
    </xf>
    <xf numFmtId="0" fontId="21" fillId="0" borderId="57" xfId="5" applyFont="1" applyFill="1" applyBorder="1" applyAlignment="1">
      <alignment horizontal="center"/>
    </xf>
    <xf numFmtId="0" fontId="21" fillId="0" borderId="9" xfId="5" applyFont="1" applyFill="1" applyBorder="1" applyAlignment="1">
      <alignment horizontal="center"/>
    </xf>
    <xf numFmtId="1" fontId="21" fillId="0" borderId="58" xfId="5" applyNumberFormat="1" applyFont="1" applyFill="1" applyBorder="1" applyAlignment="1">
      <alignment horizontal="center"/>
    </xf>
    <xf numFmtId="0" fontId="21" fillId="0" borderId="9" xfId="5" applyFont="1" applyFill="1" applyBorder="1" applyAlignment="1">
      <alignment horizontal="right" indent="1"/>
    </xf>
    <xf numFmtId="0" fontId="21" fillId="0" borderId="10" xfId="5" applyFont="1" applyFill="1" applyBorder="1" applyAlignment="1">
      <alignment horizontal="right" indent="1"/>
    </xf>
    <xf numFmtId="0" fontId="21" fillId="0" borderId="58" xfId="5" applyFont="1" applyFill="1" applyBorder="1" applyAlignment="1">
      <alignment horizontal="right" indent="1"/>
    </xf>
    <xf numFmtId="167" fontId="21" fillId="0" borderId="9" xfId="5" applyNumberFormat="1" applyFont="1" applyFill="1" applyBorder="1" applyAlignment="1">
      <alignment horizontal="right" indent="1"/>
    </xf>
    <xf numFmtId="167" fontId="21" fillId="0" borderId="10" xfId="5" applyNumberFormat="1" applyFont="1" applyFill="1" applyBorder="1" applyAlignment="1">
      <alignment horizontal="right" indent="1"/>
    </xf>
    <xf numFmtId="167" fontId="21" fillId="0" borderId="58" xfId="5" applyNumberFormat="1" applyFont="1" applyFill="1" applyBorder="1" applyAlignment="1">
      <alignment horizontal="right" indent="1"/>
    </xf>
    <xf numFmtId="0" fontId="21" fillId="0" borderId="0" xfId="5" applyFont="1" applyFill="1" applyBorder="1" applyAlignment="1">
      <alignment vertical="center"/>
    </xf>
    <xf numFmtId="0" fontId="21" fillId="0" borderId="0" xfId="5" applyFont="1" applyFill="1" applyBorder="1" applyAlignment="1">
      <alignment horizontal="center" vertical="center"/>
    </xf>
    <xf numFmtId="164" fontId="21" fillId="0" borderId="0" xfId="5" applyNumberFormat="1" applyFont="1" applyFill="1" applyBorder="1" applyAlignment="1">
      <alignment horizontal="right" indent="1"/>
    </xf>
    <xf numFmtId="0" fontId="21" fillId="0" borderId="0" xfId="5" applyNumberFormat="1" applyFont="1" applyFill="1" applyBorder="1" applyAlignment="1">
      <alignment horizontal="right" indent="1"/>
    </xf>
    <xf numFmtId="0" fontId="21" fillId="0" borderId="0" xfId="5" applyNumberFormat="1" applyFont="1" applyFill="1" applyBorder="1" applyAlignment="1">
      <alignment horizontal="center"/>
    </xf>
    <xf numFmtId="0" fontId="21" fillId="0" borderId="0" xfId="5" applyFont="1" applyFill="1" applyBorder="1" applyAlignment="1">
      <alignment horizontal="right" indent="1"/>
    </xf>
    <xf numFmtId="167" fontId="21" fillId="0" borderId="0" xfId="5" applyNumberFormat="1" applyFont="1" applyFill="1" applyBorder="1" applyAlignment="1">
      <alignment horizontal="right" indent="1"/>
    </xf>
    <xf numFmtId="169" fontId="21" fillId="0" borderId="58" xfId="6" applyNumberFormat="1" applyFont="1" applyFill="1" applyBorder="1" applyAlignment="1">
      <alignment horizontal="center"/>
    </xf>
    <xf numFmtId="169" fontId="21" fillId="0" borderId="13" xfId="6" applyNumberFormat="1" applyFont="1" applyFill="1" applyBorder="1" applyAlignment="1">
      <alignment horizontal="center"/>
    </xf>
    <xf numFmtId="0" fontId="3" fillId="0" borderId="0" xfId="3" applyFont="1" applyBorder="1"/>
    <xf numFmtId="0" fontId="34" fillId="18" borderId="22" xfId="3" applyFont="1" applyFill="1" applyBorder="1" applyAlignment="1">
      <alignment vertical="top"/>
    </xf>
    <xf numFmtId="0" fontId="7" fillId="0" borderId="0" xfId="0" applyFont="1" applyBorder="1"/>
    <xf numFmtId="0" fontId="17" fillId="0" borderId="0" xfId="0" applyFont="1" applyBorder="1" applyAlignment="1">
      <alignment vertical="top"/>
    </xf>
    <xf numFmtId="0" fontId="16" fillId="0" borderId="0" xfId="0" applyFont="1" applyBorder="1" applyAlignment="1">
      <alignment horizontal="left" vertical="top" wrapText="1"/>
    </xf>
    <xf numFmtId="0" fontId="14" fillId="0" borderId="24" xfId="3" applyFont="1" applyBorder="1"/>
    <xf numFmtId="0" fontId="15" fillId="17" borderId="88" xfId="0" applyFont="1" applyFill="1" applyBorder="1" applyAlignment="1">
      <alignment vertical="top" wrapText="1"/>
    </xf>
    <xf numFmtId="0" fontId="14" fillId="17" borderId="1" xfId="3" applyFont="1" applyFill="1" applyBorder="1" applyAlignment="1">
      <alignment horizontal="center" vertical="center" wrapText="1"/>
    </xf>
    <xf numFmtId="0" fontId="14" fillId="17" borderId="2" xfId="3" applyFont="1" applyFill="1" applyBorder="1" applyAlignment="1">
      <alignment horizontal="center" vertical="center" wrapText="1"/>
    </xf>
    <xf numFmtId="0" fontId="14" fillId="17" borderId="54" xfId="3" applyFont="1" applyFill="1" applyBorder="1" applyAlignment="1">
      <alignment horizontal="center" vertical="center" wrapText="1"/>
    </xf>
    <xf numFmtId="0" fontId="14" fillId="17" borderId="89" xfId="0" applyFont="1" applyFill="1" applyBorder="1" applyAlignment="1">
      <alignment horizontal="center" vertical="top" wrapText="1"/>
    </xf>
    <xf numFmtId="0" fontId="14" fillId="0" borderId="62" xfId="3" applyFont="1" applyBorder="1"/>
    <xf numFmtId="0" fontId="14" fillId="0" borderId="93" xfId="3" applyFont="1" applyBorder="1" applyAlignment="1">
      <alignment horizontal="left" indent="1"/>
    </xf>
    <xf numFmtId="0" fontId="15" fillId="0" borderId="6" xfId="3" applyFont="1" applyBorder="1" applyAlignment="1">
      <alignment horizontal="left" vertical="center" indent="1"/>
    </xf>
    <xf numFmtId="0" fontId="15" fillId="0" borderId="7" xfId="3" applyFont="1" applyBorder="1" applyAlignment="1">
      <alignment horizontal="left" vertical="center" wrapText="1" indent="1"/>
    </xf>
    <xf numFmtId="0" fontId="15" fillId="0" borderId="7" xfId="3" applyFont="1" applyBorder="1" applyAlignment="1">
      <alignment vertical="center"/>
    </xf>
    <xf numFmtId="0" fontId="15" fillId="0" borderId="7" xfId="3" applyFont="1" applyBorder="1" applyAlignment="1">
      <alignment vertical="center" wrapText="1"/>
    </xf>
    <xf numFmtId="0" fontId="15" fillId="0" borderId="81" xfId="3" applyFont="1" applyBorder="1" applyAlignment="1" applyProtection="1">
      <alignment vertical="center"/>
    </xf>
    <xf numFmtId="3" fontId="14" fillId="19" borderId="116" xfId="3" applyNumberFormat="1" applyFont="1" applyFill="1" applyBorder="1" applyAlignment="1" applyProtection="1">
      <alignment horizontal="right" vertical="center" indent="1"/>
      <protection locked="0"/>
    </xf>
    <xf numFmtId="0" fontId="14" fillId="0" borderId="28" xfId="3" applyFont="1" applyBorder="1"/>
    <xf numFmtId="0" fontId="14" fillId="0" borderId="55" xfId="3" applyFont="1" applyBorder="1" applyAlignment="1">
      <alignment horizontal="left" indent="1"/>
    </xf>
    <xf numFmtId="0" fontId="15" fillId="0" borderId="32" xfId="3" applyFont="1" applyBorder="1" applyAlignment="1">
      <alignment horizontal="left" vertical="center" indent="1"/>
    </xf>
    <xf numFmtId="0" fontId="15" fillId="0" borderId="33" xfId="3" applyFont="1" applyBorder="1" applyAlignment="1">
      <alignment horizontal="left" vertical="center" wrapText="1" indent="1"/>
    </xf>
    <xf numFmtId="0" fontId="15" fillId="0" borderId="33" xfId="3" applyFont="1" applyBorder="1" applyAlignment="1">
      <alignment vertical="center"/>
    </xf>
    <xf numFmtId="0" fontId="15" fillId="0" borderId="33" xfId="3" applyFont="1" applyBorder="1" applyAlignment="1">
      <alignment vertical="center" wrapText="1"/>
    </xf>
    <xf numFmtId="0" fontId="15" fillId="0" borderId="82" xfId="3" applyFont="1" applyBorder="1" applyAlignment="1" applyProtection="1">
      <alignment vertical="center"/>
    </xf>
    <xf numFmtId="0" fontId="15" fillId="0" borderId="9" xfId="3" applyFont="1" applyBorder="1" applyAlignment="1">
      <alignment horizontal="left" vertical="center" indent="1"/>
    </xf>
    <xf numFmtId="0" fontId="15" fillId="0" borderId="10" xfId="3" applyFont="1" applyBorder="1" applyAlignment="1">
      <alignment horizontal="left" vertical="center" wrapText="1" indent="1"/>
    </xf>
    <xf numFmtId="0" fontId="15" fillId="0" borderId="10" xfId="3" applyFont="1" applyBorder="1" applyAlignment="1">
      <alignment vertical="center"/>
    </xf>
    <xf numFmtId="0" fontId="15" fillId="0" borderId="10" xfId="3" applyFont="1" applyBorder="1" applyAlignment="1">
      <alignment vertical="center" wrapText="1"/>
    </xf>
    <xf numFmtId="0" fontId="15" fillId="0" borderId="83" xfId="3" applyFont="1" applyBorder="1" applyAlignment="1" applyProtection="1">
      <alignment vertical="center"/>
    </xf>
    <xf numFmtId="0" fontId="14" fillId="0" borderId="28" xfId="3" applyFont="1" applyBorder="1" applyAlignment="1">
      <alignment horizontal="left" indent="1"/>
    </xf>
    <xf numFmtId="0" fontId="14" fillId="0" borderId="78" xfId="3" applyFont="1" applyBorder="1" applyAlignment="1">
      <alignment horizontal="left" indent="1"/>
    </xf>
    <xf numFmtId="0" fontId="15" fillId="0" borderId="66" xfId="3" applyFont="1" applyBorder="1" applyAlignment="1">
      <alignment horizontal="left" vertical="center" indent="1"/>
    </xf>
    <xf numFmtId="0" fontId="15" fillId="0" borderId="67" xfId="3" applyFont="1" applyBorder="1" applyAlignment="1">
      <alignment horizontal="left" vertical="center" wrapText="1" indent="1"/>
    </xf>
    <xf numFmtId="0" fontId="15" fillId="0" borderId="121" xfId="3" applyFont="1" applyBorder="1" applyAlignment="1">
      <alignment vertical="center" wrapText="1"/>
    </xf>
    <xf numFmtId="0" fontId="15" fillId="0" borderId="67" xfId="3" applyFont="1" applyBorder="1" applyAlignment="1">
      <alignment vertical="center" wrapText="1"/>
    </xf>
    <xf numFmtId="0" fontId="15" fillId="0" borderId="122" xfId="3" applyFont="1" applyBorder="1" applyAlignment="1" applyProtection="1">
      <alignment vertical="center"/>
    </xf>
    <xf numFmtId="0" fontId="15" fillId="0" borderId="63" xfId="3" applyFont="1" applyBorder="1" applyAlignment="1">
      <alignment horizontal="left" vertical="center" indent="1"/>
    </xf>
    <xf numFmtId="0" fontId="15" fillId="0" borderId="70" xfId="3" applyFont="1" applyBorder="1" applyAlignment="1">
      <alignment horizontal="left" vertical="center" wrapText="1" indent="1"/>
    </xf>
    <xf numFmtId="0" fontId="15" fillId="0" borderId="70" xfId="3" applyFont="1" applyBorder="1" applyAlignment="1">
      <alignment vertical="center" wrapText="1"/>
    </xf>
    <xf numFmtId="0" fontId="15" fillId="0" borderId="123" xfId="3" applyFont="1" applyBorder="1" applyAlignment="1" applyProtection="1">
      <alignment vertical="center"/>
    </xf>
    <xf numFmtId="0" fontId="15" fillId="0" borderId="32" xfId="3" applyFont="1" applyBorder="1" applyAlignment="1" applyProtection="1">
      <alignment horizontal="left" vertical="center" indent="1"/>
    </xf>
    <xf numFmtId="0" fontId="15" fillId="0" borderId="33" xfId="3" applyFont="1" applyBorder="1" applyAlignment="1" applyProtection="1">
      <alignment horizontal="left" vertical="center" wrapText="1" indent="1"/>
    </xf>
    <xf numFmtId="0" fontId="15" fillId="0" borderId="10" xfId="3" applyFont="1" applyBorder="1" applyAlignment="1" applyProtection="1">
      <alignment horizontal="left" vertical="center" wrapText="1" indent="1"/>
    </xf>
    <xf numFmtId="0" fontId="15" fillId="0" borderId="33" xfId="3" applyFont="1" applyBorder="1" applyAlignment="1" applyProtection="1">
      <alignment vertical="center"/>
    </xf>
    <xf numFmtId="0" fontId="15" fillId="0" borderId="33" xfId="3" applyFont="1" applyBorder="1" applyAlignment="1" applyProtection="1">
      <alignment vertical="center" wrapText="1"/>
    </xf>
    <xf numFmtId="0" fontId="15" fillId="0" borderId="67" xfId="3" applyFont="1" applyBorder="1" applyAlignment="1">
      <alignment vertical="center"/>
    </xf>
    <xf numFmtId="0" fontId="14" fillId="0" borderId="55" xfId="3" applyFont="1" applyBorder="1"/>
    <xf numFmtId="0" fontId="15" fillId="0" borderId="70" xfId="3" applyFont="1" applyBorder="1" applyAlignment="1">
      <alignment vertical="center"/>
    </xf>
    <xf numFmtId="0" fontId="14" fillId="0" borderId="26" xfId="3" applyFont="1" applyBorder="1"/>
    <xf numFmtId="0" fontId="14" fillId="20" borderId="62" xfId="3" applyFont="1" applyFill="1" applyBorder="1"/>
    <xf numFmtId="0" fontId="14" fillId="20" borderId="93" xfId="3" applyFont="1" applyFill="1" applyBorder="1"/>
    <xf numFmtId="0" fontId="14" fillId="19" borderId="7" xfId="3" applyFont="1" applyFill="1" applyBorder="1" applyAlignment="1" applyProtection="1">
      <alignment horizontal="right" vertical="center" indent="1"/>
      <protection locked="0"/>
    </xf>
    <xf numFmtId="0" fontId="15" fillId="19" borderId="81" xfId="3" applyFont="1" applyFill="1" applyBorder="1" applyAlignment="1" applyProtection="1">
      <alignment horizontal="right" vertical="center" indent="1"/>
      <protection locked="0"/>
    </xf>
    <xf numFmtId="0" fontId="14" fillId="19" borderId="33" xfId="3" applyFont="1" applyFill="1" applyBorder="1" applyAlignment="1" applyProtection="1">
      <alignment horizontal="right" vertical="center" indent="1"/>
      <protection locked="0"/>
    </xf>
    <xf numFmtId="0" fontId="15" fillId="19" borderId="82" xfId="3" applyFont="1" applyFill="1" applyBorder="1" applyAlignment="1" applyProtection="1">
      <alignment horizontal="right" vertical="center" indent="1"/>
      <protection locked="0"/>
    </xf>
    <xf numFmtId="0" fontId="14" fillId="19" borderId="10" xfId="3" applyFont="1" applyFill="1" applyBorder="1" applyAlignment="1" applyProtection="1">
      <alignment horizontal="right" vertical="center" indent="1"/>
      <protection locked="0"/>
    </xf>
    <xf numFmtId="0" fontId="15" fillId="19" borderId="83" xfId="3" applyFont="1" applyFill="1" applyBorder="1" applyAlignment="1" applyProtection="1">
      <alignment horizontal="right" vertical="center" indent="1"/>
      <protection locked="0"/>
    </xf>
    <xf numFmtId="0" fontId="14" fillId="19" borderId="67" xfId="3" applyFont="1" applyFill="1" applyBorder="1" applyAlignment="1" applyProtection="1">
      <alignment horizontal="right" vertical="center" indent="1"/>
      <protection locked="0"/>
    </xf>
    <xf numFmtId="0" fontId="15" fillId="19" borderId="122" xfId="3" applyFont="1" applyFill="1" applyBorder="1" applyAlignment="1" applyProtection="1">
      <alignment horizontal="right" vertical="center" indent="1"/>
      <protection locked="0"/>
    </xf>
    <xf numFmtId="0" fontId="14" fillId="0" borderId="74" xfId="3" applyFont="1" applyBorder="1" applyAlignment="1">
      <alignment horizontal="left" indent="1"/>
    </xf>
    <xf numFmtId="0" fontId="15" fillId="0" borderId="45" xfId="3" applyFont="1" applyBorder="1" applyAlignment="1">
      <alignment horizontal="left" vertical="center" indent="1"/>
    </xf>
    <xf numFmtId="0" fontId="15" fillId="0" borderId="46" xfId="3" applyFont="1" applyBorder="1" applyAlignment="1">
      <alignment horizontal="left" vertical="center" wrapText="1" indent="1"/>
    </xf>
    <xf numFmtId="0" fontId="15" fillId="0" borderId="46" xfId="3" applyFont="1" applyBorder="1" applyAlignment="1">
      <alignment vertical="center"/>
    </xf>
    <xf numFmtId="0" fontId="14" fillId="19" borderId="46" xfId="3" applyFont="1" applyFill="1" applyBorder="1" applyAlignment="1" applyProtection="1">
      <alignment horizontal="right" vertical="center" indent="1"/>
      <protection locked="0"/>
    </xf>
    <xf numFmtId="0" fontId="35" fillId="19" borderId="107" xfId="3" applyFont="1" applyFill="1" applyBorder="1" applyAlignment="1" applyProtection="1">
      <alignment horizontal="right" vertical="center" indent="1"/>
      <protection locked="0"/>
    </xf>
    <xf numFmtId="0" fontId="17" fillId="0" borderId="0" xfId="3" applyFont="1" applyBorder="1"/>
    <xf numFmtId="0" fontId="16" fillId="0" borderId="0" xfId="3" applyFont="1" applyBorder="1"/>
    <xf numFmtId="0" fontId="36" fillId="0" borderId="0" xfId="3" applyFont="1" applyBorder="1"/>
    <xf numFmtId="0" fontId="20" fillId="0" borderId="15" xfId="0" applyFont="1" applyBorder="1"/>
    <xf numFmtId="0" fontId="20" fillId="0" borderId="16" xfId="0" applyFont="1" applyBorder="1"/>
    <xf numFmtId="0" fontId="20" fillId="0" borderId="19" xfId="0" applyFont="1" applyBorder="1"/>
    <xf numFmtId="0" fontId="21" fillId="0" borderId="0" xfId="0" applyFont="1" applyBorder="1" applyAlignment="1">
      <alignment vertical="center" wrapText="1"/>
    </xf>
    <xf numFmtId="0" fontId="22" fillId="0" borderId="22" xfId="0" applyFont="1" applyBorder="1"/>
    <xf numFmtId="2" fontId="20" fillId="0" borderId="0" xfId="0" applyNumberFormat="1" applyFont="1" applyBorder="1"/>
    <xf numFmtId="0" fontId="20" fillId="0" borderId="0" xfId="0" applyFont="1" applyBorder="1" applyAlignment="1">
      <alignment horizontal="left" vertical="top"/>
    </xf>
    <xf numFmtId="9" fontId="20" fillId="13" borderId="15" xfId="4" applyFont="1" applyFill="1" applyBorder="1" applyAlignment="1" applyProtection="1">
      <alignment horizontal="right" vertical="top" indent="1"/>
      <protection locked="0"/>
    </xf>
    <xf numFmtId="9" fontId="20" fillId="13" borderId="14" xfId="4" applyFont="1" applyFill="1" applyBorder="1" applyAlignment="1" applyProtection="1">
      <alignment horizontal="right" vertical="top" indent="1"/>
      <protection locked="0"/>
    </xf>
    <xf numFmtId="9" fontId="20" fillId="13" borderId="16" xfId="4" applyFont="1" applyFill="1" applyBorder="1" applyAlignment="1" applyProtection="1">
      <alignment horizontal="right" vertical="top" indent="1"/>
      <protection locked="0"/>
    </xf>
    <xf numFmtId="9" fontId="20" fillId="13" borderId="14" xfId="4" applyFont="1" applyFill="1" applyBorder="1" applyAlignment="1" applyProtection="1">
      <alignment horizontal="right" vertical="top" wrapText="1" indent="1"/>
      <protection locked="0"/>
    </xf>
    <xf numFmtId="9" fontId="20" fillId="13" borderId="17" xfId="4" applyFont="1" applyFill="1" applyBorder="1" applyAlignment="1" applyProtection="1">
      <alignment horizontal="right" wrapText="1" indent="1"/>
      <protection locked="0"/>
    </xf>
    <xf numFmtId="0" fontId="20" fillId="0" borderId="78" xfId="0" applyFont="1" applyBorder="1" applyAlignment="1">
      <alignment horizontal="left" vertical="center" wrapText="1" indent="1"/>
    </xf>
    <xf numFmtId="0" fontId="20" fillId="0" borderId="74" xfId="0" applyFont="1" applyBorder="1" applyAlignment="1">
      <alignment horizontal="left" vertical="center" wrapText="1" indent="1"/>
    </xf>
    <xf numFmtId="0" fontId="20" fillId="0" borderId="93" xfId="0" applyFont="1" applyBorder="1" applyAlignment="1">
      <alignment horizontal="center" vertical="center" wrapText="1"/>
    </xf>
    <xf numFmtId="3" fontId="21" fillId="0" borderId="79" xfId="0" applyNumberFormat="1" applyFont="1" applyBorder="1" applyAlignment="1">
      <alignment horizontal="right" vertical="center" wrapText="1" indent="1"/>
    </xf>
    <xf numFmtId="3" fontId="20" fillId="0" borderId="79" xfId="0" applyNumberFormat="1" applyFont="1" applyBorder="1" applyAlignment="1">
      <alignment horizontal="right" vertical="center" wrapText="1" indent="1"/>
    </xf>
    <xf numFmtId="3" fontId="21" fillId="0" borderId="27" xfId="0" applyNumberFormat="1" applyFont="1" applyBorder="1" applyAlignment="1">
      <alignment horizontal="right" vertical="center" wrapText="1" indent="1"/>
    </xf>
    <xf numFmtId="3" fontId="20" fillId="0" borderId="27" xfId="0" applyNumberFormat="1" applyFont="1" applyBorder="1" applyAlignment="1">
      <alignment horizontal="right" vertical="center" wrapText="1" indent="1"/>
    </xf>
    <xf numFmtId="0" fontId="20" fillId="0" borderId="0" xfId="0" applyFont="1" applyAlignment="1">
      <alignment vertical="center" wrapText="1"/>
    </xf>
    <xf numFmtId="1" fontId="21" fillId="0" borderId="0" xfId="0" applyNumberFormat="1" applyFont="1" applyAlignment="1">
      <alignment vertical="center" wrapText="1"/>
    </xf>
    <xf numFmtId="3" fontId="20" fillId="2" borderId="25" xfId="0" applyNumberFormat="1" applyFont="1" applyFill="1" applyBorder="1" applyAlignment="1">
      <alignment horizontal="right" vertical="center" wrapText="1" indent="1"/>
    </xf>
    <xf numFmtId="0" fontId="20" fillId="0" borderId="0" xfId="0" applyFont="1" applyFill="1" applyBorder="1" applyAlignment="1">
      <alignment vertical="center" wrapText="1"/>
    </xf>
    <xf numFmtId="0" fontId="20" fillId="0" borderId="0" xfId="0" applyFont="1" applyFill="1" applyBorder="1" applyAlignment="1">
      <alignment horizontal="right" vertical="center" wrapText="1"/>
    </xf>
    <xf numFmtId="0" fontId="20" fillId="0" borderId="22" xfId="0" applyFont="1" applyBorder="1"/>
    <xf numFmtId="0" fontId="24" fillId="0" borderId="22" xfId="0" applyFont="1" applyBorder="1"/>
    <xf numFmtId="0" fontId="24" fillId="0" borderId="0" xfId="0" applyFont="1" applyBorder="1"/>
    <xf numFmtId="0" fontId="17" fillId="0" borderId="22" xfId="0" applyFont="1" applyBorder="1" applyAlignment="1">
      <alignment vertical="top"/>
    </xf>
    <xf numFmtId="0" fontId="7" fillId="0" borderId="22" xfId="0" applyFont="1" applyBorder="1"/>
    <xf numFmtId="0" fontId="24" fillId="0" borderId="22" xfId="0" applyFont="1" applyBorder="1" applyAlignment="1">
      <alignment horizontal="left" vertical="top"/>
    </xf>
    <xf numFmtId="0" fontId="17" fillId="0" borderId="22" xfId="3" applyFont="1" applyBorder="1"/>
    <xf numFmtId="0" fontId="3" fillId="0" borderId="22" xfId="3" applyFont="1" applyBorder="1"/>
    <xf numFmtId="0" fontId="31" fillId="0" borderId="22" xfId="0" applyFont="1" applyBorder="1"/>
    <xf numFmtId="0" fontId="37" fillId="0" borderId="0" xfId="0" applyFont="1"/>
    <xf numFmtId="0" fontId="21" fillId="9" borderId="0" xfId="0" applyFont="1" applyFill="1" applyAlignment="1">
      <alignment wrapText="1"/>
    </xf>
    <xf numFmtId="1" fontId="20" fillId="0" borderId="15" xfId="0" applyNumberFormat="1" applyFont="1" applyFill="1" applyBorder="1" applyAlignment="1" applyProtection="1">
      <alignment horizontal="right" indent="1"/>
    </xf>
    <xf numFmtId="1" fontId="20" fillId="0" borderId="16" xfId="0" applyNumberFormat="1" applyFont="1" applyFill="1" applyBorder="1" applyAlignment="1" applyProtection="1">
      <alignment horizontal="right" indent="1"/>
    </xf>
    <xf numFmtId="1" fontId="20" fillId="0" borderId="19" xfId="0" applyNumberFormat="1" applyFont="1" applyFill="1" applyBorder="1" applyAlignment="1" applyProtection="1">
      <alignment horizontal="right" indent="1"/>
    </xf>
    <xf numFmtId="3" fontId="20" fillId="0" borderId="15" xfId="4" applyNumberFormat="1" applyFont="1" applyFill="1" applyBorder="1" applyAlignment="1" applyProtection="1">
      <alignment horizontal="right" indent="1"/>
    </xf>
    <xf numFmtId="3" fontId="20" fillId="0" borderId="16" xfId="4" applyNumberFormat="1" applyFont="1" applyFill="1" applyBorder="1" applyAlignment="1" applyProtection="1">
      <alignment horizontal="right" indent="1"/>
    </xf>
    <xf numFmtId="3" fontId="20" fillId="0" borderId="98" xfId="4" applyNumberFormat="1" applyFont="1" applyFill="1" applyBorder="1" applyAlignment="1" applyProtection="1">
      <alignment horizontal="right" indent="1"/>
    </xf>
    <xf numFmtId="3" fontId="20" fillId="0" borderId="99" xfId="4" applyNumberFormat="1" applyFont="1" applyFill="1" applyBorder="1" applyAlignment="1" applyProtection="1">
      <alignment horizontal="right" indent="1"/>
    </xf>
    <xf numFmtId="168" fontId="20" fillId="13" borderId="16" xfId="4" applyNumberFormat="1" applyFont="1" applyFill="1" applyBorder="1" applyAlignment="1" applyProtection="1">
      <alignment horizontal="right" indent="1"/>
      <protection locked="0"/>
    </xf>
    <xf numFmtId="168" fontId="20" fillId="13" borderId="98" xfId="4" applyNumberFormat="1" applyFont="1" applyFill="1" applyBorder="1" applyAlignment="1" applyProtection="1">
      <alignment horizontal="right" indent="1"/>
      <protection locked="0"/>
    </xf>
    <xf numFmtId="168" fontId="20" fillId="13" borderId="99" xfId="4" applyNumberFormat="1" applyFont="1" applyFill="1" applyBorder="1" applyAlignment="1" applyProtection="1">
      <alignment horizontal="right" indent="1"/>
      <protection locked="0"/>
    </xf>
    <xf numFmtId="166" fontId="21" fillId="0" borderId="22" xfId="0" applyNumberFormat="1" applyFont="1" applyBorder="1" applyAlignment="1">
      <alignment vertical="top"/>
    </xf>
    <xf numFmtId="166" fontId="21" fillId="0" borderId="73" xfId="0" applyNumberFormat="1" applyFont="1" applyBorder="1" applyAlignment="1">
      <alignment vertical="top"/>
    </xf>
    <xf numFmtId="0" fontId="26" fillId="5" borderId="22" xfId="0" applyFont="1" applyFill="1" applyBorder="1" applyAlignment="1">
      <alignment horizontal="left" vertical="top" indent="1"/>
    </xf>
    <xf numFmtId="0" fontId="20" fillId="0" borderId="73" xfId="0" applyFont="1" applyBorder="1"/>
    <xf numFmtId="0" fontId="20" fillId="0" borderId="17" xfId="0" applyFont="1" applyFill="1" applyBorder="1" applyAlignment="1">
      <alignment vertical="top"/>
    </xf>
    <xf numFmtId="0" fontId="30" fillId="15" borderId="124" xfId="0" applyFont="1" applyFill="1" applyBorder="1" applyAlignment="1">
      <alignment vertical="top"/>
    </xf>
    <xf numFmtId="0" fontId="30" fillId="15" borderId="20" xfId="0" applyFont="1" applyFill="1" applyBorder="1"/>
    <xf numFmtId="0" fontId="30" fillId="15" borderId="20" xfId="0" applyFont="1" applyFill="1" applyBorder="1" applyAlignment="1">
      <alignment horizontal="right" indent="1"/>
    </xf>
    <xf numFmtId="0" fontId="23" fillId="15" borderId="124" xfId="0" applyFont="1" applyFill="1" applyBorder="1"/>
    <xf numFmtId="0" fontId="3" fillId="0" borderId="0" xfId="3"/>
    <xf numFmtId="0" fontId="41" fillId="5" borderId="22" xfId="3" applyFont="1" applyFill="1" applyBorder="1" applyAlignment="1">
      <alignment vertical="top"/>
    </xf>
    <xf numFmtId="0" fontId="24" fillId="0" borderId="0" xfId="0" applyFont="1" applyAlignment="1">
      <alignment vertical="top"/>
    </xf>
    <xf numFmtId="0" fontId="37" fillId="0" borderId="0" xfId="0" applyFont="1" applyAlignment="1">
      <alignment vertical="top"/>
    </xf>
    <xf numFmtId="0" fontId="3" fillId="0" borderId="143" xfId="3" applyBorder="1"/>
    <xf numFmtId="0" fontId="21" fillId="0" borderId="12" xfId="0" applyFont="1" applyFill="1" applyBorder="1" applyAlignment="1">
      <alignment horizontal="left" vertical="top" indent="1"/>
    </xf>
    <xf numFmtId="0" fontId="21" fillId="0" borderId="33" xfId="0" applyFont="1" applyFill="1" applyBorder="1" applyAlignment="1">
      <alignment horizontal="left" vertical="top" indent="1"/>
    </xf>
    <xf numFmtId="0" fontId="3" fillId="0" borderId="0" xfId="3" applyBorder="1"/>
    <xf numFmtId="0" fontId="3" fillId="0" borderId="80" xfId="3" applyBorder="1"/>
    <xf numFmtId="0" fontId="26" fillId="5" borderId="22" xfId="0" applyFont="1" applyFill="1" applyBorder="1" applyAlignment="1">
      <alignment vertical="top"/>
    </xf>
    <xf numFmtId="0" fontId="20" fillId="0" borderId="155" xfId="0" applyFont="1" applyFill="1" applyBorder="1" applyAlignment="1">
      <alignment horizontal="left" vertical="top" indent="1"/>
    </xf>
    <xf numFmtId="0" fontId="20" fillId="0" borderId="153" xfId="0" applyFont="1" applyFill="1" applyBorder="1" applyAlignment="1">
      <alignment horizontal="left" vertical="top" indent="1"/>
    </xf>
    <xf numFmtId="0" fontId="20" fillId="0" borderId="149" xfId="0" applyFont="1" applyFill="1" applyBorder="1" applyAlignment="1">
      <alignment horizontal="left" vertical="top" indent="1"/>
    </xf>
    <xf numFmtId="0" fontId="43" fillId="0" borderId="152" xfId="3" applyFont="1" applyBorder="1"/>
    <xf numFmtId="0" fontId="21" fillId="0" borderId="80" xfId="0" applyFont="1" applyBorder="1" applyAlignment="1">
      <alignment horizontal="right" wrapText="1" indent="1"/>
    </xf>
    <xf numFmtId="169" fontId="21" fillId="0" borderId="0" xfId="6" applyNumberFormat="1" applyFont="1" applyFill="1" applyBorder="1" applyAlignment="1">
      <alignment horizontal="center"/>
    </xf>
    <xf numFmtId="0" fontId="21" fillId="0" borderId="0" xfId="0" applyFont="1" applyAlignment="1">
      <alignment wrapText="1"/>
    </xf>
    <xf numFmtId="0" fontId="21" fillId="0" borderId="0" xfId="0" applyFont="1" applyAlignment="1">
      <alignment vertical="center"/>
    </xf>
    <xf numFmtId="0" fontId="44" fillId="0" borderId="0" xfId="0" applyFont="1" applyBorder="1"/>
    <xf numFmtId="0" fontId="36" fillId="0" borderId="0" xfId="0" applyFont="1" applyBorder="1" applyAlignment="1">
      <alignment vertical="top"/>
    </xf>
    <xf numFmtId="0" fontId="36" fillId="0" borderId="0" xfId="0" applyFont="1" applyBorder="1" applyAlignment="1">
      <alignment horizontal="left" vertical="top"/>
    </xf>
    <xf numFmtId="0" fontId="36" fillId="0" borderId="0" xfId="0" applyFont="1" applyBorder="1" applyAlignment="1">
      <alignment horizontal="left" vertical="top" wrapText="1"/>
    </xf>
    <xf numFmtId="3" fontId="20" fillId="13" borderId="77" xfId="0" applyNumberFormat="1" applyFont="1" applyFill="1" applyBorder="1" applyAlignment="1" applyProtection="1">
      <alignment horizontal="right" vertical="center" wrapText="1" indent="1"/>
      <protection locked="0"/>
    </xf>
    <xf numFmtId="3" fontId="20" fillId="13" borderId="22" xfId="0" applyNumberFormat="1" applyFont="1" applyFill="1" applyBorder="1" applyAlignment="1" applyProtection="1">
      <alignment horizontal="right" vertical="center" wrapText="1" indent="1"/>
      <protection locked="0"/>
    </xf>
    <xf numFmtId="3" fontId="20" fillId="13" borderId="26" xfId="0" applyNumberFormat="1" applyFont="1" applyFill="1" applyBorder="1" applyAlignment="1" applyProtection="1">
      <alignment horizontal="right" vertical="center" wrapText="1" indent="1"/>
      <protection locked="0"/>
    </xf>
    <xf numFmtId="3" fontId="20" fillId="13" borderId="20" xfId="0" applyNumberFormat="1" applyFont="1" applyFill="1" applyBorder="1" applyAlignment="1" applyProtection="1">
      <alignment horizontal="right" vertical="center" wrapText="1" indent="1"/>
      <protection locked="0"/>
    </xf>
    <xf numFmtId="169" fontId="21" fillId="0" borderId="22" xfId="6" applyNumberFormat="1" applyFont="1" applyFill="1" applyBorder="1" applyAlignment="1">
      <alignment horizontal="center"/>
    </xf>
    <xf numFmtId="0" fontId="31" fillId="0" borderId="0" xfId="0" applyFont="1" applyAlignment="1">
      <alignment vertical="center"/>
    </xf>
    <xf numFmtId="0" fontId="31" fillId="0" borderId="0" xfId="0" applyFont="1" applyAlignment="1">
      <alignment wrapText="1"/>
    </xf>
    <xf numFmtId="0" fontId="20" fillId="0" borderId="0" xfId="0" applyFont="1" applyAlignment="1">
      <alignment horizontal="left" indent="1"/>
    </xf>
    <xf numFmtId="0" fontId="22" fillId="0" borderId="0" xfId="0" applyFont="1" applyAlignment="1">
      <alignment horizontal="left" indent="1"/>
    </xf>
    <xf numFmtId="0" fontId="20" fillId="0" borderId="0" xfId="0" applyFont="1" applyAlignment="1">
      <alignment vertical="center"/>
    </xf>
    <xf numFmtId="9" fontId="20" fillId="4" borderId="14" xfId="4" applyFont="1" applyFill="1" applyBorder="1" applyAlignment="1" applyProtection="1">
      <alignment horizontal="right" vertical="top" wrapText="1" indent="1"/>
      <protection locked="0"/>
    </xf>
    <xf numFmtId="9" fontId="20" fillId="4" borderId="17" xfId="4" applyFont="1" applyFill="1" applyBorder="1" applyAlignment="1" applyProtection="1">
      <alignment horizontal="right" wrapText="1" indent="1"/>
      <protection locked="0"/>
    </xf>
    <xf numFmtId="9" fontId="20" fillId="4" borderId="14" xfId="4" applyFont="1" applyFill="1" applyBorder="1" applyAlignment="1" applyProtection="1">
      <alignment horizontal="right" vertical="top" indent="1"/>
      <protection locked="0"/>
    </xf>
    <xf numFmtId="9" fontId="20" fillId="4" borderId="22" xfId="4" applyFont="1" applyFill="1" applyBorder="1" applyAlignment="1" applyProtection="1">
      <alignment horizontal="right" vertical="top" wrapText="1" indent="1"/>
      <protection locked="0"/>
    </xf>
    <xf numFmtId="9" fontId="20" fillId="4" borderId="73" xfId="4" applyFont="1" applyFill="1" applyBorder="1" applyAlignment="1" applyProtection="1">
      <alignment horizontal="right" vertical="top" wrapText="1" indent="1"/>
      <protection locked="0"/>
    </xf>
    <xf numFmtId="9" fontId="20" fillId="4" borderId="17" xfId="4" applyFont="1" applyFill="1" applyBorder="1" applyAlignment="1" applyProtection="1">
      <alignment horizontal="right" vertical="top" indent="1"/>
      <protection locked="0"/>
    </xf>
    <xf numFmtId="2" fontId="30" fillId="15" borderId="124" xfId="0" applyNumberFormat="1" applyFont="1" applyFill="1" applyBorder="1"/>
    <xf numFmtId="0" fontId="30" fillId="15" borderId="124" xfId="0" applyFont="1" applyFill="1" applyBorder="1"/>
    <xf numFmtId="3" fontId="30" fillId="15" borderId="124" xfId="0" applyNumberFormat="1" applyFont="1" applyFill="1" applyBorder="1" applyAlignment="1">
      <alignment vertical="top"/>
    </xf>
    <xf numFmtId="10" fontId="30" fillId="15" borderId="124" xfId="0" applyNumberFormat="1" applyFont="1" applyFill="1" applyBorder="1" applyAlignment="1">
      <alignment vertical="top"/>
    </xf>
    <xf numFmtId="9" fontId="30" fillId="15" borderId="124" xfId="0" applyNumberFormat="1" applyFont="1" applyFill="1" applyBorder="1" applyAlignment="1">
      <alignment horizontal="right" indent="1"/>
    </xf>
    <xf numFmtId="10" fontId="30" fillId="15" borderId="20" xfId="0" applyNumberFormat="1" applyFont="1" applyFill="1" applyBorder="1" applyAlignment="1">
      <alignment horizontal="right" indent="1"/>
    </xf>
    <xf numFmtId="0" fontId="30" fillId="15" borderId="124" xfId="0" applyFont="1" applyFill="1" applyBorder="1" applyAlignment="1">
      <alignment horizontal="right"/>
    </xf>
    <xf numFmtId="9" fontId="20" fillId="13" borderId="20" xfId="0" applyNumberFormat="1" applyFont="1" applyFill="1" applyBorder="1" applyAlignment="1" applyProtection="1">
      <alignment horizontal="center"/>
      <protection locked="0"/>
    </xf>
    <xf numFmtId="9" fontId="20" fillId="13" borderId="5" xfId="0" applyNumberFormat="1" applyFont="1" applyFill="1" applyBorder="1" applyAlignment="1" applyProtection="1">
      <alignment horizontal="center"/>
      <protection locked="0"/>
    </xf>
    <xf numFmtId="2" fontId="27" fillId="13" borderId="100" xfId="0" applyNumberFormat="1" applyFont="1" applyFill="1" applyBorder="1" applyAlignment="1" applyProtection="1">
      <alignment horizontal="right" wrapText="1" indent="1"/>
      <protection locked="0"/>
    </xf>
    <xf numFmtId="9" fontId="27" fillId="13" borderId="100" xfId="4" applyFont="1" applyFill="1" applyBorder="1" applyAlignment="1" applyProtection="1">
      <alignment horizontal="right" wrapText="1" indent="1"/>
      <protection locked="0"/>
    </xf>
    <xf numFmtId="2" fontId="30" fillId="15" borderId="0" xfId="0" applyNumberFormat="1" applyFont="1" applyFill="1" applyBorder="1" applyAlignment="1" applyProtection="1">
      <alignment horizontal="right" indent="1"/>
    </xf>
    <xf numFmtId="9" fontId="30" fillId="15" borderId="0" xfId="4" applyFont="1" applyFill="1" applyBorder="1" applyAlignment="1" applyProtection="1">
      <alignment horizontal="right" indent="2"/>
    </xf>
    <xf numFmtId="0" fontId="21" fillId="0" borderId="0" xfId="0" applyFont="1" applyProtection="1"/>
    <xf numFmtId="0" fontId="18" fillId="14" borderId="20" xfId="0" applyFont="1" applyFill="1" applyBorder="1" applyProtection="1"/>
    <xf numFmtId="0" fontId="18" fillId="0" borderId="0" xfId="0" applyFont="1" applyBorder="1" applyProtection="1"/>
    <xf numFmtId="0" fontId="18" fillId="0" borderId="0" xfId="0" applyFont="1" applyProtection="1"/>
    <xf numFmtId="0" fontId="20" fillId="2" borderId="101" xfId="0" applyFont="1" applyFill="1" applyBorder="1" applyAlignment="1" applyProtection="1">
      <alignment vertical="top" wrapText="1"/>
    </xf>
    <xf numFmtId="0" fontId="20" fillId="2" borderId="102" xfId="0" applyFont="1" applyFill="1" applyBorder="1" applyAlignment="1" applyProtection="1">
      <alignment vertical="top" wrapText="1"/>
    </xf>
    <xf numFmtId="0" fontId="20" fillId="0" borderId="93" xfId="0" applyFont="1" applyBorder="1" applyProtection="1"/>
    <xf numFmtId="0" fontId="20" fillId="0" borderId="36" xfId="0" applyFont="1" applyBorder="1" applyAlignment="1" applyProtection="1">
      <alignment vertical="top"/>
    </xf>
    <xf numFmtId="3" fontId="21" fillId="0" borderId="91" xfId="4" applyNumberFormat="1" applyFont="1" applyBorder="1" applyAlignment="1" applyProtection="1">
      <alignment horizontal="right" indent="1"/>
    </xf>
    <xf numFmtId="168" fontId="21" fillId="0" borderId="36" xfId="4" applyNumberFormat="1" applyFont="1" applyBorder="1" applyAlignment="1" applyProtection="1">
      <alignment horizontal="right" indent="1"/>
    </xf>
    <xf numFmtId="0" fontId="20" fillId="0" borderId="55" xfId="0" applyFont="1" applyBorder="1" applyProtection="1"/>
    <xf numFmtId="0" fontId="20" fillId="0" borderId="38" xfId="0" applyFont="1" applyBorder="1" applyAlignment="1" applyProtection="1">
      <alignment vertical="top"/>
    </xf>
    <xf numFmtId="3" fontId="21" fillId="0" borderId="92" xfId="4" applyNumberFormat="1" applyFont="1" applyBorder="1" applyAlignment="1" applyProtection="1">
      <alignment horizontal="right" indent="1"/>
    </xf>
    <xf numFmtId="168" fontId="21" fillId="0" borderId="38" xfId="4" applyNumberFormat="1" applyFont="1" applyBorder="1" applyAlignment="1" applyProtection="1">
      <alignment horizontal="right" indent="1"/>
    </xf>
    <xf numFmtId="0" fontId="20" fillId="0" borderId="38" xfId="0" applyFont="1" applyBorder="1" applyProtection="1"/>
    <xf numFmtId="0" fontId="20" fillId="0" borderId="120" xfId="0" applyFont="1" applyBorder="1" applyProtection="1"/>
    <xf numFmtId="0" fontId="20" fillId="0" borderId="103" xfId="0" applyFont="1" applyBorder="1" applyProtection="1"/>
    <xf numFmtId="3" fontId="21" fillId="0" borderId="104" xfId="4" applyNumberFormat="1" applyFont="1" applyBorder="1" applyAlignment="1" applyProtection="1">
      <alignment horizontal="right" indent="1"/>
    </xf>
    <xf numFmtId="168" fontId="21" fillId="0" borderId="103" xfId="4" applyNumberFormat="1" applyFont="1" applyBorder="1" applyAlignment="1" applyProtection="1">
      <alignment horizontal="right" indent="1"/>
    </xf>
    <xf numFmtId="0" fontId="20" fillId="0" borderId="112" xfId="0" applyFont="1" applyBorder="1" applyProtection="1"/>
    <xf numFmtId="3" fontId="21" fillId="0" borderId="111" xfId="4" applyNumberFormat="1" applyFont="1" applyBorder="1" applyAlignment="1" applyProtection="1">
      <alignment horizontal="right" indent="1"/>
    </xf>
    <xf numFmtId="168" fontId="21" fillId="0" borderId="112" xfId="4" applyNumberFormat="1" applyFont="1" applyBorder="1" applyAlignment="1" applyProtection="1">
      <alignment horizontal="right" indent="1"/>
    </xf>
    <xf numFmtId="3" fontId="21" fillId="0" borderId="55" xfId="4" applyNumberFormat="1" applyFont="1" applyBorder="1" applyAlignment="1" applyProtection="1">
      <alignment horizontal="right" indent="1"/>
    </xf>
    <xf numFmtId="168" fontId="21" fillId="0" borderId="61" xfId="4" applyNumberFormat="1" applyFont="1" applyBorder="1" applyAlignment="1" applyProtection="1">
      <alignment horizontal="right" indent="1"/>
    </xf>
    <xf numFmtId="0" fontId="21" fillId="0" borderId="55" xfId="0" applyFont="1" applyBorder="1" applyProtection="1"/>
    <xf numFmtId="0" fontId="21" fillId="0" borderId="61" xfId="0" applyFont="1" applyBorder="1" applyProtection="1"/>
    <xf numFmtId="0" fontId="21" fillId="0" borderId="105" xfId="0" applyFont="1" applyBorder="1" applyProtection="1"/>
    <xf numFmtId="0" fontId="20" fillId="0" borderId="106" xfId="0" applyFont="1" applyBorder="1" applyAlignment="1" applyProtection="1">
      <alignment vertical="top"/>
    </xf>
    <xf numFmtId="3" fontId="20" fillId="0" borderId="105" xfId="0" applyNumberFormat="1" applyFont="1" applyBorder="1" applyAlignment="1" applyProtection="1">
      <alignment horizontal="right" vertical="top" indent="1"/>
    </xf>
    <xf numFmtId="10" fontId="20" fillId="0" borderId="106" xfId="4" applyNumberFormat="1" applyFont="1" applyBorder="1" applyAlignment="1" applyProtection="1">
      <alignment horizontal="right" vertical="top" indent="1"/>
    </xf>
    <xf numFmtId="0" fontId="24" fillId="0" borderId="22" xfId="0" applyFont="1" applyBorder="1" applyProtection="1"/>
    <xf numFmtId="0" fontId="21" fillId="0" borderId="22" xfId="0" applyFont="1" applyBorder="1" applyProtection="1"/>
    <xf numFmtId="0" fontId="21" fillId="0" borderId="0" xfId="0" applyFont="1" applyAlignment="1" applyProtection="1">
      <alignment horizontal="center"/>
    </xf>
    <xf numFmtId="0" fontId="22" fillId="0" borderId="0" xfId="0" applyFont="1" applyProtection="1"/>
    <xf numFmtId="0" fontId="21" fillId="2" borderId="93" xfId="0" applyFont="1" applyFill="1" applyBorder="1" applyAlignment="1" applyProtection="1">
      <alignment vertical="top" wrapText="1"/>
    </xf>
    <xf numFmtId="0" fontId="20" fillId="2" borderId="4" xfId="0" applyFont="1" applyFill="1" applyBorder="1" applyAlignment="1" applyProtection="1">
      <alignment horizontal="center" vertical="top" wrapText="1"/>
    </xf>
    <xf numFmtId="0" fontId="20" fillId="2" borderId="2" xfId="0" applyFont="1" applyFill="1" applyBorder="1" applyAlignment="1" applyProtection="1">
      <alignment horizontal="center" vertical="top" wrapText="1"/>
    </xf>
    <xf numFmtId="0" fontId="20" fillId="2" borderId="3" xfId="0" applyFont="1" applyFill="1" applyBorder="1" applyAlignment="1" applyProtection="1">
      <alignment horizontal="center" vertical="top" wrapText="1"/>
    </xf>
    <xf numFmtId="0" fontId="20" fillId="2" borderId="74" xfId="0" applyFont="1" applyFill="1" applyBorder="1" applyAlignment="1" applyProtection="1">
      <alignment horizontal="center" vertical="top" wrapText="1"/>
    </xf>
    <xf numFmtId="0" fontId="20" fillId="2" borderId="107" xfId="0" applyFont="1" applyFill="1" applyBorder="1" applyAlignment="1" applyProtection="1">
      <alignment horizontal="center" vertical="top" wrapText="1"/>
    </xf>
    <xf numFmtId="0" fontId="20" fillId="2" borderId="46" xfId="0" applyFont="1" applyFill="1" applyBorder="1" applyAlignment="1" applyProtection="1">
      <alignment horizontal="center" vertical="top" wrapText="1"/>
    </xf>
    <xf numFmtId="0" fontId="20" fillId="14" borderId="47" xfId="0" applyFont="1" applyFill="1" applyBorder="1" applyAlignment="1" applyProtection="1">
      <alignment horizontal="center" vertical="top" wrapText="1"/>
    </xf>
    <xf numFmtId="0" fontId="20" fillId="2" borderId="24" xfId="0" applyFont="1" applyFill="1" applyBorder="1" applyAlignment="1" applyProtection="1">
      <alignment horizontal="center" vertical="top" wrapText="1"/>
    </xf>
    <xf numFmtId="0" fontId="20" fillId="0" borderId="93" xfId="0" applyFont="1" applyBorder="1" applyAlignment="1" applyProtection="1">
      <alignment vertical="top"/>
    </xf>
    <xf numFmtId="0" fontId="20" fillId="0" borderId="98" xfId="0" applyFont="1" applyBorder="1" applyAlignment="1" applyProtection="1">
      <alignment vertical="top"/>
    </xf>
    <xf numFmtId="0" fontId="21" fillId="0" borderId="98" xfId="0" applyFont="1" applyBorder="1" applyAlignment="1" applyProtection="1">
      <alignment vertical="top"/>
    </xf>
    <xf numFmtId="0" fontId="21" fillId="0" borderId="98" xfId="0" applyFont="1" applyBorder="1" applyAlignment="1" applyProtection="1">
      <alignment horizontal="right" vertical="top" indent="1"/>
    </xf>
    <xf numFmtId="169" fontId="21" fillId="8" borderId="103" xfId="1" applyNumberFormat="1" applyFont="1" applyFill="1" applyBorder="1" applyAlignment="1" applyProtection="1">
      <alignment vertical="top"/>
    </xf>
    <xf numFmtId="3" fontId="21" fillId="0" borderId="104" xfId="0" applyNumberFormat="1" applyFont="1" applyBorder="1" applyAlignment="1" applyProtection="1">
      <alignment horizontal="right" vertical="top" indent="1"/>
    </xf>
    <xf numFmtId="3" fontId="21" fillId="0" borderId="98" xfId="0" applyNumberFormat="1" applyFont="1" applyBorder="1" applyAlignment="1" applyProtection="1">
      <alignment horizontal="right" vertical="top" indent="1"/>
    </xf>
    <xf numFmtId="169" fontId="20" fillId="14" borderId="103" xfId="1" applyNumberFormat="1" applyFont="1" applyFill="1" applyBorder="1" applyAlignment="1" applyProtection="1">
      <alignment horizontal="right" vertical="top" indent="1"/>
    </xf>
    <xf numFmtId="169" fontId="20" fillId="15" borderId="103" xfId="1" applyNumberFormat="1" applyFont="1" applyFill="1" applyBorder="1" applyAlignment="1" applyProtection="1">
      <alignment horizontal="right" vertical="top" indent="1"/>
    </xf>
    <xf numFmtId="0" fontId="20" fillId="0" borderId="55" xfId="0" applyFont="1" applyBorder="1" applyAlignment="1" applyProtection="1">
      <alignment vertical="top"/>
    </xf>
    <xf numFmtId="0" fontId="20" fillId="0" borderId="14" xfId="0" applyFont="1" applyBorder="1" applyAlignment="1" applyProtection="1">
      <alignment vertical="top"/>
    </xf>
    <xf numFmtId="0" fontId="21" fillId="0" borderId="14" xfId="0" applyFont="1" applyBorder="1" applyAlignment="1" applyProtection="1">
      <alignment vertical="top"/>
    </xf>
    <xf numFmtId="0" fontId="21" fillId="0" borderId="14" xfId="0" applyFont="1" applyBorder="1" applyAlignment="1" applyProtection="1">
      <alignment horizontal="right" vertical="top" indent="1"/>
    </xf>
    <xf numFmtId="169" fontId="21" fillId="8" borderId="37" xfId="1" applyNumberFormat="1" applyFont="1" applyFill="1" applyBorder="1" applyAlignment="1" applyProtection="1">
      <alignment vertical="top"/>
    </xf>
    <xf numFmtId="3" fontId="21" fillId="0" borderId="94" xfId="0" applyNumberFormat="1" applyFont="1" applyBorder="1" applyAlignment="1" applyProtection="1">
      <alignment horizontal="right" vertical="top" indent="1"/>
    </xf>
    <xf numFmtId="3" fontId="21" fillId="0" borderId="14" xfId="0" applyNumberFormat="1" applyFont="1" applyBorder="1" applyAlignment="1" applyProtection="1">
      <alignment horizontal="right" vertical="top" indent="1"/>
    </xf>
    <xf numFmtId="169" fontId="20" fillId="14" borderId="37" xfId="1" applyNumberFormat="1" applyFont="1" applyFill="1" applyBorder="1" applyAlignment="1" applyProtection="1">
      <alignment horizontal="right" vertical="top" indent="1"/>
    </xf>
    <xf numFmtId="169" fontId="20" fillId="15" borderId="37" xfId="1" applyNumberFormat="1" applyFont="1" applyFill="1" applyBorder="1" applyAlignment="1" applyProtection="1">
      <alignment horizontal="right" vertical="top" indent="1"/>
    </xf>
    <xf numFmtId="0" fontId="21" fillId="0" borderId="55" xfId="0" applyFont="1" applyBorder="1" applyAlignment="1" applyProtection="1">
      <alignment vertical="top"/>
    </xf>
    <xf numFmtId="0" fontId="20" fillId="0" borderId="16" xfId="0" applyFont="1" applyBorder="1" applyAlignment="1" applyProtection="1">
      <alignment vertical="top"/>
    </xf>
    <xf numFmtId="0" fontId="21" fillId="0" borderId="16" xfId="0" applyFont="1" applyBorder="1" applyAlignment="1" applyProtection="1">
      <alignment vertical="top"/>
    </xf>
    <xf numFmtId="0" fontId="21" fillId="0" borderId="16" xfId="0" applyFont="1" applyBorder="1" applyAlignment="1" applyProtection="1">
      <alignment horizontal="right" vertical="top" indent="1"/>
    </xf>
    <xf numFmtId="169" fontId="21" fillId="8" borderId="38" xfId="1" applyNumberFormat="1" applyFont="1" applyFill="1" applyBorder="1" applyAlignment="1" applyProtection="1">
      <alignment vertical="top"/>
    </xf>
    <xf numFmtId="3" fontId="21" fillId="0" borderId="92" xfId="0" applyNumberFormat="1" applyFont="1" applyBorder="1" applyAlignment="1" applyProtection="1">
      <alignment horizontal="right" vertical="top" indent="1"/>
    </xf>
    <xf numFmtId="3" fontId="21" fillId="0" borderId="16" xfId="0" applyNumberFormat="1" applyFont="1" applyBorder="1" applyAlignment="1" applyProtection="1">
      <alignment horizontal="right" vertical="top" indent="1"/>
    </xf>
    <xf numFmtId="169" fontId="20" fillId="14" borderId="38" xfId="1" applyNumberFormat="1" applyFont="1" applyFill="1" applyBorder="1" applyAlignment="1" applyProtection="1">
      <alignment horizontal="right" vertical="top" indent="1"/>
    </xf>
    <xf numFmtId="169" fontId="20" fillId="15" borderId="38" xfId="1" applyNumberFormat="1" applyFont="1" applyFill="1" applyBorder="1" applyAlignment="1" applyProtection="1">
      <alignment horizontal="right" vertical="top" indent="1"/>
    </xf>
    <xf numFmtId="0" fontId="20" fillId="0" borderId="78" xfId="0" applyFont="1" applyBorder="1" applyAlignment="1" applyProtection="1">
      <alignment vertical="top"/>
    </xf>
    <xf numFmtId="0" fontId="20" fillId="0" borderId="22" xfId="0" applyFont="1" applyBorder="1" applyAlignment="1" applyProtection="1">
      <alignment vertical="top"/>
    </xf>
    <xf numFmtId="0" fontId="21" fillId="0" borderId="22" xfId="0" applyFont="1" applyBorder="1" applyAlignment="1" applyProtection="1">
      <alignment vertical="top"/>
    </xf>
    <xf numFmtId="0" fontId="21" fillId="0" borderId="22" xfId="0" applyFont="1" applyBorder="1" applyAlignment="1" applyProtection="1">
      <alignment horizontal="right" vertical="top" indent="1"/>
    </xf>
    <xf numFmtId="169" fontId="21" fillId="8" borderId="79" xfId="1" applyNumberFormat="1" applyFont="1" applyFill="1" applyBorder="1" applyAlignment="1" applyProtection="1">
      <alignment vertical="top"/>
    </xf>
    <xf numFmtId="3" fontId="21" fillId="0" borderId="78" xfId="0" applyNumberFormat="1" applyFont="1" applyBorder="1" applyAlignment="1" applyProtection="1">
      <alignment horizontal="right" vertical="top" indent="1"/>
    </xf>
    <xf numFmtId="3" fontId="21" fillId="0" borderId="22" xfId="0" applyNumberFormat="1" applyFont="1" applyBorder="1" applyAlignment="1" applyProtection="1">
      <alignment horizontal="right" vertical="top" indent="1"/>
    </xf>
    <xf numFmtId="169" fontId="20" fillId="14" borderId="79" xfId="1" applyNumberFormat="1" applyFont="1" applyFill="1" applyBorder="1" applyAlignment="1" applyProtection="1">
      <alignment horizontal="right" vertical="top" indent="1"/>
    </xf>
    <xf numFmtId="169" fontId="20" fillId="15" borderId="79" xfId="1" applyNumberFormat="1" applyFont="1" applyFill="1" applyBorder="1" applyAlignment="1" applyProtection="1">
      <alignment horizontal="right" vertical="top" indent="1"/>
    </xf>
    <xf numFmtId="0" fontId="21" fillId="0" borderId="78" xfId="0" applyFont="1" applyBorder="1" applyAlignment="1" applyProtection="1">
      <alignment vertical="top"/>
    </xf>
    <xf numFmtId="0" fontId="20" fillId="0" borderId="74" xfId="0" applyFont="1" applyBorder="1" applyAlignment="1" applyProtection="1">
      <alignment vertical="top" wrapText="1"/>
    </xf>
    <xf numFmtId="0" fontId="20" fillId="0" borderId="20" xfId="0" applyFont="1" applyBorder="1" applyAlignment="1" applyProtection="1">
      <alignment vertical="top"/>
    </xf>
    <xf numFmtId="0" fontId="21" fillId="0" borderId="20" xfId="0" applyFont="1" applyBorder="1" applyAlignment="1" applyProtection="1">
      <alignment vertical="top"/>
    </xf>
    <xf numFmtId="0" fontId="21" fillId="0" borderId="20" xfId="0" applyFont="1" applyBorder="1" applyAlignment="1" applyProtection="1">
      <alignment horizontal="right" vertical="top" indent="1"/>
    </xf>
    <xf numFmtId="169" fontId="21" fillId="8" borderId="27" xfId="1" applyNumberFormat="1" applyFont="1" applyFill="1" applyBorder="1" applyAlignment="1" applyProtection="1">
      <alignment vertical="top"/>
    </xf>
    <xf numFmtId="3" fontId="21" fillId="0" borderId="74" xfId="0" applyNumberFormat="1" applyFont="1" applyBorder="1" applyAlignment="1" applyProtection="1">
      <alignment horizontal="right" vertical="top" indent="1"/>
    </xf>
    <xf numFmtId="3" fontId="21" fillId="0" borderId="20" xfId="0" applyNumberFormat="1" applyFont="1" applyBorder="1" applyAlignment="1" applyProtection="1">
      <alignment horizontal="right" vertical="top" indent="1"/>
    </xf>
    <xf numFmtId="0" fontId="21" fillId="0" borderId="0" xfId="0" applyFont="1" applyAlignment="1" applyProtection="1">
      <alignment horizontal="right" indent="1"/>
    </xf>
    <xf numFmtId="169" fontId="29" fillId="5" borderId="24" xfId="1" applyNumberFormat="1" applyFont="1" applyFill="1" applyBorder="1" applyAlignment="1" applyProtection="1">
      <alignment horizontal="right" vertical="top" indent="1"/>
    </xf>
    <xf numFmtId="169" fontId="30" fillId="5" borderId="24" xfId="0" applyNumberFormat="1" applyFont="1" applyFill="1" applyBorder="1" applyAlignment="1" applyProtection="1">
      <alignment horizontal="right" indent="1"/>
    </xf>
    <xf numFmtId="0" fontId="20" fillId="0" borderId="22" xfId="0" applyFont="1" applyBorder="1" applyProtection="1"/>
    <xf numFmtId="0" fontId="21" fillId="0" borderId="0" xfId="0" applyFont="1" applyAlignment="1" applyProtection="1">
      <alignment horizontal="center" vertical="center"/>
    </xf>
    <xf numFmtId="0" fontId="22" fillId="0" borderId="0" xfId="0" applyFont="1" applyAlignment="1" applyProtection="1">
      <alignment wrapText="1"/>
    </xf>
    <xf numFmtId="0" fontId="19" fillId="0" borderId="0" xfId="0" applyFont="1" applyAlignment="1" applyProtection="1">
      <alignment horizontal="left" vertical="center" indent="1"/>
    </xf>
    <xf numFmtId="0" fontId="21" fillId="0" borderId="93" xfId="0" applyFont="1" applyBorder="1" applyProtection="1"/>
    <xf numFmtId="0" fontId="29" fillId="5" borderId="55" xfId="0" applyFont="1" applyFill="1" applyBorder="1" applyAlignment="1" applyProtection="1">
      <alignment horizontal="center"/>
    </xf>
    <xf numFmtId="0" fontId="29" fillId="5" borderId="61" xfId="0" applyFont="1" applyFill="1" applyBorder="1" applyAlignment="1" applyProtection="1">
      <alignment horizontal="center"/>
    </xf>
    <xf numFmtId="0" fontId="20" fillId="2" borderId="27" xfId="0" applyFont="1" applyFill="1" applyBorder="1" applyAlignment="1" applyProtection="1">
      <alignment vertical="top" wrapText="1"/>
    </xf>
    <xf numFmtId="168" fontId="20" fillId="0" borderId="36" xfId="4" applyNumberFormat="1" applyFont="1" applyBorder="1" applyProtection="1"/>
    <xf numFmtId="1" fontId="21" fillId="0" borderId="91" xfId="4" applyNumberFormat="1" applyFont="1" applyBorder="1" applyAlignment="1" applyProtection="1">
      <alignment horizontal="right" indent="1"/>
    </xf>
    <xf numFmtId="168" fontId="20" fillId="0" borderId="38" xfId="4" applyNumberFormat="1" applyFont="1" applyBorder="1" applyProtection="1"/>
    <xf numFmtId="1" fontId="21" fillId="0" borderId="92" xfId="4" applyNumberFormat="1" applyFont="1" applyBorder="1" applyAlignment="1" applyProtection="1">
      <alignment horizontal="right" indent="1"/>
    </xf>
    <xf numFmtId="166" fontId="21" fillId="0" borderId="92" xfId="4" applyNumberFormat="1" applyFont="1" applyBorder="1" applyAlignment="1" applyProtection="1">
      <alignment horizontal="right" indent="1"/>
    </xf>
    <xf numFmtId="168" fontId="20" fillId="0" borderId="103" xfId="4" applyNumberFormat="1" applyFont="1" applyBorder="1" applyProtection="1"/>
    <xf numFmtId="1" fontId="21" fillId="0" borderId="104" xfId="4" applyNumberFormat="1" applyFont="1" applyBorder="1" applyAlignment="1" applyProtection="1">
      <alignment horizontal="right" indent="1"/>
    </xf>
    <xf numFmtId="1" fontId="20" fillId="0" borderId="105" xfId="0" applyNumberFormat="1" applyFont="1" applyBorder="1" applyAlignment="1" applyProtection="1">
      <alignment horizontal="right" vertical="top" indent="1"/>
    </xf>
    <xf numFmtId="0" fontId="20" fillId="0" borderId="106" xfId="0" applyFont="1" applyBorder="1" applyAlignment="1" applyProtection="1">
      <alignment horizontal="right" vertical="top" indent="1"/>
    </xf>
    <xf numFmtId="0" fontId="19" fillId="0" borderId="0" xfId="0" applyFont="1" applyProtection="1"/>
    <xf numFmtId="0" fontId="20" fillId="2" borderId="1" xfId="0" applyFont="1" applyFill="1" applyBorder="1" applyAlignment="1" applyProtection="1">
      <alignment horizontal="center" vertical="center" wrapText="1"/>
    </xf>
    <xf numFmtId="0" fontId="20" fillId="2" borderId="2" xfId="0" applyFont="1" applyFill="1" applyBorder="1" applyAlignment="1" applyProtection="1">
      <alignment horizontal="center" vertical="center" wrapText="1"/>
    </xf>
    <xf numFmtId="0" fontId="20" fillId="2" borderId="54" xfId="0" applyFont="1" applyFill="1" applyBorder="1" applyAlignment="1" applyProtection="1">
      <alignment horizontal="center" vertical="center" wrapText="1"/>
    </xf>
    <xf numFmtId="0" fontId="14" fillId="0" borderId="6" xfId="3" applyFont="1" applyBorder="1" applyAlignment="1" applyProtection="1">
      <alignment horizontal="left" vertical="center" indent="1"/>
    </xf>
    <xf numFmtId="0" fontId="15" fillId="0" borderId="7" xfId="3" applyFont="1" applyBorder="1" applyAlignment="1" applyProtection="1">
      <alignment horizontal="left" vertical="center" wrapText="1" indent="1"/>
    </xf>
    <xf numFmtId="0" fontId="15" fillId="0" borderId="7" xfId="3" applyFont="1" applyBorder="1" applyAlignment="1" applyProtection="1">
      <alignment vertical="center"/>
    </xf>
    <xf numFmtId="0" fontId="21" fillId="0" borderId="7" xfId="0" applyFont="1" applyBorder="1" applyAlignment="1" applyProtection="1">
      <alignment vertical="center"/>
    </xf>
    <xf numFmtId="0" fontId="20" fillId="23" borderId="7" xfId="0" applyFont="1" applyFill="1" applyBorder="1" applyAlignment="1" applyProtection="1">
      <alignment horizontal="right" vertical="center" indent="1"/>
    </xf>
    <xf numFmtId="0" fontId="20" fillId="23" borderId="81" xfId="0" applyFont="1" applyFill="1" applyBorder="1" applyAlignment="1" applyProtection="1">
      <alignment horizontal="right" vertical="center" indent="1"/>
    </xf>
    <xf numFmtId="169" fontId="21" fillId="23" borderId="8" xfId="1" applyNumberFormat="1" applyFont="1" applyFill="1" applyBorder="1" applyAlignment="1" applyProtection="1">
      <alignment vertical="top"/>
    </xf>
    <xf numFmtId="3" fontId="21" fillId="0" borderId="6" xfId="0" applyNumberFormat="1" applyFont="1" applyBorder="1" applyAlignment="1" applyProtection="1">
      <alignment horizontal="right" vertical="center" indent="1"/>
    </xf>
    <xf numFmtId="3" fontId="21" fillId="0" borderId="7" xfId="0" applyNumberFormat="1" applyFont="1" applyBorder="1" applyAlignment="1" applyProtection="1">
      <alignment horizontal="right" vertical="center" indent="1"/>
    </xf>
    <xf numFmtId="169" fontId="20" fillId="14" borderId="8" xfId="0" applyNumberFormat="1" applyFont="1" applyFill="1" applyBorder="1" applyAlignment="1" applyProtection="1">
      <alignment horizontal="right" vertical="center" indent="1"/>
    </xf>
    <xf numFmtId="0" fontId="14" fillId="0" borderId="32" xfId="3" applyFont="1" applyBorder="1" applyAlignment="1" applyProtection="1">
      <alignment horizontal="left" vertical="center" indent="1"/>
    </xf>
    <xf numFmtId="0" fontId="21" fillId="0" borderId="33" xfId="0" applyFont="1" applyBorder="1" applyAlignment="1" applyProtection="1">
      <alignment vertical="center"/>
    </xf>
    <xf numFmtId="0" fontId="20" fillId="23" borderId="33" xfId="0" applyFont="1" applyFill="1" applyBorder="1" applyAlignment="1" applyProtection="1">
      <alignment horizontal="right" vertical="center" indent="1"/>
    </xf>
    <xf numFmtId="0" fontId="20" fillId="23" borderId="82" xfId="0" applyFont="1" applyFill="1" applyBorder="1" applyAlignment="1" applyProtection="1">
      <alignment horizontal="right" vertical="center" indent="1"/>
    </xf>
    <xf numFmtId="169" fontId="21" fillId="23" borderId="58" xfId="1" applyNumberFormat="1" applyFont="1" applyFill="1" applyBorder="1" applyAlignment="1" applyProtection="1">
      <alignment vertical="top"/>
    </xf>
    <xf numFmtId="3" fontId="21" fillId="0" borderId="32" xfId="0" applyNumberFormat="1" applyFont="1" applyBorder="1" applyAlignment="1" applyProtection="1">
      <alignment horizontal="right" vertical="center" indent="1"/>
    </xf>
    <xf numFmtId="3" fontId="21" fillId="0" borderId="33" xfId="0" applyNumberFormat="1" applyFont="1" applyBorder="1" applyAlignment="1" applyProtection="1">
      <alignment horizontal="right" vertical="center" indent="1"/>
    </xf>
    <xf numFmtId="169" fontId="20" fillId="14" borderId="58" xfId="0" applyNumberFormat="1" applyFont="1" applyFill="1" applyBorder="1" applyAlignment="1" applyProtection="1">
      <alignment horizontal="right" vertical="center" indent="1"/>
    </xf>
    <xf numFmtId="0" fontId="14" fillId="0" borderId="9" xfId="3" applyFont="1" applyBorder="1" applyAlignment="1" applyProtection="1">
      <alignment horizontal="left" vertical="center" indent="1"/>
    </xf>
    <xf numFmtId="0" fontId="15" fillId="0" borderId="10" xfId="3" applyFont="1" applyBorder="1" applyAlignment="1" applyProtection="1">
      <alignment vertical="center"/>
    </xf>
    <xf numFmtId="0" fontId="21" fillId="0" borderId="10" xfId="0" applyFont="1" applyBorder="1" applyAlignment="1" applyProtection="1">
      <alignment vertical="center"/>
    </xf>
    <xf numFmtId="0" fontId="20" fillId="23" borderId="10" xfId="0" applyFont="1" applyFill="1" applyBorder="1" applyAlignment="1" applyProtection="1">
      <alignment horizontal="right" vertical="center" indent="1"/>
    </xf>
    <xf numFmtId="0" fontId="20" fillId="23" borderId="83" xfId="0" applyFont="1" applyFill="1" applyBorder="1" applyAlignment="1" applyProtection="1">
      <alignment horizontal="right" vertical="center" indent="1"/>
    </xf>
    <xf numFmtId="3" fontId="21" fillId="0" borderId="9" xfId="0" applyNumberFormat="1" applyFont="1" applyBorder="1" applyAlignment="1" applyProtection="1">
      <alignment horizontal="right" vertical="center" indent="1"/>
    </xf>
    <xf numFmtId="3" fontId="21" fillId="0" borderId="10" xfId="0" applyNumberFormat="1" applyFont="1" applyBorder="1" applyAlignment="1" applyProtection="1">
      <alignment horizontal="right" vertical="center" indent="1"/>
    </xf>
    <xf numFmtId="0" fontId="14" fillId="0" borderId="66" xfId="3" applyFont="1" applyBorder="1" applyAlignment="1" applyProtection="1">
      <alignment horizontal="left" vertical="center" indent="1"/>
    </xf>
    <xf numFmtId="0" fontId="15" fillId="0" borderId="67" xfId="3" applyFont="1" applyBorder="1" applyAlignment="1" applyProtection="1">
      <alignment horizontal="left" vertical="center" wrapText="1" indent="1"/>
    </xf>
    <xf numFmtId="0" fontId="15" fillId="0" borderId="67" xfId="3" applyFont="1" applyBorder="1" applyAlignment="1" applyProtection="1">
      <alignment vertical="center"/>
    </xf>
    <xf numFmtId="0" fontId="14" fillId="0" borderId="118" xfId="3" applyFont="1" applyBorder="1" applyAlignment="1" applyProtection="1">
      <alignment horizontal="left" vertical="center" indent="1"/>
    </xf>
    <xf numFmtId="0" fontId="21" fillId="0" borderId="70" xfId="0" applyFont="1" applyBorder="1" applyAlignment="1" applyProtection="1">
      <alignment vertical="center"/>
    </xf>
    <xf numFmtId="0" fontId="20" fillId="23" borderId="70" xfId="0" applyFont="1" applyFill="1" applyBorder="1" applyAlignment="1" applyProtection="1">
      <alignment horizontal="right" vertical="center" indent="1"/>
    </xf>
    <xf numFmtId="3" fontId="21" fillId="0" borderId="63" xfId="0" applyNumberFormat="1" applyFont="1" applyBorder="1" applyAlignment="1" applyProtection="1">
      <alignment horizontal="right" vertical="center" indent="1"/>
    </xf>
    <xf numFmtId="3" fontId="21" fillId="0" borderId="70" xfId="0" applyNumberFormat="1" applyFont="1" applyBorder="1" applyAlignment="1" applyProtection="1">
      <alignment horizontal="right" vertical="center" indent="1"/>
    </xf>
    <xf numFmtId="169" fontId="20" fillId="14" borderId="72" xfId="0" applyNumberFormat="1" applyFont="1" applyFill="1" applyBorder="1" applyAlignment="1" applyProtection="1">
      <alignment horizontal="right" vertical="center" indent="1"/>
    </xf>
    <xf numFmtId="0" fontId="20" fillId="2" borderId="52" xfId="0" applyFont="1" applyFill="1" applyBorder="1" applyAlignment="1" applyProtection="1">
      <alignment horizontal="center" vertical="top" wrapText="1"/>
    </xf>
    <xf numFmtId="0" fontId="20" fillId="2" borderId="54" xfId="0" applyFont="1" applyFill="1" applyBorder="1" applyAlignment="1" applyProtection="1">
      <alignment horizontal="center" vertical="top" wrapText="1"/>
    </xf>
    <xf numFmtId="0" fontId="20" fillId="14" borderId="3" xfId="0" applyFont="1" applyFill="1" applyBorder="1" applyAlignment="1" applyProtection="1">
      <alignment horizontal="center" vertical="top" wrapText="1"/>
    </xf>
    <xf numFmtId="0" fontId="20" fillId="0" borderId="6" xfId="0" applyFont="1" applyBorder="1" applyAlignment="1" applyProtection="1">
      <alignment horizontal="left" vertical="center" indent="1"/>
    </xf>
    <xf numFmtId="0" fontId="21" fillId="0" borderId="7" xfId="0" applyFont="1" applyBorder="1" applyAlignment="1" applyProtection="1">
      <alignment horizontal="left" vertical="center" wrapText="1" indent="1"/>
    </xf>
    <xf numFmtId="0" fontId="21" fillId="0" borderId="7" xfId="0" applyFont="1" applyBorder="1" applyAlignment="1" applyProtection="1">
      <alignment horizontal="right" vertical="center" indent="1"/>
    </xf>
    <xf numFmtId="0" fontId="21" fillId="0" borderId="81" xfId="0" applyFont="1" applyBorder="1" applyAlignment="1" applyProtection="1">
      <alignment horizontal="right" vertical="center" indent="1"/>
    </xf>
    <xf numFmtId="169" fontId="21" fillId="23" borderId="8" xfId="1" applyNumberFormat="1" applyFont="1" applyFill="1" applyBorder="1" applyAlignment="1" applyProtection="1">
      <alignment vertical="center"/>
    </xf>
    <xf numFmtId="0" fontId="20" fillId="0" borderId="32" xfId="0" applyFont="1" applyBorder="1" applyAlignment="1" applyProtection="1">
      <alignment horizontal="left" vertical="center" indent="1"/>
    </xf>
    <xf numFmtId="0" fontId="21" fillId="0" borderId="33" xfId="0" applyFont="1" applyBorder="1" applyAlignment="1" applyProtection="1">
      <alignment horizontal="left" vertical="center" wrapText="1" indent="1"/>
    </xf>
    <xf numFmtId="0" fontId="21" fillId="0" borderId="33" xfId="0" applyFont="1" applyBorder="1" applyAlignment="1" applyProtection="1">
      <alignment horizontal="right" vertical="center" indent="1"/>
    </xf>
    <xf numFmtId="0" fontId="21" fillId="0" borderId="82" xfId="0" applyFont="1" applyBorder="1" applyAlignment="1" applyProtection="1">
      <alignment horizontal="right" vertical="center" indent="1"/>
    </xf>
    <xf numFmtId="169" fontId="21" fillId="23" borderId="58" xfId="1" applyNumberFormat="1" applyFont="1" applyFill="1" applyBorder="1" applyAlignment="1" applyProtection="1">
      <alignment vertical="center"/>
    </xf>
    <xf numFmtId="0" fontId="20" fillId="0" borderId="9" xfId="0" applyFont="1" applyBorder="1" applyAlignment="1" applyProtection="1">
      <alignment horizontal="left" vertical="center" indent="1"/>
    </xf>
    <xf numFmtId="0" fontId="21" fillId="0" borderId="10" xfId="0" applyFont="1" applyBorder="1" applyAlignment="1" applyProtection="1">
      <alignment horizontal="left" vertical="center" wrapText="1" indent="1"/>
    </xf>
    <xf numFmtId="0" fontId="21" fillId="0" borderId="10" xfId="0" applyFont="1" applyBorder="1" applyAlignment="1" applyProtection="1">
      <alignment horizontal="right" vertical="center" indent="1"/>
    </xf>
    <xf numFmtId="0" fontId="21" fillId="0" borderId="83" xfId="0" applyFont="1" applyBorder="1" applyAlignment="1" applyProtection="1">
      <alignment horizontal="right" vertical="center" indent="1"/>
    </xf>
    <xf numFmtId="0" fontId="20" fillId="0" borderId="11" xfId="0" applyFont="1" applyBorder="1" applyAlignment="1" applyProtection="1">
      <alignment horizontal="left" vertical="center" indent="1"/>
    </xf>
    <xf numFmtId="0" fontId="21" fillId="0" borderId="12" xfId="0" applyFont="1" applyBorder="1" applyAlignment="1" applyProtection="1">
      <alignment horizontal="left" vertical="center" wrapText="1" indent="1"/>
    </xf>
    <xf numFmtId="0" fontId="21" fillId="0" borderId="12" xfId="0" applyFont="1" applyBorder="1" applyAlignment="1" applyProtection="1">
      <alignment vertical="center"/>
    </xf>
    <xf numFmtId="0" fontId="21" fillId="0" borderId="12" xfId="0" applyFont="1" applyBorder="1" applyAlignment="1" applyProtection="1">
      <alignment horizontal="right" vertical="center" indent="1"/>
    </xf>
    <xf numFmtId="0" fontId="21" fillId="0" borderId="84" xfId="0" applyFont="1" applyBorder="1" applyAlignment="1" applyProtection="1">
      <alignment horizontal="right" vertical="center" indent="1"/>
    </xf>
    <xf numFmtId="169" fontId="21" fillId="23" borderId="13" xfId="1" applyNumberFormat="1" applyFont="1" applyFill="1" applyBorder="1" applyAlignment="1" applyProtection="1">
      <alignment vertical="center"/>
    </xf>
    <xf numFmtId="3" fontId="21" fillId="0" borderId="11" xfId="0" applyNumberFormat="1" applyFont="1" applyBorder="1" applyAlignment="1" applyProtection="1">
      <alignment horizontal="right" vertical="center" indent="1"/>
    </xf>
    <xf numFmtId="3" fontId="21" fillId="0" borderId="12" xfId="0" applyNumberFormat="1" applyFont="1" applyBorder="1" applyAlignment="1" applyProtection="1">
      <alignment horizontal="right" vertical="center" indent="1"/>
    </xf>
    <xf numFmtId="169" fontId="20" fillId="14" borderId="13" xfId="0" applyNumberFormat="1" applyFont="1" applyFill="1" applyBorder="1" applyAlignment="1" applyProtection="1">
      <alignment horizontal="right" vertical="center" indent="1"/>
    </xf>
    <xf numFmtId="169" fontId="29" fillId="5" borderId="24" xfId="1" applyNumberFormat="1" applyFont="1" applyFill="1" applyBorder="1" applyAlignment="1" applyProtection="1">
      <alignment vertical="top"/>
    </xf>
    <xf numFmtId="169" fontId="30" fillId="5" borderId="24" xfId="0" applyNumberFormat="1" applyFont="1" applyFill="1" applyBorder="1" applyProtection="1"/>
    <xf numFmtId="0" fontId="24" fillId="0" borderId="22" xfId="0" applyFont="1" applyBorder="1" applyAlignment="1" applyProtection="1">
      <alignment horizontal="left" indent="1"/>
    </xf>
    <xf numFmtId="0" fontId="22" fillId="0" borderId="22" xfId="0" applyFont="1" applyBorder="1" applyProtection="1"/>
    <xf numFmtId="0" fontId="45" fillId="0" borderId="0" xfId="0" applyFont="1" applyProtection="1"/>
    <xf numFmtId="0" fontId="47" fillId="0" borderId="0" xfId="0" applyFont="1" applyProtection="1"/>
    <xf numFmtId="0" fontId="21" fillId="2" borderId="87" xfId="0" applyFont="1" applyFill="1" applyBorder="1" applyAlignment="1" applyProtection="1">
      <alignment vertical="top" wrapText="1"/>
    </xf>
    <xf numFmtId="0" fontId="20" fillId="2" borderId="45" xfId="0" applyFont="1" applyFill="1" applyBorder="1" applyAlignment="1" applyProtection="1">
      <alignment horizontal="center" vertical="top" wrapText="1"/>
    </xf>
    <xf numFmtId="0" fontId="20" fillId="2" borderId="25" xfId="0" applyFont="1" applyFill="1" applyBorder="1" applyAlignment="1" applyProtection="1">
      <alignment horizontal="center" vertical="top" wrapText="1"/>
    </xf>
    <xf numFmtId="0" fontId="39" fillId="22" borderId="28" xfId="0" applyFont="1" applyFill="1" applyBorder="1" applyAlignment="1" applyProtection="1">
      <alignment horizontal="left" vertical="top" wrapText="1" indent="1"/>
    </xf>
    <xf numFmtId="0" fontId="20" fillId="2" borderId="87" xfId="0" applyFont="1" applyFill="1" applyBorder="1" applyAlignment="1" applyProtection="1">
      <alignment horizontal="center" vertical="top" wrapText="1"/>
    </xf>
    <xf numFmtId="0" fontId="20" fillId="2" borderId="88" xfId="0" applyFont="1" applyFill="1" applyBorder="1" applyAlignment="1" applyProtection="1">
      <alignment horizontal="center" vertical="top" wrapText="1"/>
    </xf>
    <xf numFmtId="0" fontId="20" fillId="2" borderId="141" xfId="0" applyFont="1" applyFill="1" applyBorder="1" applyAlignment="1" applyProtection="1">
      <alignment horizontal="center" vertical="top" wrapText="1"/>
    </xf>
    <xf numFmtId="0" fontId="20" fillId="14" borderId="89" xfId="0" applyFont="1" applyFill="1" applyBorder="1" applyAlignment="1" applyProtection="1">
      <alignment horizontal="center" vertical="top" wrapText="1"/>
    </xf>
    <xf numFmtId="171" fontId="20" fillId="2" borderId="141" xfId="0" applyNumberFormat="1" applyFont="1" applyFill="1" applyBorder="1" applyAlignment="1" applyProtection="1">
      <alignment horizontal="center" vertical="top" wrapText="1"/>
    </xf>
    <xf numFmtId="0" fontId="20" fillId="2" borderId="35" xfId="0" applyFont="1" applyFill="1" applyBorder="1" applyAlignment="1" applyProtection="1">
      <alignment horizontal="center" vertical="top" wrapText="1"/>
    </xf>
    <xf numFmtId="0" fontId="20" fillId="0" borderId="87" xfId="0" applyFont="1" applyBorder="1" applyAlignment="1" applyProtection="1">
      <alignment horizontal="left" vertical="top" indent="1"/>
    </xf>
    <xf numFmtId="0" fontId="21" fillId="0" borderId="134" xfId="0" applyFont="1" applyBorder="1" applyAlignment="1" applyProtection="1">
      <alignment vertical="top"/>
    </xf>
    <xf numFmtId="169" fontId="21" fillId="23" borderId="135" xfId="1" applyNumberFormat="1" applyFont="1" applyFill="1" applyBorder="1" applyAlignment="1" applyProtection="1">
      <alignment vertical="top"/>
    </xf>
    <xf numFmtId="171" fontId="21" fillId="23" borderId="113" xfId="1" applyNumberFormat="1" applyFont="1" applyFill="1" applyBorder="1" applyAlignment="1" applyProtection="1">
      <alignment horizontal="right" vertical="top" indent="1"/>
    </xf>
    <xf numFmtId="3" fontId="21" fillId="0" borderId="139" xfId="0" applyNumberFormat="1" applyFont="1" applyBorder="1" applyAlignment="1" applyProtection="1">
      <alignment horizontal="right" vertical="top" indent="1"/>
    </xf>
    <xf numFmtId="3" fontId="21" fillId="0" borderId="134" xfId="0" applyNumberFormat="1" applyFont="1" applyBorder="1" applyAlignment="1" applyProtection="1">
      <alignment horizontal="right" vertical="top" indent="1"/>
    </xf>
    <xf numFmtId="3" fontId="21" fillId="16" borderId="138" xfId="0" applyNumberFormat="1" applyFont="1" applyFill="1" applyBorder="1" applyAlignment="1" applyProtection="1">
      <alignment horizontal="right" vertical="top" indent="1"/>
    </xf>
    <xf numFmtId="169" fontId="20" fillId="14" borderId="135" xfId="1" applyNumberFormat="1" applyFont="1" applyFill="1" applyBorder="1" applyAlignment="1" applyProtection="1">
      <alignment horizontal="right" vertical="top" indent="1"/>
    </xf>
    <xf numFmtId="0" fontId="21" fillId="0" borderId="118" xfId="0" applyFont="1" applyBorder="1" applyAlignment="1" applyProtection="1">
      <alignment vertical="top"/>
    </xf>
    <xf numFmtId="0" fontId="21" fillId="0" borderId="10" xfId="0" applyFont="1" applyBorder="1" applyAlignment="1" applyProtection="1">
      <alignment vertical="top"/>
    </xf>
    <xf numFmtId="171" fontId="21" fillId="23" borderId="64" xfId="1" applyNumberFormat="1" applyFont="1" applyFill="1" applyBorder="1" applyAlignment="1" applyProtection="1">
      <alignment horizontal="right" vertical="top" indent="1"/>
    </xf>
    <xf numFmtId="3" fontId="21" fillId="0" borderId="9" xfId="0" applyNumberFormat="1" applyFont="1" applyBorder="1" applyAlignment="1" applyProtection="1">
      <alignment horizontal="right" vertical="top" indent="1"/>
    </xf>
    <xf numFmtId="3" fontId="21" fillId="0" borderId="10" xfId="0" applyNumberFormat="1" applyFont="1" applyBorder="1" applyAlignment="1" applyProtection="1">
      <alignment horizontal="right" vertical="top" indent="1"/>
    </xf>
    <xf numFmtId="3" fontId="21" fillId="16" borderId="83" xfId="0" applyNumberFormat="1" applyFont="1" applyFill="1" applyBorder="1" applyAlignment="1" applyProtection="1">
      <alignment horizontal="right" vertical="top" indent="1"/>
    </xf>
    <xf numFmtId="169" fontId="20" fillId="14" borderId="58" xfId="1" applyNumberFormat="1" applyFont="1" applyFill="1" applyBorder="1" applyAlignment="1" applyProtection="1">
      <alignment horizontal="right" vertical="top" indent="1"/>
    </xf>
    <xf numFmtId="0" fontId="21" fillId="0" borderId="118" xfId="0" applyFont="1" applyBorder="1" applyAlignment="1" applyProtection="1">
      <alignment horizontal="left" vertical="top" indent="1"/>
    </xf>
    <xf numFmtId="0" fontId="21" fillId="0" borderId="70" xfId="0" applyFont="1" applyBorder="1" applyAlignment="1" applyProtection="1">
      <alignment vertical="top"/>
    </xf>
    <xf numFmtId="169" fontId="21" fillId="23" borderId="72" xfId="1" applyNumberFormat="1" applyFont="1" applyFill="1" applyBorder="1" applyAlignment="1" applyProtection="1">
      <alignment vertical="top"/>
    </xf>
    <xf numFmtId="171" fontId="21" fillId="23" borderId="114" xfId="1" applyNumberFormat="1" applyFont="1" applyFill="1" applyBorder="1" applyAlignment="1" applyProtection="1">
      <alignment horizontal="right" vertical="top" indent="1"/>
    </xf>
    <xf numFmtId="3" fontId="21" fillId="0" borderId="63" xfId="0" applyNumberFormat="1" applyFont="1" applyBorder="1" applyAlignment="1" applyProtection="1">
      <alignment horizontal="right" vertical="top" indent="1"/>
    </xf>
    <xf numFmtId="3" fontId="21" fillId="0" borderId="70" xfId="0" applyNumberFormat="1" applyFont="1" applyBorder="1" applyAlignment="1" applyProtection="1">
      <alignment horizontal="right" vertical="top" indent="1"/>
    </xf>
    <xf numFmtId="3" fontId="21" fillId="16" borderId="123" xfId="0" applyNumberFormat="1" applyFont="1" applyFill="1" applyBorder="1" applyAlignment="1" applyProtection="1">
      <alignment horizontal="right" vertical="top" indent="1"/>
    </xf>
    <xf numFmtId="169" fontId="20" fillId="14" borderId="72" xfId="1" applyNumberFormat="1" applyFont="1" applyFill="1" applyBorder="1" applyAlignment="1" applyProtection="1">
      <alignment horizontal="right" vertical="top" indent="1"/>
    </xf>
    <xf numFmtId="0" fontId="20" fillId="0" borderId="118" xfId="0" applyFont="1" applyBorder="1" applyAlignment="1" applyProtection="1">
      <alignment horizontal="left" vertical="top" indent="1"/>
    </xf>
    <xf numFmtId="0" fontId="21" fillId="0" borderId="33" xfId="0" applyFont="1" applyBorder="1" applyAlignment="1" applyProtection="1">
      <alignment vertical="top"/>
    </xf>
    <xf numFmtId="169" fontId="21" fillId="23" borderId="34" xfId="1" applyNumberFormat="1" applyFont="1" applyFill="1" applyBorder="1" applyAlignment="1" applyProtection="1">
      <alignment vertical="top"/>
    </xf>
    <xf numFmtId="171" fontId="21" fillId="23" borderId="65" xfId="1" applyNumberFormat="1" applyFont="1" applyFill="1" applyBorder="1" applyAlignment="1" applyProtection="1">
      <alignment horizontal="right" vertical="top" indent="1"/>
    </xf>
    <xf numFmtId="3" fontId="21" fillId="0" borderId="32" xfId="0" applyNumberFormat="1" applyFont="1" applyBorder="1" applyAlignment="1" applyProtection="1">
      <alignment horizontal="right" vertical="top" indent="1"/>
    </xf>
    <xf numFmtId="3" fontId="21" fillId="0" borderId="33" xfId="0" applyNumberFormat="1" applyFont="1" applyBorder="1" applyAlignment="1" applyProtection="1">
      <alignment horizontal="right" vertical="top" indent="1"/>
    </xf>
    <xf numFmtId="3" fontId="21" fillId="16" borderId="82" xfId="0" applyNumberFormat="1" applyFont="1" applyFill="1" applyBorder="1" applyAlignment="1" applyProtection="1">
      <alignment horizontal="right" vertical="top" indent="1"/>
    </xf>
    <xf numFmtId="169" fontId="20" fillId="14" borderId="34" xfId="1" applyNumberFormat="1" applyFont="1" applyFill="1" applyBorder="1" applyAlignment="1" applyProtection="1">
      <alignment horizontal="right" vertical="top" indent="1"/>
    </xf>
    <xf numFmtId="0" fontId="21" fillId="0" borderId="136" xfId="0" applyFont="1" applyBorder="1" applyAlignment="1" applyProtection="1">
      <alignment horizontal="left" vertical="top" indent="1"/>
    </xf>
    <xf numFmtId="0" fontId="21" fillId="0" borderId="67" xfId="0" applyFont="1" applyBorder="1" applyAlignment="1" applyProtection="1">
      <alignment vertical="top"/>
    </xf>
    <xf numFmtId="169" fontId="21" fillId="23" borderId="69" xfId="1" applyNumberFormat="1" applyFont="1" applyFill="1" applyBorder="1" applyAlignment="1" applyProtection="1">
      <alignment vertical="top"/>
    </xf>
    <xf numFmtId="171" fontId="21" fillId="23" borderId="115" xfId="1" applyNumberFormat="1" applyFont="1" applyFill="1" applyBorder="1" applyAlignment="1" applyProtection="1">
      <alignment horizontal="right" vertical="top" indent="1"/>
    </xf>
    <xf numFmtId="3" fontId="21" fillId="0" borderId="66" xfId="0" applyNumberFormat="1" applyFont="1" applyBorder="1" applyAlignment="1" applyProtection="1">
      <alignment horizontal="right" vertical="top" indent="1"/>
    </xf>
    <xf numFmtId="3" fontId="21" fillId="0" borderId="67" xfId="0" applyNumberFormat="1" applyFont="1" applyBorder="1" applyAlignment="1" applyProtection="1">
      <alignment horizontal="right" vertical="top" indent="1"/>
    </xf>
    <xf numFmtId="3" fontId="21" fillId="16" borderId="122" xfId="0" applyNumberFormat="1" applyFont="1" applyFill="1" applyBorder="1" applyAlignment="1" applyProtection="1">
      <alignment horizontal="right" vertical="top" indent="1"/>
    </xf>
    <xf numFmtId="169" fontId="20" fillId="14" borderId="69" xfId="1" applyNumberFormat="1" applyFont="1" applyFill="1" applyBorder="1" applyAlignment="1" applyProtection="1">
      <alignment horizontal="right" vertical="top" indent="1"/>
    </xf>
    <xf numFmtId="0" fontId="20" fillId="0" borderId="136" xfId="0" applyFont="1" applyBorder="1" applyAlignment="1" applyProtection="1">
      <alignment horizontal="left" vertical="top" indent="1"/>
    </xf>
    <xf numFmtId="0" fontId="14" fillId="0" borderId="45" xfId="3" applyFont="1" applyBorder="1" applyAlignment="1" applyProtection="1">
      <alignment horizontal="left" vertical="center" indent="1"/>
    </xf>
    <xf numFmtId="0" fontId="15" fillId="0" borderId="46" xfId="3" applyFont="1" applyBorder="1" applyAlignment="1" applyProtection="1">
      <alignment horizontal="left" vertical="center" wrapText="1"/>
    </xf>
    <xf numFmtId="0" fontId="15" fillId="0" borderId="46" xfId="3" applyFont="1" applyBorder="1" applyAlignment="1" applyProtection="1">
      <alignment vertical="center"/>
    </xf>
    <xf numFmtId="169" fontId="21" fillId="23" borderId="47" xfId="1" applyNumberFormat="1" applyFont="1" applyFill="1" applyBorder="1" applyAlignment="1" applyProtection="1">
      <alignment vertical="center"/>
    </xf>
    <xf numFmtId="171" fontId="21" fillId="23" borderId="26" xfId="1" applyNumberFormat="1" applyFont="1" applyFill="1" applyBorder="1" applyAlignment="1" applyProtection="1">
      <alignment horizontal="right" vertical="top" indent="1"/>
    </xf>
    <xf numFmtId="3" fontId="21" fillId="0" borderId="45" xfId="0" applyNumberFormat="1" applyFont="1" applyBorder="1" applyAlignment="1" applyProtection="1">
      <alignment horizontal="right" vertical="center" indent="1"/>
    </xf>
    <xf numFmtId="3" fontId="21" fillId="0" borderId="46" xfId="0" applyNumberFormat="1" applyFont="1" applyBorder="1" applyAlignment="1" applyProtection="1">
      <alignment horizontal="right" vertical="center" indent="1"/>
    </xf>
    <xf numFmtId="3" fontId="21" fillId="16" borderId="107" xfId="0" applyNumberFormat="1" applyFont="1" applyFill="1" applyBorder="1" applyAlignment="1" applyProtection="1">
      <alignment horizontal="right" vertical="center" indent="1"/>
    </xf>
    <xf numFmtId="169" fontId="20" fillId="14" borderId="47" xfId="0" applyNumberFormat="1" applyFont="1" applyFill="1" applyBorder="1" applyAlignment="1" applyProtection="1">
      <alignment horizontal="right" vertical="center" indent="1"/>
    </xf>
    <xf numFmtId="169" fontId="30" fillId="5" borderId="27" xfId="0" applyNumberFormat="1" applyFont="1" applyFill="1" applyBorder="1" applyAlignment="1" applyProtection="1">
      <alignment horizontal="right" indent="1"/>
    </xf>
    <xf numFmtId="0" fontId="21" fillId="0" borderId="0" xfId="0" applyFont="1" applyBorder="1" applyProtection="1"/>
    <xf numFmtId="0" fontId="20" fillId="2" borderId="3" xfId="0" applyFont="1" applyFill="1" applyBorder="1" applyAlignment="1" applyProtection="1">
      <alignment horizontal="center" vertical="center" wrapText="1"/>
    </xf>
    <xf numFmtId="3" fontId="21" fillId="16" borderId="81" xfId="0" applyNumberFormat="1" applyFont="1" applyFill="1" applyBorder="1" applyAlignment="1" applyProtection="1">
      <alignment horizontal="right" vertical="center" indent="1"/>
    </xf>
    <xf numFmtId="169" fontId="30" fillId="5" borderId="61" xfId="0" applyNumberFormat="1" applyFont="1" applyFill="1" applyBorder="1" applyAlignment="1" applyProtection="1">
      <alignment horizontal="right" indent="1"/>
    </xf>
    <xf numFmtId="3" fontId="21" fillId="16" borderId="82" xfId="0" applyNumberFormat="1" applyFont="1" applyFill="1" applyBorder="1" applyAlignment="1" applyProtection="1">
      <alignment horizontal="right" vertical="center" indent="1"/>
    </xf>
    <xf numFmtId="3" fontId="21" fillId="16" borderId="83" xfId="0" applyNumberFormat="1" applyFont="1" applyFill="1" applyBorder="1" applyAlignment="1" applyProtection="1">
      <alignment horizontal="right" vertical="center" indent="1"/>
    </xf>
    <xf numFmtId="0" fontId="15" fillId="0" borderId="70" xfId="3" applyFont="1" applyBorder="1" applyAlignment="1" applyProtection="1">
      <alignment horizontal="left" vertical="center" wrapText="1" indent="1"/>
    </xf>
    <xf numFmtId="3" fontId="21" fillId="16" borderId="123" xfId="0" applyNumberFormat="1" applyFont="1" applyFill="1" applyBorder="1" applyAlignment="1" applyProtection="1">
      <alignment horizontal="right" vertical="center" indent="1"/>
    </xf>
    <xf numFmtId="0" fontId="15" fillId="0" borderId="134" xfId="3" applyFont="1" applyBorder="1" applyAlignment="1" applyProtection="1">
      <alignment horizontal="left" vertical="center" wrapText="1" indent="1"/>
    </xf>
    <xf numFmtId="0" fontId="15" fillId="0" borderId="134" xfId="3" applyFont="1" applyBorder="1" applyAlignment="1" applyProtection="1">
      <alignment vertical="center"/>
    </xf>
    <xf numFmtId="0" fontId="20" fillId="23" borderId="134" xfId="0" applyFont="1" applyFill="1" applyBorder="1" applyAlignment="1" applyProtection="1">
      <alignment horizontal="right" vertical="center" indent="1"/>
    </xf>
    <xf numFmtId="3" fontId="21" fillId="0" borderId="139" xfId="0" applyNumberFormat="1" applyFont="1" applyBorder="1" applyAlignment="1" applyProtection="1">
      <alignment horizontal="right" vertical="center" indent="1"/>
    </xf>
    <xf numFmtId="3" fontId="21" fillId="0" borderId="134" xfId="0" applyNumberFormat="1" applyFont="1" applyBorder="1" applyAlignment="1" applyProtection="1">
      <alignment horizontal="right" vertical="center" indent="1"/>
    </xf>
    <xf numFmtId="3" fontId="21" fillId="16" borderId="138" xfId="0" applyNumberFormat="1" applyFont="1" applyFill="1" applyBorder="1" applyAlignment="1" applyProtection="1">
      <alignment horizontal="right" vertical="center" indent="1"/>
    </xf>
    <xf numFmtId="169" fontId="20" fillId="14" borderId="135" xfId="0" applyNumberFormat="1" applyFont="1" applyFill="1" applyBorder="1" applyAlignment="1" applyProtection="1">
      <alignment horizontal="right" vertical="center" indent="1"/>
    </xf>
    <xf numFmtId="169" fontId="30" fillId="5" borderId="140" xfId="0" applyNumberFormat="1" applyFont="1" applyFill="1" applyBorder="1" applyAlignment="1" applyProtection="1">
      <alignment horizontal="right" indent="1"/>
    </xf>
    <xf numFmtId="0" fontId="20" fillId="23" borderId="67" xfId="0" applyFont="1" applyFill="1" applyBorder="1" applyAlignment="1" applyProtection="1">
      <alignment horizontal="right" vertical="center" indent="1"/>
    </xf>
    <xf numFmtId="3" fontId="21" fillId="0" borderId="66" xfId="0" applyNumberFormat="1" applyFont="1" applyBorder="1" applyAlignment="1" applyProtection="1">
      <alignment horizontal="right" vertical="center" indent="1"/>
    </xf>
    <xf numFmtId="3" fontId="21" fillId="0" borderId="67" xfId="0" applyNumberFormat="1" applyFont="1" applyBorder="1" applyAlignment="1" applyProtection="1">
      <alignment horizontal="right" vertical="center" indent="1"/>
    </xf>
    <xf numFmtId="3" fontId="21" fillId="16" borderId="122" xfId="0" applyNumberFormat="1" applyFont="1" applyFill="1" applyBorder="1" applyAlignment="1" applyProtection="1">
      <alignment horizontal="right" vertical="center" indent="1"/>
    </xf>
    <xf numFmtId="169" fontId="20" fillId="14" borderId="69" xfId="0" applyNumberFormat="1" applyFont="1" applyFill="1" applyBorder="1" applyAlignment="1" applyProtection="1">
      <alignment horizontal="right" vertical="center" indent="1"/>
    </xf>
    <xf numFmtId="169" fontId="30" fillId="5" borderId="79" xfId="0" applyNumberFormat="1" applyFont="1" applyFill="1" applyBorder="1" applyAlignment="1" applyProtection="1">
      <alignment horizontal="right" indent="1"/>
    </xf>
    <xf numFmtId="0" fontId="15" fillId="0" borderId="46" xfId="3" applyFont="1" applyBorder="1" applyAlignment="1" applyProtection="1">
      <alignment horizontal="left" vertical="center" wrapText="1" indent="1"/>
    </xf>
    <xf numFmtId="0" fontId="20" fillId="23" borderId="46" xfId="0" applyFont="1" applyFill="1" applyBorder="1" applyAlignment="1" applyProtection="1">
      <alignment horizontal="right" vertical="center" indent="1"/>
    </xf>
    <xf numFmtId="169" fontId="29" fillId="5" borderId="26" xfId="1" applyNumberFormat="1" applyFont="1" applyFill="1" applyBorder="1" applyAlignment="1" applyProtection="1">
      <alignment horizontal="right" vertical="top" indent="1"/>
    </xf>
    <xf numFmtId="0" fontId="22" fillId="0" borderId="0" xfId="0" applyFont="1" applyBorder="1" applyProtection="1"/>
    <xf numFmtId="0" fontId="0" fillId="0" borderId="0" xfId="0" applyProtection="1"/>
    <xf numFmtId="0" fontId="38" fillId="0" borderId="0" xfId="0" applyFont="1" applyProtection="1"/>
    <xf numFmtId="0" fontId="25" fillId="0" borderId="52" xfId="0" applyFont="1" applyBorder="1" applyProtection="1"/>
    <xf numFmtId="0" fontId="25" fillId="0" borderId="25" xfId="0" applyFont="1" applyBorder="1" applyProtection="1"/>
    <xf numFmtId="0" fontId="38" fillId="0" borderId="25" xfId="0" applyFont="1" applyBorder="1" applyProtection="1"/>
    <xf numFmtId="0" fontId="20" fillId="0" borderId="0" xfId="0" applyFont="1" applyProtection="1"/>
    <xf numFmtId="0" fontId="20" fillId="2" borderId="5" xfId="0" applyFont="1" applyFill="1" applyBorder="1" applyAlignment="1" applyProtection="1">
      <alignment horizontal="center" vertical="center" wrapText="1"/>
    </xf>
    <xf numFmtId="168" fontId="21" fillId="0" borderId="15" xfId="4" applyNumberFormat="1" applyFont="1" applyBorder="1" applyAlignment="1" applyProtection="1">
      <alignment horizontal="right" indent="1"/>
    </xf>
    <xf numFmtId="0" fontId="21" fillId="0" borderId="80" xfId="0" applyFont="1" applyBorder="1" applyProtection="1"/>
    <xf numFmtId="3" fontId="20" fillId="0" borderId="35" xfId="0" applyNumberFormat="1" applyFont="1" applyBorder="1" applyAlignment="1" applyProtection="1">
      <alignment horizontal="right" indent="1"/>
    </xf>
    <xf numFmtId="0" fontId="21" fillId="0" borderId="16" xfId="0" applyFont="1" applyBorder="1" applyProtection="1"/>
    <xf numFmtId="168" fontId="21" fillId="0" borderId="16" xfId="4" applyNumberFormat="1" applyFont="1" applyBorder="1" applyAlignment="1" applyProtection="1">
      <alignment horizontal="right" indent="1"/>
    </xf>
    <xf numFmtId="0" fontId="21" fillId="0" borderId="74" xfId="0" applyFont="1" applyBorder="1" applyProtection="1"/>
    <xf numFmtId="0" fontId="22" fillId="0" borderId="20" xfId="0" applyFont="1" applyBorder="1" applyProtection="1"/>
    <xf numFmtId="168" fontId="21" fillId="0" borderId="27" xfId="4" applyNumberFormat="1" applyFont="1" applyBorder="1" applyAlignment="1" applyProtection="1">
      <alignment horizontal="right" indent="1"/>
    </xf>
    <xf numFmtId="0" fontId="21" fillId="0" borderId="19" xfId="0" applyFont="1" applyBorder="1" applyProtection="1"/>
    <xf numFmtId="168" fontId="21" fillId="0" borderId="19" xfId="4" applyNumberFormat="1" applyFont="1" applyBorder="1" applyAlignment="1" applyProtection="1">
      <alignment horizontal="right" indent="1"/>
    </xf>
    <xf numFmtId="0" fontId="20" fillId="0" borderId="20" xfId="0" applyFont="1" applyFill="1" applyBorder="1" applyProtection="1"/>
    <xf numFmtId="3" fontId="20" fillId="0" borderId="20" xfId="0" applyNumberFormat="1" applyFont="1" applyBorder="1" applyAlignment="1" applyProtection="1">
      <alignment horizontal="right" indent="1"/>
    </xf>
    <xf numFmtId="168" fontId="20" fillId="0" borderId="20" xfId="0" applyNumberFormat="1" applyFont="1" applyBorder="1" applyProtection="1"/>
    <xf numFmtId="0" fontId="20" fillId="0" borderId="0" xfId="0" applyFont="1" applyAlignment="1" applyProtection="1">
      <alignment wrapText="1"/>
    </xf>
    <xf numFmtId="0" fontId="20" fillId="2" borderId="5" xfId="0" applyFont="1" applyFill="1" applyBorder="1" applyAlignment="1" applyProtection="1">
      <alignment horizontal="center" wrapText="1"/>
    </xf>
    <xf numFmtId="0" fontId="21" fillId="0" borderId="0" xfId="0" applyFont="1" applyAlignment="1" applyProtection="1">
      <alignment wrapText="1"/>
    </xf>
    <xf numFmtId="0" fontId="21" fillId="0" borderId="15" xfId="0" applyFont="1" applyBorder="1" applyAlignment="1" applyProtection="1">
      <alignment vertical="top"/>
    </xf>
    <xf numFmtId="9" fontId="20" fillId="8" borderId="15" xfId="4" applyFont="1" applyFill="1" applyBorder="1" applyAlignment="1" applyProtection="1">
      <alignment horizontal="right" vertical="top" indent="1"/>
    </xf>
    <xf numFmtId="0" fontId="21" fillId="0" borderId="15" xfId="0" applyFont="1" applyBorder="1" applyAlignment="1" applyProtection="1">
      <alignment horizontal="right" vertical="top" indent="1"/>
    </xf>
    <xf numFmtId="9" fontId="20" fillId="8" borderId="14" xfId="4" applyFont="1" applyFill="1" applyBorder="1" applyAlignment="1" applyProtection="1">
      <alignment horizontal="right" vertical="top" indent="1"/>
    </xf>
    <xf numFmtId="9" fontId="20" fillId="8" borderId="16" xfId="4" applyFont="1" applyFill="1" applyBorder="1" applyAlignment="1" applyProtection="1">
      <alignment horizontal="right" vertical="top" indent="1"/>
    </xf>
    <xf numFmtId="0" fontId="21" fillId="0" borderId="17" xfId="0" applyFont="1" applyBorder="1" applyProtection="1"/>
    <xf numFmtId="0" fontId="21" fillId="0" borderId="17" xfId="0" applyFont="1" applyBorder="1" applyAlignment="1" applyProtection="1">
      <alignment horizontal="right" indent="1"/>
    </xf>
    <xf numFmtId="3" fontId="21" fillId="8" borderId="0" xfId="0" applyNumberFormat="1" applyFont="1" applyFill="1" applyAlignment="1" applyProtection="1">
      <alignment horizontal="right" indent="1"/>
    </xf>
    <xf numFmtId="0" fontId="20" fillId="2" borderId="5" xfId="0" applyFont="1" applyFill="1" applyBorder="1" applyAlignment="1" applyProtection="1">
      <alignment horizontal="center"/>
    </xf>
    <xf numFmtId="0" fontId="29" fillId="3" borderId="15" xfId="0" applyFont="1" applyFill="1" applyBorder="1" applyAlignment="1" applyProtection="1">
      <alignment horizontal="center"/>
    </xf>
    <xf numFmtId="0" fontId="21" fillId="0" borderId="17" xfId="0" applyFont="1" applyFill="1" applyBorder="1" applyAlignment="1" applyProtection="1">
      <alignment vertical="top"/>
    </xf>
    <xf numFmtId="0" fontId="29" fillId="3" borderId="19" xfId="0" applyFont="1" applyFill="1" applyBorder="1" applyAlignment="1" applyProtection="1">
      <alignment horizontal="center"/>
    </xf>
    <xf numFmtId="0" fontId="21" fillId="0" borderId="124" xfId="0" applyFont="1" applyFill="1" applyBorder="1" applyAlignment="1" applyProtection="1">
      <alignment vertical="top"/>
    </xf>
    <xf numFmtId="0" fontId="21" fillId="0" borderId="124" xfId="0" applyFont="1" applyBorder="1" applyProtection="1"/>
    <xf numFmtId="0" fontId="21" fillId="0" borderId="124" xfId="0" applyFont="1" applyBorder="1" applyAlignment="1" applyProtection="1">
      <alignment horizontal="right" indent="1"/>
    </xf>
    <xf numFmtId="0" fontId="29" fillId="3" borderId="124" xfId="0" applyFont="1" applyFill="1" applyBorder="1" applyAlignment="1" applyProtection="1">
      <alignment horizontal="center"/>
    </xf>
    <xf numFmtId="0" fontId="29" fillId="3" borderId="20" xfId="0" applyFont="1" applyFill="1" applyBorder="1" applyAlignment="1" applyProtection="1">
      <alignment horizontal="center"/>
    </xf>
    <xf numFmtId="0" fontId="22" fillId="0" borderId="80" xfId="0" applyFont="1" applyBorder="1" applyProtection="1"/>
    <xf numFmtId="9" fontId="20" fillId="8" borderId="0" xfId="0" applyNumberFormat="1" applyFont="1" applyFill="1" applyAlignment="1" applyProtection="1">
      <alignment horizontal="right" indent="1"/>
    </xf>
    <xf numFmtId="0" fontId="20" fillId="0" borderId="0" xfId="0" applyFont="1" applyAlignment="1" applyProtection="1">
      <alignment horizontal="right"/>
    </xf>
    <xf numFmtId="0" fontId="20" fillId="0" borderId="0" xfId="0" applyFont="1" applyAlignment="1" applyProtection="1">
      <alignment horizontal="right" indent="1"/>
    </xf>
    <xf numFmtId="0" fontId="3" fillId="0" borderId="0" xfId="0" applyFont="1" applyProtection="1"/>
    <xf numFmtId="1" fontId="20" fillId="0" borderId="0" xfId="0" applyNumberFormat="1" applyFont="1" applyAlignment="1" applyProtection="1">
      <alignment horizontal="right" indent="1"/>
    </xf>
    <xf numFmtId="9" fontId="20" fillId="0" borderId="52" xfId="0" applyNumberFormat="1" applyFont="1" applyBorder="1" applyProtection="1"/>
    <xf numFmtId="0" fontId="21" fillId="0" borderId="5" xfId="0" applyFont="1" applyBorder="1" applyProtection="1"/>
    <xf numFmtId="0" fontId="20" fillId="0" borderId="5" xfId="0" applyFont="1" applyBorder="1" applyProtection="1"/>
    <xf numFmtId="0" fontId="20" fillId="0" borderId="5" xfId="0" applyFont="1" applyBorder="1" applyAlignment="1" applyProtection="1">
      <alignment horizontal="right"/>
    </xf>
    <xf numFmtId="1" fontId="20" fillId="0" borderId="25" xfId="0" applyNumberFormat="1" applyFont="1" applyBorder="1" applyAlignment="1" applyProtection="1">
      <alignment horizontal="right" indent="1"/>
    </xf>
    <xf numFmtId="0" fontId="20" fillId="0" borderId="126" xfId="0" applyFont="1" applyBorder="1" applyProtection="1"/>
    <xf numFmtId="0" fontId="21" fillId="0" borderId="128" xfId="0" applyFont="1" applyBorder="1" applyProtection="1"/>
    <xf numFmtId="166" fontId="20" fillId="0" borderId="127" xfId="0" applyNumberFormat="1" applyFont="1" applyFill="1" applyBorder="1" applyAlignment="1" applyProtection="1">
      <alignment horizontal="right" indent="1"/>
    </xf>
    <xf numFmtId="166" fontId="21" fillId="0" borderId="0" xfId="0" applyNumberFormat="1" applyFont="1" applyAlignment="1" applyProtection="1">
      <alignment horizontal="right" indent="1"/>
    </xf>
    <xf numFmtId="0" fontId="20" fillId="0" borderId="20" xfId="0" applyFont="1" applyBorder="1" applyAlignment="1" applyProtection="1">
      <alignment horizontal="center"/>
    </xf>
    <xf numFmtId="9" fontId="21" fillId="6" borderId="20" xfId="0" applyNumberFormat="1" applyFont="1" applyFill="1" applyBorder="1" applyAlignment="1" applyProtection="1">
      <alignment horizontal="center" vertical="center"/>
    </xf>
    <xf numFmtId="9" fontId="21" fillId="6" borderId="5" xfId="0" applyNumberFormat="1"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1" fillId="0" borderId="15" xfId="0" applyFont="1" applyBorder="1" applyAlignment="1" applyProtection="1">
      <alignment horizontal="right" indent="1"/>
    </xf>
    <xf numFmtId="0" fontId="21" fillId="0" borderId="56" xfId="0" applyFont="1" applyBorder="1" applyAlignment="1" applyProtection="1">
      <alignment horizontal="right" indent="1"/>
    </xf>
    <xf numFmtId="166" fontId="21" fillId="0" borderId="15" xfId="0" applyNumberFormat="1" applyFont="1" applyBorder="1" applyAlignment="1" applyProtection="1">
      <alignment horizontal="right" indent="1"/>
    </xf>
    <xf numFmtId="0" fontId="21" fillId="0" borderId="16" xfId="0" applyFont="1" applyBorder="1" applyAlignment="1" applyProtection="1">
      <alignment horizontal="right" indent="1"/>
    </xf>
    <xf numFmtId="0" fontId="21" fillId="0" borderId="57" xfId="0" applyFont="1" applyBorder="1" applyAlignment="1" applyProtection="1">
      <alignment horizontal="right" indent="1"/>
    </xf>
    <xf numFmtId="166" fontId="21" fillId="0" borderId="16" xfId="0" applyNumberFormat="1" applyFont="1" applyBorder="1" applyAlignment="1" applyProtection="1">
      <alignment horizontal="right" indent="1"/>
    </xf>
    <xf numFmtId="166" fontId="21" fillId="21" borderId="16" xfId="0" applyNumberFormat="1" applyFont="1" applyFill="1" applyBorder="1" applyAlignment="1" applyProtection="1">
      <alignment horizontal="right" indent="1"/>
    </xf>
    <xf numFmtId="0" fontId="21" fillId="0" borderId="19" xfId="0" applyFont="1" applyBorder="1" applyAlignment="1" applyProtection="1">
      <alignment horizontal="right" indent="1"/>
    </xf>
    <xf numFmtId="0" fontId="21" fillId="0" borderId="86" xfId="0" applyFont="1" applyBorder="1" applyAlignment="1" applyProtection="1">
      <alignment horizontal="right" indent="1"/>
    </xf>
    <xf numFmtId="166" fontId="21" fillId="0" borderId="19" xfId="0" applyNumberFormat="1" applyFont="1" applyBorder="1" applyAlignment="1" applyProtection="1">
      <alignment horizontal="right" indent="1"/>
    </xf>
    <xf numFmtId="0" fontId="20" fillId="0" borderId="18" xfId="0" applyFont="1" applyFill="1" applyBorder="1" applyProtection="1"/>
    <xf numFmtId="0" fontId="20" fillId="0" borderId="0" xfId="0" applyFont="1" applyFill="1" applyBorder="1" applyProtection="1"/>
    <xf numFmtId="0" fontId="20" fillId="0" borderId="0" xfId="0" applyFont="1" applyFill="1" applyProtection="1"/>
    <xf numFmtId="0" fontId="20" fillId="2" borderId="24" xfId="0" applyFont="1" applyFill="1" applyBorder="1" applyAlignment="1" applyProtection="1">
      <alignment horizontal="center" wrapText="1"/>
    </xf>
    <xf numFmtId="0" fontId="20" fillId="0" borderId="26" xfId="0" applyFont="1" applyBorder="1" applyAlignment="1" applyProtection="1">
      <alignment horizontal="center"/>
    </xf>
    <xf numFmtId="0" fontId="20" fillId="0" borderId="27" xfId="0" applyFont="1" applyBorder="1" applyAlignment="1" applyProtection="1">
      <alignment horizontal="center" vertical="top" wrapText="1"/>
    </xf>
    <xf numFmtId="0" fontId="20" fillId="0" borderId="28" xfId="0" applyFont="1" applyBorder="1" applyAlignment="1" applyProtection="1">
      <alignment horizontal="center" wrapText="1"/>
    </xf>
    <xf numFmtId="0" fontId="21" fillId="0" borderId="26" xfId="0" applyFont="1" applyBorder="1" applyAlignment="1" applyProtection="1">
      <alignment wrapText="1"/>
    </xf>
    <xf numFmtId="0" fontId="20" fillId="0" borderId="24" xfId="0" applyFont="1" applyBorder="1" applyAlignment="1" applyProtection="1">
      <alignment horizontal="center" wrapText="1"/>
    </xf>
    <xf numFmtId="0" fontId="20" fillId="0" borderId="25" xfId="0" applyFont="1" applyBorder="1" applyAlignment="1" applyProtection="1">
      <alignment horizontal="center" wrapText="1"/>
    </xf>
    <xf numFmtId="0" fontId="20" fillId="0" borderId="25" xfId="0" applyFont="1" applyBorder="1" applyAlignment="1" applyProtection="1">
      <alignment horizontal="center" vertical="top" wrapText="1"/>
    </xf>
    <xf numFmtId="0" fontId="20" fillId="0" borderId="29" xfId="0" applyFont="1" applyBorder="1" applyAlignment="1" applyProtection="1">
      <alignment horizontal="center"/>
    </xf>
    <xf numFmtId="0" fontId="20" fillId="0" borderId="29" xfId="0" applyFont="1" applyBorder="1" applyAlignment="1" applyProtection="1">
      <alignment horizontal="center" wrapText="1"/>
    </xf>
    <xf numFmtId="0" fontId="20" fillId="0" borderId="26" xfId="0" applyFont="1" applyBorder="1" applyAlignment="1" applyProtection="1">
      <alignment horizontal="center" wrapText="1"/>
    </xf>
    <xf numFmtId="2" fontId="20" fillId="0" borderId="0" xfId="0" applyNumberFormat="1" applyFont="1" applyBorder="1" applyAlignment="1" applyProtection="1">
      <alignment horizontal="left"/>
    </xf>
    <xf numFmtId="0" fontId="21" fillId="0" borderId="6" xfId="0" applyFont="1" applyBorder="1" applyAlignment="1" applyProtection="1">
      <alignment vertical="center"/>
    </xf>
    <xf numFmtId="0" fontId="21" fillId="0" borderId="32" xfId="0" applyFont="1" applyBorder="1" applyAlignment="1" applyProtection="1">
      <alignment vertical="center"/>
    </xf>
    <xf numFmtId="0" fontId="21" fillId="0" borderId="11" xfId="0" applyFont="1" applyBorder="1" applyAlignment="1" applyProtection="1">
      <alignment vertical="center"/>
    </xf>
    <xf numFmtId="0" fontId="20" fillId="2" borderId="35" xfId="0" applyFont="1" applyFill="1" applyBorder="1" applyAlignment="1" applyProtection="1">
      <alignment horizontal="center" vertical="center" wrapText="1"/>
    </xf>
    <xf numFmtId="0" fontId="21" fillId="0" borderId="7" xfId="0" applyFont="1" applyBorder="1" applyAlignment="1" applyProtection="1">
      <alignment vertical="center" wrapText="1"/>
    </xf>
    <xf numFmtId="0" fontId="21" fillId="0" borderId="36" xfId="0" applyFont="1" applyBorder="1" applyAlignment="1" applyProtection="1">
      <alignment vertical="center"/>
    </xf>
    <xf numFmtId="0" fontId="21" fillId="0" borderId="33" xfId="0" applyFont="1" applyBorder="1" applyAlignment="1" applyProtection="1">
      <alignment vertical="center" wrapText="1"/>
    </xf>
    <xf numFmtId="0" fontId="21" fillId="0" borderId="37" xfId="0" applyFont="1" applyBorder="1" applyAlignment="1" applyProtection="1">
      <alignment vertical="center"/>
    </xf>
    <xf numFmtId="0" fontId="21" fillId="0" borderId="9" xfId="0" applyFont="1" applyBorder="1" applyAlignment="1" applyProtection="1">
      <alignment vertical="center"/>
    </xf>
    <xf numFmtId="0" fontId="21" fillId="0" borderId="10" xfId="0" applyFont="1" applyBorder="1" applyAlignment="1" applyProtection="1">
      <alignment vertical="center" wrapText="1"/>
    </xf>
    <xf numFmtId="0" fontId="21" fillId="0" borderId="38" xfId="0" applyFont="1" applyBorder="1" applyAlignment="1" applyProtection="1">
      <alignment vertical="center"/>
    </xf>
    <xf numFmtId="0" fontId="21" fillId="0" borderId="63" xfId="0" applyFont="1" applyBorder="1" applyAlignment="1" applyProtection="1">
      <alignment vertical="center"/>
    </xf>
    <xf numFmtId="0" fontId="21" fillId="0" borderId="70" xfId="0" applyFont="1" applyBorder="1" applyAlignment="1" applyProtection="1">
      <alignment vertical="center" wrapText="1"/>
    </xf>
    <xf numFmtId="0" fontId="21" fillId="0" borderId="110" xfId="0" applyFont="1" applyBorder="1" applyAlignment="1" applyProtection="1">
      <alignment vertical="center"/>
    </xf>
    <xf numFmtId="0" fontId="21" fillId="0" borderId="12" xfId="0" applyFont="1" applyBorder="1" applyAlignment="1" applyProtection="1">
      <alignment vertical="center" wrapText="1"/>
    </xf>
    <xf numFmtId="0" fontId="21" fillId="0" borderId="39" xfId="0" applyFont="1" applyBorder="1" applyAlignment="1" applyProtection="1">
      <alignment vertical="center"/>
    </xf>
    <xf numFmtId="0" fontId="21" fillId="0" borderId="0" xfId="0" applyFont="1" applyBorder="1" applyAlignment="1" applyProtection="1">
      <alignment vertical="center"/>
    </xf>
    <xf numFmtId="0" fontId="21" fillId="0" borderId="0" xfId="0" applyFont="1" applyBorder="1" applyAlignment="1" applyProtection="1">
      <alignment vertical="center" wrapText="1"/>
    </xf>
    <xf numFmtId="0" fontId="20" fillId="0" borderId="0" xfId="0" applyFont="1" applyBorder="1" applyAlignment="1" applyProtection="1">
      <alignment vertical="center"/>
    </xf>
    <xf numFmtId="0" fontId="21" fillId="0" borderId="7" xfId="5" applyFont="1" applyBorder="1" applyAlignment="1" applyProtection="1">
      <alignment horizontal="right" vertical="center" wrapText="1" indent="1"/>
    </xf>
    <xf numFmtId="0" fontId="21" fillId="0" borderId="7" xfId="5" applyFont="1" applyFill="1" applyBorder="1" applyAlignment="1" applyProtection="1">
      <alignment horizontal="right" vertical="center" indent="1"/>
    </xf>
    <xf numFmtId="0" fontId="21" fillId="0" borderId="8" xfId="5" applyFont="1" applyFill="1" applyBorder="1" applyAlignment="1" applyProtection="1">
      <alignment horizontal="right" vertical="center" indent="1"/>
    </xf>
    <xf numFmtId="0" fontId="21" fillId="0" borderId="10" xfId="5" applyFont="1" applyBorder="1" applyAlignment="1" applyProtection="1">
      <alignment horizontal="right" vertical="center" wrapText="1" indent="1"/>
    </xf>
    <xf numFmtId="0" fontId="21" fillId="0" borderId="10" xfId="5" applyFont="1" applyFill="1" applyBorder="1" applyAlignment="1" applyProtection="1">
      <alignment horizontal="right" vertical="center" indent="1"/>
    </xf>
    <xf numFmtId="0" fontId="21" fillId="0" borderId="58" xfId="5" applyFont="1" applyFill="1" applyBorder="1" applyAlignment="1" applyProtection="1">
      <alignment horizontal="right" vertical="center" indent="1"/>
    </xf>
    <xf numFmtId="0" fontId="21" fillId="0" borderId="10" xfId="5" applyFont="1" applyBorder="1" applyAlignment="1" applyProtection="1">
      <alignment horizontal="right" vertical="center" indent="1"/>
    </xf>
    <xf numFmtId="0" fontId="21" fillId="0" borderId="58" xfId="5" applyFont="1" applyBorder="1" applyAlignment="1" applyProtection="1">
      <alignment horizontal="right" vertical="center" indent="1"/>
    </xf>
    <xf numFmtId="0" fontId="21" fillId="0" borderId="9" xfId="5" applyFont="1" applyBorder="1" applyAlignment="1" applyProtection="1">
      <alignment vertical="center"/>
    </xf>
    <xf numFmtId="0" fontId="21" fillId="0" borderId="12" xfId="5" applyFont="1" applyBorder="1" applyAlignment="1" applyProtection="1">
      <alignment horizontal="right" vertical="center" wrapText="1" indent="1"/>
    </xf>
    <xf numFmtId="0" fontId="21" fillId="0" borderId="12" xfId="5" applyFont="1" applyBorder="1" applyAlignment="1" applyProtection="1">
      <alignment horizontal="right" vertical="center" indent="1"/>
    </xf>
    <xf numFmtId="0" fontId="21" fillId="0" borderId="13" xfId="5" applyFont="1" applyBorder="1" applyAlignment="1" applyProtection="1">
      <alignment horizontal="right" vertical="center" indent="1"/>
    </xf>
    <xf numFmtId="0" fontId="20" fillId="0" borderId="40" xfId="0" applyFont="1" applyFill="1" applyBorder="1" applyProtection="1"/>
    <xf numFmtId="0" fontId="20" fillId="0" borderId="40" xfId="0" applyFont="1" applyBorder="1" applyProtection="1"/>
    <xf numFmtId="0" fontId="21" fillId="0" borderId="0" xfId="0" applyFont="1" applyAlignment="1" applyProtection="1"/>
    <xf numFmtId="0" fontId="4" fillId="2" borderId="20" xfId="0" applyFont="1" applyFill="1" applyBorder="1" applyAlignment="1" applyProtection="1">
      <alignment horizontal="left" indent="1"/>
    </xf>
    <xf numFmtId="0" fontId="20" fillId="2" borderId="93" xfId="0" applyFont="1" applyFill="1" applyBorder="1" applyAlignment="1" applyProtection="1">
      <alignment horizontal="center" vertical="center" wrapText="1"/>
    </xf>
    <xf numFmtId="0" fontId="20" fillId="2" borderId="62" xfId="0" applyFont="1" applyFill="1" applyBorder="1" applyAlignment="1" applyProtection="1">
      <alignment horizontal="center" vertical="center" wrapText="1"/>
    </xf>
    <xf numFmtId="0" fontId="20" fillId="2" borderId="80" xfId="0" applyFont="1" applyFill="1" applyBorder="1" applyAlignment="1" applyProtection="1">
      <alignment horizontal="center" vertical="center" wrapText="1"/>
    </xf>
    <xf numFmtId="0" fontId="20" fillId="2" borderId="87" xfId="0" applyFont="1" applyFill="1" applyBorder="1" applyAlignment="1" applyProtection="1">
      <alignment horizontal="center" vertical="center" wrapText="1"/>
    </xf>
    <xf numFmtId="0" fontId="20" fillId="2" borderId="88" xfId="0" applyFont="1" applyFill="1" applyBorder="1" applyAlignment="1" applyProtection="1">
      <alignment horizontal="center" vertical="center" wrapText="1"/>
    </xf>
    <xf numFmtId="0" fontId="20" fillId="2" borderId="89" xfId="0" applyFont="1" applyFill="1" applyBorder="1" applyAlignment="1" applyProtection="1">
      <alignment horizontal="center" vertical="center" wrapText="1"/>
    </xf>
    <xf numFmtId="0" fontId="20" fillId="2" borderId="53" xfId="0" applyFont="1" applyFill="1" applyBorder="1" applyAlignment="1" applyProtection="1">
      <alignment horizontal="center" vertical="center" wrapText="1"/>
    </xf>
    <xf numFmtId="0" fontId="30" fillId="15" borderId="62" xfId="0" applyFont="1" applyFill="1" applyBorder="1" applyAlignment="1" applyProtection="1">
      <alignment horizontal="center" vertical="center" wrapText="1"/>
    </xf>
    <xf numFmtId="0" fontId="20" fillId="0" borderId="91" xfId="0" applyFont="1" applyBorder="1" applyProtection="1"/>
    <xf numFmtId="0" fontId="20" fillId="0" borderId="96" xfId="0" applyFont="1" applyBorder="1" applyAlignment="1" applyProtection="1">
      <alignment vertical="center"/>
    </xf>
    <xf numFmtId="166" fontId="21" fillId="0" borderId="6" xfId="0" applyNumberFormat="1" applyFont="1" applyBorder="1" applyAlignment="1" applyProtection="1">
      <alignment horizontal="right" indent="1"/>
    </xf>
    <xf numFmtId="3" fontId="30" fillId="15" borderId="96" xfId="0" applyNumberFormat="1" applyFont="1" applyFill="1" applyBorder="1" applyAlignment="1" applyProtection="1">
      <alignment horizontal="right" indent="1"/>
    </xf>
    <xf numFmtId="0" fontId="20" fillId="0" borderId="92" xfId="0" applyFont="1" applyBorder="1" applyAlignment="1" applyProtection="1">
      <alignment vertical="center"/>
    </xf>
    <xf numFmtId="0" fontId="20" fillId="0" borderId="64" xfId="0" applyFont="1" applyBorder="1" applyAlignment="1" applyProtection="1">
      <alignment vertical="center"/>
    </xf>
    <xf numFmtId="166" fontId="21" fillId="0" borderId="9" xfId="0" applyNumberFormat="1" applyFont="1" applyBorder="1" applyAlignment="1" applyProtection="1">
      <alignment horizontal="right" indent="1"/>
    </xf>
    <xf numFmtId="3" fontId="30" fillId="15" borderId="64" xfId="0" applyNumberFormat="1" applyFont="1" applyFill="1" applyBorder="1" applyAlignment="1" applyProtection="1">
      <alignment horizontal="right" indent="1"/>
    </xf>
    <xf numFmtId="0" fontId="20" fillId="0" borderId="109" xfId="0" applyFont="1" applyBorder="1" applyAlignment="1" applyProtection="1">
      <alignment vertical="center"/>
    </xf>
    <xf numFmtId="0" fontId="20" fillId="0" borderId="114" xfId="0" applyFont="1" applyBorder="1" applyAlignment="1" applyProtection="1">
      <alignment vertical="center"/>
    </xf>
    <xf numFmtId="166" fontId="21" fillId="21" borderId="63" xfId="0" applyNumberFormat="1" applyFont="1" applyFill="1" applyBorder="1" applyAlignment="1" applyProtection="1">
      <alignment horizontal="right" indent="1"/>
    </xf>
    <xf numFmtId="3" fontId="30" fillId="15" borderId="114" xfId="0" applyNumberFormat="1" applyFont="1" applyFill="1" applyBorder="1" applyAlignment="1" applyProtection="1">
      <alignment horizontal="right" indent="1"/>
    </xf>
    <xf numFmtId="0" fontId="20" fillId="0" borderId="95" xfId="0" applyFont="1" applyBorder="1" applyAlignment="1" applyProtection="1">
      <alignment vertical="center"/>
    </xf>
    <xf numFmtId="0" fontId="20" fillId="0" borderId="90" xfId="0" applyFont="1" applyBorder="1" applyAlignment="1" applyProtection="1">
      <alignment vertical="center"/>
    </xf>
    <xf numFmtId="166" fontId="21" fillId="0" borderId="11" xfId="0" applyNumberFormat="1" applyFont="1" applyBorder="1" applyAlignment="1" applyProtection="1">
      <alignment horizontal="right" indent="1"/>
    </xf>
    <xf numFmtId="0" fontId="21" fillId="0" borderId="59" xfId="0" applyFont="1" applyBorder="1" applyAlignment="1" applyProtection="1">
      <alignment horizontal="right" indent="1"/>
    </xf>
    <xf numFmtId="3" fontId="30" fillId="15" borderId="90" xfId="0" applyNumberFormat="1" applyFont="1" applyFill="1" applyBorder="1" applyAlignment="1" applyProtection="1">
      <alignment horizontal="right" indent="1"/>
    </xf>
    <xf numFmtId="0" fontId="20" fillId="0" borderId="92" xfId="0" applyFont="1" applyBorder="1" applyProtection="1"/>
    <xf numFmtId="0" fontId="20" fillId="0" borderId="92" xfId="0" applyFont="1" applyFill="1" applyBorder="1" applyAlignment="1" applyProtection="1">
      <alignment vertical="center"/>
    </xf>
    <xf numFmtId="0" fontId="20" fillId="0" borderId="95" xfId="0" applyFont="1" applyFill="1" applyBorder="1" applyAlignment="1" applyProtection="1">
      <alignment vertical="center"/>
    </xf>
    <xf numFmtId="3" fontId="21" fillId="14" borderId="96" xfId="0" applyNumberFormat="1" applyFont="1" applyFill="1" applyBorder="1" applyAlignment="1" applyProtection="1">
      <alignment horizontal="right" indent="1"/>
    </xf>
    <xf numFmtId="3" fontId="21" fillId="14" borderId="64" xfId="0" applyNumberFormat="1" applyFont="1" applyFill="1" applyBorder="1" applyAlignment="1" applyProtection="1">
      <alignment horizontal="right" indent="1"/>
    </xf>
    <xf numFmtId="0" fontId="21" fillId="0" borderId="108" xfId="0" applyFont="1" applyBorder="1" applyAlignment="1" applyProtection="1">
      <alignment horizontal="right" indent="1"/>
    </xf>
    <xf numFmtId="0" fontId="21" fillId="0" borderId="125" xfId="0" applyFont="1" applyBorder="1" applyAlignment="1" applyProtection="1">
      <alignment horizontal="right" indent="1"/>
    </xf>
    <xf numFmtId="3" fontId="21" fillId="14" borderId="90" xfId="0" applyNumberFormat="1" applyFont="1" applyFill="1" applyBorder="1" applyAlignment="1" applyProtection="1">
      <alignment horizontal="right" indent="1"/>
    </xf>
    <xf numFmtId="0" fontId="21" fillId="0" borderId="20" xfId="0" applyFont="1" applyBorder="1" applyProtection="1"/>
    <xf numFmtId="0" fontId="20" fillId="0" borderId="62" xfId="0" applyFont="1" applyBorder="1" applyProtection="1"/>
    <xf numFmtId="0" fontId="29" fillId="5" borderId="35" xfId="0" applyFont="1" applyFill="1" applyBorder="1" applyAlignment="1" applyProtection="1">
      <alignment horizontal="center" vertical="center" wrapText="1"/>
    </xf>
    <xf numFmtId="3" fontId="20" fillId="0" borderId="96" xfId="0" applyNumberFormat="1" applyFont="1" applyBorder="1" applyAlignment="1" applyProtection="1">
      <alignment horizontal="right" vertical="center" indent="1"/>
    </xf>
    <xf numFmtId="3" fontId="20" fillId="0" borderId="36" xfId="0" applyNumberFormat="1" applyFont="1" applyBorder="1" applyAlignment="1" applyProtection="1">
      <alignment horizontal="right" vertical="center" indent="1"/>
    </xf>
    <xf numFmtId="0" fontId="20" fillId="0" borderId="28" xfId="0" applyFont="1" applyBorder="1" applyProtection="1"/>
    <xf numFmtId="3" fontId="20" fillId="0" borderId="65" xfId="0" applyNumberFormat="1" applyFont="1" applyBorder="1" applyAlignment="1" applyProtection="1">
      <alignment horizontal="right" vertical="center" indent="1"/>
    </xf>
    <xf numFmtId="3" fontId="20" fillId="0" borderId="37" xfId="0" applyNumberFormat="1" applyFont="1" applyBorder="1" applyAlignment="1" applyProtection="1">
      <alignment horizontal="right" vertical="center" indent="1"/>
    </xf>
    <xf numFmtId="3" fontId="20" fillId="0" borderId="64" xfId="0" applyNumberFormat="1" applyFont="1" applyBorder="1" applyAlignment="1" applyProtection="1">
      <alignment horizontal="right" vertical="center" indent="1"/>
    </xf>
    <xf numFmtId="3" fontId="20" fillId="0" borderId="38" xfId="0" applyNumberFormat="1" applyFont="1" applyBorder="1" applyAlignment="1" applyProtection="1">
      <alignment horizontal="right" vertical="center" indent="1"/>
    </xf>
    <xf numFmtId="0" fontId="20" fillId="0" borderId="26" xfId="0" applyFont="1" applyBorder="1" applyProtection="1"/>
    <xf numFmtId="0" fontId="20" fillId="2" borderId="46" xfId="0" applyFont="1" applyFill="1" applyBorder="1" applyAlignment="1" applyProtection="1">
      <alignment horizontal="center" vertical="center" wrapText="1"/>
    </xf>
    <xf numFmtId="0" fontId="20" fillId="2" borderId="47" xfId="0" applyFont="1" applyFill="1" applyBorder="1" applyAlignment="1" applyProtection="1">
      <alignment horizontal="center" vertical="center" wrapText="1"/>
    </xf>
    <xf numFmtId="0" fontId="20" fillId="0" borderId="22" xfId="0" applyFont="1" applyBorder="1" applyAlignment="1" applyProtection="1">
      <alignment wrapText="1"/>
    </xf>
    <xf numFmtId="0" fontId="28" fillId="0" borderId="0" xfId="0" applyFont="1" applyAlignment="1" applyProtection="1">
      <alignment vertical="top"/>
    </xf>
    <xf numFmtId="0" fontId="28" fillId="0" borderId="0" xfId="0" applyNumberFormat="1" applyFont="1" applyAlignment="1" applyProtection="1">
      <alignment vertical="top"/>
    </xf>
    <xf numFmtId="0" fontId="20" fillId="2" borderId="5" xfId="0" applyFont="1" applyFill="1" applyBorder="1" applyAlignment="1" applyProtection="1">
      <alignment vertical="top" wrapText="1"/>
    </xf>
    <xf numFmtId="0" fontId="20" fillId="2" borderId="25" xfId="0" applyFont="1" applyFill="1" applyBorder="1" applyAlignment="1" applyProtection="1">
      <alignment vertical="top" wrapText="1"/>
    </xf>
    <xf numFmtId="0" fontId="20" fillId="0" borderId="93" xfId="0" applyFont="1" applyBorder="1" applyAlignment="1" applyProtection="1">
      <alignment horizontal="left" indent="1"/>
    </xf>
    <xf numFmtId="3" fontId="21" fillId="23" borderId="15" xfId="4" applyNumberFormat="1" applyFont="1" applyFill="1" applyBorder="1" applyAlignment="1" applyProtection="1">
      <alignment horizontal="right" indent="1"/>
    </xf>
    <xf numFmtId="168" fontId="20" fillId="23" borderId="36" xfId="4" applyNumberFormat="1" applyFont="1" applyFill="1" applyBorder="1" applyAlignment="1" applyProtection="1">
      <alignment horizontal="right" indent="1"/>
    </xf>
    <xf numFmtId="0" fontId="20" fillId="0" borderId="55" xfId="0" applyFont="1" applyBorder="1" applyAlignment="1" applyProtection="1">
      <alignment horizontal="left" indent="1"/>
    </xf>
    <xf numFmtId="3" fontId="21" fillId="23" borderId="16" xfId="4" applyNumberFormat="1" applyFont="1" applyFill="1" applyBorder="1" applyAlignment="1" applyProtection="1">
      <alignment horizontal="right" indent="1"/>
    </xf>
    <xf numFmtId="168" fontId="20" fillId="23" borderId="38" xfId="4" applyNumberFormat="1" applyFont="1" applyFill="1" applyBorder="1" applyAlignment="1" applyProtection="1">
      <alignment horizontal="right" indent="1"/>
    </xf>
    <xf numFmtId="3" fontId="21" fillId="23" borderId="0" xfId="4" applyNumberFormat="1" applyFont="1" applyFill="1" applyBorder="1" applyAlignment="1" applyProtection="1">
      <alignment horizontal="right" indent="1"/>
    </xf>
    <xf numFmtId="168" fontId="20" fillId="23" borderId="61" xfId="4" applyNumberFormat="1" applyFont="1" applyFill="1" applyBorder="1" applyAlignment="1" applyProtection="1">
      <alignment horizontal="right" indent="1"/>
    </xf>
    <xf numFmtId="0" fontId="20" fillId="0" borderId="120" xfId="0" applyFont="1" applyBorder="1" applyAlignment="1" applyProtection="1">
      <alignment horizontal="left" indent="1"/>
    </xf>
    <xf numFmtId="0" fontId="21" fillId="0" borderId="98" xfId="0" applyFont="1" applyBorder="1" applyProtection="1"/>
    <xf numFmtId="3" fontId="21" fillId="23" borderId="98" xfId="4" applyNumberFormat="1" applyFont="1" applyFill="1" applyBorder="1" applyAlignment="1" applyProtection="1">
      <alignment horizontal="right" indent="1"/>
    </xf>
    <xf numFmtId="168" fontId="20" fillId="23" borderId="103" xfId="4" applyNumberFormat="1" applyFont="1" applyFill="1" applyBorder="1" applyAlignment="1" applyProtection="1">
      <alignment horizontal="right" indent="1"/>
    </xf>
    <xf numFmtId="0" fontId="21" fillId="0" borderId="99" xfId="0" applyFont="1" applyBorder="1" applyProtection="1"/>
    <xf numFmtId="0" fontId="21" fillId="15" borderId="105" xfId="0" applyFont="1" applyFill="1" applyBorder="1" applyProtection="1"/>
    <xf numFmtId="0" fontId="30" fillId="15" borderId="124" xfId="0" applyFont="1" applyFill="1" applyBorder="1" applyAlignment="1" applyProtection="1">
      <alignment vertical="top"/>
    </xf>
    <xf numFmtId="3" fontId="20" fillId="23" borderId="124" xfId="0" applyNumberFormat="1" applyFont="1" applyFill="1" applyBorder="1" applyAlignment="1" applyProtection="1">
      <alignment vertical="top"/>
    </xf>
    <xf numFmtId="0" fontId="20" fillId="2" borderId="52" xfId="0" applyFont="1" applyFill="1" applyBorder="1" applyAlignment="1" applyProtection="1">
      <alignment horizontal="center" wrapText="1"/>
    </xf>
    <xf numFmtId="0" fontId="20" fillId="2" borderId="25" xfId="0" applyFont="1" applyFill="1" applyBorder="1" applyAlignment="1" applyProtection="1">
      <alignment horizontal="center" wrapText="1"/>
    </xf>
    <xf numFmtId="0" fontId="20" fillId="0" borderId="91" xfId="0" applyFont="1" applyBorder="1" applyAlignment="1" applyProtection="1">
      <alignment horizontal="left" vertical="top" indent="1"/>
    </xf>
    <xf numFmtId="0" fontId="20" fillId="0" borderId="92" xfId="0" applyFont="1" applyBorder="1" applyAlignment="1" applyProtection="1">
      <alignment horizontal="left" vertical="top" indent="1"/>
    </xf>
    <xf numFmtId="0" fontId="20" fillId="0" borderId="94" xfId="0" applyFont="1" applyBorder="1" applyAlignment="1" applyProtection="1">
      <alignment horizontal="left" vertical="top" indent="1"/>
    </xf>
    <xf numFmtId="0" fontId="30" fillId="15" borderId="74" xfId="0" applyFont="1" applyFill="1" applyBorder="1" applyAlignment="1" applyProtection="1">
      <alignment horizontal="left" indent="1"/>
    </xf>
    <xf numFmtId="0" fontId="23" fillId="15" borderId="124" xfId="0" applyFont="1" applyFill="1" applyBorder="1" applyProtection="1"/>
    <xf numFmtId="0" fontId="23" fillId="15" borderId="20" xfId="0" applyFont="1" applyFill="1" applyBorder="1" applyAlignment="1" applyProtection="1">
      <alignment horizontal="right" indent="1"/>
    </xf>
    <xf numFmtId="0" fontId="20" fillId="8" borderId="20" xfId="0" applyFont="1" applyFill="1" applyBorder="1" applyAlignment="1" applyProtection="1">
      <alignment horizontal="right" indent="1"/>
    </xf>
    <xf numFmtId="0" fontId="30" fillId="15" borderId="27" xfId="0" applyFont="1" applyFill="1" applyBorder="1" applyAlignment="1" applyProtection="1">
      <alignment horizontal="right" indent="1"/>
    </xf>
    <xf numFmtId="0" fontId="22" fillId="0" borderId="22" xfId="0" applyFont="1" applyBorder="1" applyAlignment="1" applyProtection="1">
      <alignment horizontal="center"/>
    </xf>
    <xf numFmtId="0" fontId="20" fillId="2" borderId="5" xfId="0" applyFont="1" applyFill="1" applyBorder="1" applyAlignment="1" applyProtection="1">
      <alignment wrapText="1"/>
    </xf>
    <xf numFmtId="0" fontId="29" fillId="3" borderId="14" xfId="0" applyFont="1" applyFill="1" applyBorder="1" applyAlignment="1" applyProtection="1">
      <alignment horizontal="right" indent="1"/>
    </xf>
    <xf numFmtId="0" fontId="29" fillId="3" borderId="37" xfId="0" applyFont="1" applyFill="1" applyBorder="1" applyAlignment="1" applyProtection="1">
      <alignment horizontal="right" indent="1"/>
    </xf>
    <xf numFmtId="0" fontId="29" fillId="3" borderId="19" xfId="0" applyFont="1" applyFill="1" applyBorder="1" applyAlignment="1" applyProtection="1">
      <alignment horizontal="right" indent="1"/>
    </xf>
    <xf numFmtId="0" fontId="29" fillId="3" borderId="133" xfId="0" applyFont="1" applyFill="1" applyBorder="1" applyAlignment="1" applyProtection="1">
      <alignment horizontal="right" indent="1"/>
    </xf>
    <xf numFmtId="0" fontId="30" fillId="15" borderId="74" xfId="0" applyFont="1" applyFill="1" applyBorder="1" applyAlignment="1" applyProtection="1">
      <alignment horizontal="left" vertical="top" indent="1"/>
    </xf>
    <xf numFmtId="0" fontId="30" fillId="15" borderId="20" xfId="0" applyFont="1" applyFill="1" applyBorder="1" applyProtection="1"/>
    <xf numFmtId="0" fontId="30" fillId="15" borderId="20" xfId="0" applyFont="1" applyFill="1" applyBorder="1" applyAlignment="1" applyProtection="1">
      <alignment horizontal="right" indent="1"/>
    </xf>
    <xf numFmtId="9" fontId="20" fillId="8" borderId="0" xfId="0" applyNumberFormat="1" applyFont="1" applyFill="1" applyProtection="1"/>
    <xf numFmtId="1" fontId="31" fillId="0" borderId="25" xfId="0" applyNumberFormat="1" applyFont="1" applyBorder="1" applyAlignment="1" applyProtection="1">
      <alignment horizontal="right" indent="1"/>
    </xf>
    <xf numFmtId="0" fontId="20" fillId="0" borderId="52" xfId="0" applyFont="1" applyBorder="1" applyProtection="1"/>
    <xf numFmtId="166" fontId="20" fillId="0" borderId="25" xfId="0" applyNumberFormat="1" applyFont="1" applyFill="1" applyBorder="1" applyAlignment="1" applyProtection="1">
      <alignment horizontal="right" indent="1"/>
    </xf>
    <xf numFmtId="9" fontId="21" fillId="8" borderId="14" xfId="4" applyFont="1" applyFill="1" applyBorder="1" applyAlignment="1" applyProtection="1">
      <alignment horizontal="right" vertical="top" indent="1"/>
    </xf>
    <xf numFmtId="166" fontId="21" fillId="0" borderId="14" xfId="0" applyNumberFormat="1" applyFont="1" applyBorder="1" applyAlignment="1" applyProtection="1">
      <alignment horizontal="right" vertical="top" indent="1"/>
    </xf>
    <xf numFmtId="166" fontId="21" fillId="0" borderId="16" xfId="0" applyNumberFormat="1" applyFont="1" applyBorder="1" applyAlignment="1" applyProtection="1">
      <alignment horizontal="right" vertical="top" indent="1"/>
    </xf>
    <xf numFmtId="168" fontId="21" fillId="0" borderId="16" xfId="4" applyNumberFormat="1" applyFont="1" applyBorder="1" applyAlignment="1" applyProtection="1">
      <alignment horizontal="right" vertical="top" indent="1"/>
    </xf>
    <xf numFmtId="9" fontId="21" fillId="8" borderId="17" xfId="4" applyFont="1" applyFill="1" applyBorder="1" applyAlignment="1" applyProtection="1">
      <alignment horizontal="right" indent="1"/>
    </xf>
    <xf numFmtId="166" fontId="29" fillId="3" borderId="19" xfId="0" applyNumberFormat="1" applyFont="1" applyFill="1" applyBorder="1" applyAlignment="1" applyProtection="1">
      <alignment horizontal="right" indent="1"/>
    </xf>
    <xf numFmtId="166" fontId="29" fillId="3" borderId="133" xfId="0" applyNumberFormat="1" applyFont="1" applyFill="1" applyBorder="1" applyAlignment="1" applyProtection="1">
      <alignment horizontal="right" indent="1"/>
    </xf>
    <xf numFmtId="0" fontId="30" fillId="15" borderId="74" xfId="0" applyFont="1" applyFill="1" applyBorder="1" applyAlignment="1" applyProtection="1">
      <alignment horizontal="right" indent="1"/>
    </xf>
    <xf numFmtId="166" fontId="30" fillId="15" borderId="20" xfId="0" applyNumberFormat="1" applyFont="1" applyFill="1" applyBorder="1" applyAlignment="1" applyProtection="1">
      <alignment horizontal="right" indent="1"/>
    </xf>
    <xf numFmtId="166" fontId="30" fillId="15" borderId="27" xfId="0" applyNumberFormat="1" applyFont="1" applyFill="1" applyBorder="1" applyAlignment="1" applyProtection="1">
      <alignment horizontal="right" indent="1"/>
    </xf>
    <xf numFmtId="0" fontId="20" fillId="2" borderId="52" xfId="0" applyFont="1" applyFill="1" applyBorder="1" applyAlignment="1" applyProtection="1">
      <alignment horizontal="center"/>
    </xf>
    <xf numFmtId="0" fontId="21" fillId="0" borderId="16" xfId="0" applyFont="1" applyFill="1" applyBorder="1" applyAlignment="1" applyProtection="1">
      <alignment vertical="top"/>
    </xf>
    <xf numFmtId="4" fontId="21" fillId="0" borderId="14" xfId="0" applyNumberFormat="1" applyFont="1" applyBorder="1" applyAlignment="1" applyProtection="1">
      <alignment horizontal="right" vertical="top" indent="1"/>
    </xf>
    <xf numFmtId="4" fontId="21" fillId="0" borderId="16" xfId="0" applyNumberFormat="1" applyFont="1" applyBorder="1" applyAlignment="1" applyProtection="1">
      <alignment horizontal="right" vertical="top" indent="1"/>
    </xf>
    <xf numFmtId="4" fontId="29" fillId="3" borderId="14" xfId="0" applyNumberFormat="1" applyFont="1" applyFill="1" applyBorder="1" applyAlignment="1" applyProtection="1">
      <alignment horizontal="right" indent="1"/>
    </xf>
    <xf numFmtId="4" fontId="29" fillId="3" borderId="37" xfId="0" applyNumberFormat="1" applyFont="1" applyFill="1" applyBorder="1" applyAlignment="1" applyProtection="1">
      <alignment horizontal="right" indent="1"/>
    </xf>
    <xf numFmtId="166" fontId="21" fillId="0" borderId="14" xfId="0" applyNumberFormat="1" applyFont="1" applyBorder="1" applyAlignment="1" applyProtection="1">
      <alignment vertical="top"/>
    </xf>
    <xf numFmtId="0" fontId="20" fillId="0" borderId="78" xfId="0" applyFont="1" applyBorder="1" applyAlignment="1" applyProtection="1">
      <alignment horizontal="left" indent="1"/>
    </xf>
    <xf numFmtId="166" fontId="21" fillId="0" borderId="22" xfId="0" applyNumberFormat="1" applyFont="1" applyBorder="1" applyAlignment="1" applyProtection="1">
      <alignment vertical="top"/>
    </xf>
    <xf numFmtId="9" fontId="21" fillId="8" borderId="99" xfId="4" applyFont="1" applyFill="1" applyBorder="1" applyAlignment="1" applyProtection="1">
      <alignment horizontal="right" vertical="top" indent="1"/>
    </xf>
    <xf numFmtId="4" fontId="21" fillId="0" borderId="99" xfId="0" applyNumberFormat="1" applyFont="1" applyBorder="1" applyAlignment="1" applyProtection="1">
      <alignment horizontal="right" vertical="top" indent="1"/>
    </xf>
    <xf numFmtId="4" fontId="29" fillId="3" borderId="99" xfId="0" applyNumberFormat="1" applyFont="1" applyFill="1" applyBorder="1" applyAlignment="1" applyProtection="1">
      <alignment horizontal="right" indent="1"/>
    </xf>
    <xf numFmtId="4" fontId="29" fillId="3" borderId="112" xfId="0" applyNumberFormat="1" applyFont="1" applyFill="1" applyBorder="1" applyAlignment="1" applyProtection="1">
      <alignment horizontal="right" indent="1"/>
    </xf>
    <xf numFmtId="0" fontId="20" fillId="0" borderId="142" xfId="0" applyFont="1" applyBorder="1" applyAlignment="1" applyProtection="1">
      <alignment horizontal="left" indent="1"/>
    </xf>
    <xf numFmtId="166" fontId="21" fillId="0" borderId="73" xfId="0" applyNumberFormat="1" applyFont="1" applyBorder="1" applyAlignment="1" applyProtection="1">
      <alignment vertical="top"/>
    </xf>
    <xf numFmtId="9" fontId="21" fillId="8" borderId="73" xfId="4" applyFont="1" applyFill="1" applyBorder="1" applyAlignment="1" applyProtection="1">
      <alignment horizontal="right" vertical="top" indent="1"/>
    </xf>
    <xf numFmtId="4" fontId="21" fillId="0" borderId="73" xfId="0" applyNumberFormat="1" applyFont="1" applyBorder="1" applyAlignment="1" applyProtection="1">
      <alignment horizontal="right" vertical="top" indent="1"/>
    </xf>
    <xf numFmtId="4" fontId="29" fillId="3" borderId="73" xfId="0" applyNumberFormat="1" applyFont="1" applyFill="1" applyBorder="1" applyAlignment="1" applyProtection="1">
      <alignment horizontal="right" indent="1"/>
    </xf>
    <xf numFmtId="4" fontId="29" fillId="3" borderId="51" xfId="0" applyNumberFormat="1" applyFont="1" applyFill="1" applyBorder="1" applyAlignment="1" applyProtection="1">
      <alignment horizontal="right" indent="1"/>
    </xf>
    <xf numFmtId="4" fontId="21" fillId="0" borderId="17" xfId="0" applyNumberFormat="1" applyFont="1" applyBorder="1" applyAlignment="1" applyProtection="1">
      <alignment horizontal="right" indent="1"/>
    </xf>
    <xf numFmtId="4" fontId="29" fillId="3" borderId="17" xfId="0" applyNumberFormat="1" applyFont="1" applyFill="1" applyBorder="1" applyAlignment="1" applyProtection="1">
      <alignment horizontal="right" indent="1"/>
    </xf>
    <xf numFmtId="4" fontId="29" fillId="3" borderId="132" xfId="0" applyNumberFormat="1" applyFont="1" applyFill="1" applyBorder="1" applyAlignment="1" applyProtection="1">
      <alignment horizontal="right" indent="1"/>
    </xf>
    <xf numFmtId="0" fontId="30" fillId="15" borderId="105" xfId="0" applyFont="1" applyFill="1" applyBorder="1" applyProtection="1"/>
    <xf numFmtId="9" fontId="30" fillId="15" borderId="20" xfId="0" applyNumberFormat="1" applyFont="1" applyFill="1" applyBorder="1" applyAlignment="1" applyProtection="1">
      <alignment horizontal="right" indent="1"/>
    </xf>
    <xf numFmtId="1" fontId="30" fillId="15" borderId="20" xfId="0" applyNumberFormat="1" applyFont="1" applyFill="1" applyBorder="1" applyAlignment="1" applyProtection="1">
      <alignment horizontal="right" indent="1"/>
    </xf>
    <xf numFmtId="1" fontId="21" fillId="0" borderId="15" xfId="4" applyNumberFormat="1" applyFont="1" applyBorder="1" applyAlignment="1" applyProtection="1">
      <alignment horizontal="right" indent="1"/>
    </xf>
    <xf numFmtId="1" fontId="21" fillId="0" borderId="16" xfId="4" applyNumberFormat="1" applyFont="1" applyBorder="1" applyAlignment="1" applyProtection="1">
      <alignment horizontal="right" indent="1"/>
    </xf>
    <xf numFmtId="166" fontId="21" fillId="8" borderId="16" xfId="0" applyNumberFormat="1" applyFont="1" applyFill="1" applyBorder="1" applyAlignment="1" applyProtection="1">
      <alignment horizontal="right" indent="1"/>
    </xf>
    <xf numFmtId="1" fontId="21" fillId="0" borderId="38" xfId="0" applyNumberFormat="1" applyFont="1" applyBorder="1" applyAlignment="1" applyProtection="1">
      <alignment horizontal="right" indent="1"/>
    </xf>
    <xf numFmtId="0" fontId="21" fillId="0" borderId="14" xfId="0" applyFont="1" applyBorder="1" applyAlignment="1" applyProtection="1">
      <alignment horizontal="right" indent="1"/>
    </xf>
    <xf numFmtId="0" fontId="21" fillId="0" borderId="99" xfId="0" applyFont="1" applyBorder="1" applyAlignment="1" applyProtection="1">
      <alignment horizontal="right" indent="1"/>
    </xf>
    <xf numFmtId="166" fontId="21" fillId="8" borderId="99" xfId="0" applyNumberFormat="1" applyFont="1" applyFill="1" applyBorder="1" applyAlignment="1" applyProtection="1">
      <alignment horizontal="right" indent="1"/>
    </xf>
    <xf numFmtId="1" fontId="21" fillId="0" borderId="112" xfId="0" applyNumberFormat="1" applyFont="1" applyBorder="1" applyAlignment="1" applyProtection="1">
      <alignment horizontal="right" indent="1"/>
    </xf>
    <xf numFmtId="1" fontId="21" fillId="0" borderId="98" xfId="4" applyNumberFormat="1" applyFont="1" applyBorder="1" applyAlignment="1" applyProtection="1">
      <alignment horizontal="right" indent="1"/>
    </xf>
    <xf numFmtId="1" fontId="21" fillId="0" borderId="0" xfId="4" applyNumberFormat="1" applyFont="1" applyBorder="1" applyAlignment="1" applyProtection="1">
      <alignment horizontal="right" indent="1"/>
    </xf>
    <xf numFmtId="166" fontId="21" fillId="0" borderId="99" xfId="0" applyNumberFormat="1" applyFont="1" applyBorder="1" applyAlignment="1" applyProtection="1">
      <alignment horizontal="right" indent="1"/>
    </xf>
    <xf numFmtId="1" fontId="21" fillId="0" borderId="133" xfId="0" applyNumberFormat="1" applyFont="1" applyBorder="1" applyAlignment="1" applyProtection="1">
      <alignment horizontal="right" indent="1"/>
    </xf>
    <xf numFmtId="1" fontId="30" fillId="15" borderId="124" xfId="0" applyNumberFormat="1" applyFont="1" applyFill="1" applyBorder="1" applyAlignment="1" applyProtection="1">
      <alignment horizontal="right" vertical="top" indent="1"/>
    </xf>
    <xf numFmtId="1" fontId="30" fillId="15" borderId="27" xfId="0" applyNumberFormat="1" applyFont="1" applyFill="1" applyBorder="1" applyAlignment="1" applyProtection="1">
      <alignment horizontal="right" indent="1"/>
    </xf>
    <xf numFmtId="0" fontId="26" fillId="5" borderId="0" xfId="0" applyFont="1" applyFill="1" applyBorder="1" applyAlignment="1" applyProtection="1">
      <alignment horizontal="left" vertical="top"/>
    </xf>
    <xf numFmtId="0" fontId="21" fillId="0" borderId="0" xfId="0" applyFont="1" applyBorder="1" applyAlignment="1" applyProtection="1">
      <alignment wrapText="1"/>
    </xf>
    <xf numFmtId="1" fontId="31" fillId="0" borderId="91" xfId="4" applyNumberFormat="1" applyFont="1" applyBorder="1" applyAlignment="1" applyProtection="1">
      <alignment horizontal="right" indent="1"/>
    </xf>
    <xf numFmtId="168" fontId="31" fillId="0" borderId="36" xfId="4" applyNumberFormat="1" applyFont="1" applyBorder="1" applyAlignment="1" applyProtection="1">
      <alignment horizontal="right" indent="1"/>
    </xf>
    <xf numFmtId="166" fontId="31" fillId="0" borderId="92" xfId="4" applyNumberFormat="1" applyFont="1" applyBorder="1" applyAlignment="1" applyProtection="1">
      <alignment horizontal="right" indent="1"/>
    </xf>
    <xf numFmtId="168" fontId="31" fillId="0" borderId="38" xfId="4" applyNumberFormat="1" applyFont="1" applyBorder="1" applyAlignment="1" applyProtection="1">
      <alignment horizontal="right" indent="1"/>
    </xf>
    <xf numFmtId="166" fontId="21" fillId="0" borderId="111" xfId="4" applyNumberFormat="1" applyFont="1" applyBorder="1" applyAlignment="1" applyProtection="1">
      <alignment horizontal="right" indent="1"/>
    </xf>
    <xf numFmtId="166" fontId="31" fillId="0" borderId="111" xfId="4" applyNumberFormat="1" applyFont="1" applyBorder="1" applyAlignment="1" applyProtection="1">
      <alignment horizontal="right" indent="1"/>
    </xf>
    <xf numFmtId="168" fontId="31" fillId="0" borderId="112" xfId="4" applyNumberFormat="1" applyFont="1" applyBorder="1" applyAlignment="1" applyProtection="1">
      <alignment horizontal="right" indent="1"/>
    </xf>
    <xf numFmtId="0" fontId="21" fillId="0" borderId="61" xfId="0" applyFont="1" applyFill="1" applyBorder="1" applyAlignment="1" applyProtection="1">
      <alignment wrapText="1"/>
    </xf>
    <xf numFmtId="1" fontId="21" fillId="0" borderId="55" xfId="4" applyNumberFormat="1" applyFont="1" applyBorder="1" applyAlignment="1" applyProtection="1">
      <alignment horizontal="right" indent="1"/>
    </xf>
    <xf numFmtId="0" fontId="31" fillId="0" borderId="55" xfId="4" applyNumberFormat="1" applyFont="1" applyBorder="1" applyAlignment="1" applyProtection="1">
      <alignment horizontal="right" indent="1"/>
    </xf>
    <xf numFmtId="168" fontId="31" fillId="0" borderId="61" xfId="4" applyNumberFormat="1" applyFont="1" applyBorder="1" applyAlignment="1" applyProtection="1">
      <alignment horizontal="right" indent="1"/>
    </xf>
    <xf numFmtId="0" fontId="21" fillId="0" borderId="55" xfId="4" applyNumberFormat="1" applyFont="1" applyBorder="1" applyAlignment="1" applyProtection="1">
      <alignment horizontal="right" indent="1"/>
    </xf>
    <xf numFmtId="0" fontId="23" fillId="15" borderId="105" xfId="0" applyFont="1" applyFill="1" applyBorder="1" applyProtection="1"/>
    <xf numFmtId="0" fontId="30" fillId="15" borderId="106" xfId="0" applyFont="1" applyFill="1" applyBorder="1" applyAlignment="1" applyProtection="1">
      <alignment vertical="top"/>
    </xf>
    <xf numFmtId="1" fontId="30" fillId="15" borderId="105" xfId="0" applyNumberFormat="1" applyFont="1" applyFill="1" applyBorder="1" applyAlignment="1" applyProtection="1">
      <alignment horizontal="right" vertical="top" indent="1"/>
    </xf>
    <xf numFmtId="0" fontId="30" fillId="15" borderId="106" xfId="0" applyFont="1" applyFill="1" applyBorder="1" applyAlignment="1" applyProtection="1">
      <alignment horizontal="right" vertical="top" indent="1"/>
    </xf>
    <xf numFmtId="168" fontId="30" fillId="15" borderId="106" xfId="0" applyNumberFormat="1" applyFont="1" applyFill="1" applyBorder="1" applyAlignment="1" applyProtection="1">
      <alignment horizontal="right" vertical="top" indent="1"/>
    </xf>
    <xf numFmtId="1" fontId="21" fillId="0" borderId="0" xfId="0" applyNumberFormat="1" applyFont="1" applyProtection="1"/>
    <xf numFmtId="0" fontId="24" fillId="0" borderId="0" xfId="0" applyFont="1" applyProtection="1"/>
    <xf numFmtId="0" fontId="25" fillId="2" borderId="20" xfId="0" applyFont="1" applyFill="1" applyBorder="1" applyAlignment="1" applyProtection="1">
      <alignment horizontal="left" indent="1"/>
    </xf>
    <xf numFmtId="0" fontId="21" fillId="0" borderId="0" xfId="0" applyFont="1" applyBorder="1" applyAlignment="1" applyProtection="1">
      <alignment vertical="top"/>
    </xf>
    <xf numFmtId="0" fontId="31" fillId="0" borderId="24" xfId="0" applyFont="1" applyBorder="1" applyAlignment="1" applyProtection="1">
      <alignment horizontal="center"/>
    </xf>
    <xf numFmtId="0" fontId="30" fillId="15" borderId="47" xfId="0" applyFont="1" applyFill="1" applyBorder="1" applyAlignment="1" applyProtection="1">
      <alignment horizontal="center" vertical="top" wrapText="1"/>
    </xf>
    <xf numFmtId="0" fontId="20" fillId="14" borderId="24" xfId="0" applyFont="1" applyFill="1" applyBorder="1" applyAlignment="1" applyProtection="1">
      <alignment horizontal="center" vertical="top" wrapText="1"/>
    </xf>
    <xf numFmtId="0" fontId="20" fillId="0" borderId="93" xfId="0" applyFont="1" applyBorder="1" applyAlignment="1" applyProtection="1">
      <alignment horizontal="left" vertical="top" indent="1"/>
    </xf>
    <xf numFmtId="170" fontId="21" fillId="0" borderId="98" xfId="0" applyNumberFormat="1" applyFont="1" applyBorder="1" applyAlignment="1" applyProtection="1">
      <alignment horizontal="right" vertical="top" indent="1"/>
    </xf>
    <xf numFmtId="170" fontId="21" fillId="0" borderId="98" xfId="0" applyNumberFormat="1" applyFont="1" applyFill="1" applyBorder="1" applyAlignment="1" applyProtection="1">
      <alignment horizontal="right" vertical="top" indent="1"/>
    </xf>
    <xf numFmtId="170" fontId="30" fillId="15" borderId="103" xfId="0" applyNumberFormat="1" applyFont="1" applyFill="1" applyBorder="1" applyAlignment="1" applyProtection="1">
      <alignment horizontal="right" vertical="top" indent="1"/>
    </xf>
    <xf numFmtId="170" fontId="20" fillId="14" borderId="113" xfId="0" applyNumberFormat="1" applyFont="1" applyFill="1" applyBorder="1" applyAlignment="1" applyProtection="1">
      <alignment horizontal="right" vertical="top" indent="1"/>
    </xf>
    <xf numFmtId="0" fontId="20" fillId="0" borderId="55" xfId="0" applyFont="1" applyBorder="1" applyAlignment="1" applyProtection="1">
      <alignment horizontal="left" vertical="top" indent="1"/>
    </xf>
    <xf numFmtId="170" fontId="21" fillId="0" borderId="14" xfId="0" applyNumberFormat="1" applyFont="1" applyBorder="1" applyAlignment="1" applyProtection="1">
      <alignment horizontal="right" vertical="top" indent="1"/>
    </xf>
    <xf numFmtId="170" fontId="21" fillId="0" borderId="14" xfId="0" applyNumberFormat="1" applyFont="1" applyFill="1" applyBorder="1" applyAlignment="1" applyProtection="1">
      <alignment horizontal="right" vertical="top" indent="1"/>
    </xf>
    <xf numFmtId="170" fontId="30" fillId="15" borderId="37" xfId="0" applyNumberFormat="1" applyFont="1" applyFill="1" applyBorder="1" applyAlignment="1" applyProtection="1">
      <alignment horizontal="right" vertical="top" indent="1"/>
    </xf>
    <xf numFmtId="170" fontId="20" fillId="14" borderId="65" xfId="0" applyNumberFormat="1" applyFont="1" applyFill="1" applyBorder="1" applyAlignment="1" applyProtection="1">
      <alignment horizontal="right" vertical="top" indent="1"/>
    </xf>
    <xf numFmtId="0" fontId="21" fillId="0" borderId="55" xfId="0" applyFont="1" applyBorder="1" applyAlignment="1" applyProtection="1">
      <alignment horizontal="left" vertical="top" indent="1"/>
    </xf>
    <xf numFmtId="170" fontId="21" fillId="0" borderId="16" xfId="0" applyNumberFormat="1" applyFont="1" applyBorder="1" applyAlignment="1" applyProtection="1">
      <alignment horizontal="right" vertical="top" indent="1"/>
    </xf>
    <xf numFmtId="170" fontId="21" fillId="0" borderId="16" xfId="0" applyNumberFormat="1" applyFont="1" applyFill="1" applyBorder="1" applyAlignment="1" applyProtection="1">
      <alignment horizontal="right" vertical="top" indent="1"/>
    </xf>
    <xf numFmtId="170" fontId="30" fillId="15" borderId="38" xfId="0" applyNumberFormat="1" applyFont="1" applyFill="1" applyBorder="1" applyAlignment="1" applyProtection="1">
      <alignment horizontal="right" vertical="top" indent="1"/>
    </xf>
    <xf numFmtId="170" fontId="20" fillId="14" borderId="64" xfId="0" applyNumberFormat="1" applyFont="1" applyFill="1" applyBorder="1" applyAlignment="1" applyProtection="1">
      <alignment horizontal="right" vertical="top" indent="1"/>
    </xf>
    <xf numFmtId="0" fontId="21" fillId="0" borderId="108" xfId="0" applyFont="1" applyBorder="1" applyAlignment="1" applyProtection="1">
      <alignment vertical="top"/>
    </xf>
    <xf numFmtId="170" fontId="21" fillId="0" borderId="108" xfId="0" applyNumberFormat="1" applyFont="1" applyFill="1" applyBorder="1" applyAlignment="1" applyProtection="1">
      <alignment horizontal="right" vertical="top" indent="1"/>
    </xf>
    <xf numFmtId="170" fontId="30" fillId="15" borderId="110" xfId="0" applyNumberFormat="1" applyFont="1" applyFill="1" applyBorder="1" applyAlignment="1" applyProtection="1">
      <alignment horizontal="right" vertical="top" indent="1"/>
    </xf>
    <xf numFmtId="170" fontId="20" fillId="14" borderId="114" xfId="0" applyNumberFormat="1" applyFont="1" applyFill="1" applyBorder="1" applyAlignment="1" applyProtection="1">
      <alignment horizontal="right" vertical="top" indent="1"/>
    </xf>
    <xf numFmtId="0" fontId="20" fillId="0" borderId="78" xfId="0" applyFont="1" applyBorder="1" applyAlignment="1" applyProtection="1">
      <alignment horizontal="left" vertical="top" indent="1"/>
    </xf>
    <xf numFmtId="170" fontId="21" fillId="0" borderId="22" xfId="0" applyNumberFormat="1" applyFont="1" applyBorder="1" applyAlignment="1" applyProtection="1">
      <alignment horizontal="right" vertical="top" indent="1"/>
    </xf>
    <xf numFmtId="170" fontId="21" fillId="0" borderId="22" xfId="0" applyNumberFormat="1" applyFont="1" applyFill="1" applyBorder="1" applyAlignment="1" applyProtection="1">
      <alignment horizontal="right" vertical="top" indent="1"/>
    </xf>
    <xf numFmtId="170" fontId="30" fillId="15" borderId="79" xfId="0" applyNumberFormat="1" applyFont="1" applyFill="1" applyBorder="1" applyAlignment="1" applyProtection="1">
      <alignment horizontal="right" vertical="top" indent="1"/>
    </xf>
    <xf numFmtId="170" fontId="20" fillId="14" borderId="77" xfId="0" applyNumberFormat="1" applyFont="1" applyFill="1" applyBorder="1" applyAlignment="1" applyProtection="1">
      <alignment horizontal="right" vertical="top" indent="1"/>
    </xf>
    <xf numFmtId="0" fontId="21" fillId="0" borderId="78" xfId="0" applyFont="1" applyBorder="1" applyAlignment="1" applyProtection="1">
      <alignment horizontal="left" vertical="top" indent="1"/>
    </xf>
    <xf numFmtId="0" fontId="20" fillId="0" borderId="74" xfId="0" applyFont="1" applyBorder="1" applyAlignment="1" applyProtection="1">
      <alignment horizontal="left" vertical="top" indent="1"/>
    </xf>
    <xf numFmtId="170" fontId="21" fillId="0" borderId="20" xfId="0" applyNumberFormat="1" applyFont="1" applyBorder="1" applyAlignment="1" applyProtection="1">
      <alignment horizontal="right" vertical="top" indent="1"/>
    </xf>
    <xf numFmtId="170" fontId="30" fillId="15" borderId="27" xfId="0" applyNumberFormat="1" applyFont="1" applyFill="1" applyBorder="1" applyAlignment="1" applyProtection="1">
      <alignment horizontal="right" vertical="top" indent="1"/>
    </xf>
    <xf numFmtId="170" fontId="20" fillId="14" borderId="26" xfId="0" applyNumberFormat="1" applyFont="1" applyFill="1" applyBorder="1" applyAlignment="1" applyProtection="1">
      <alignment horizontal="right" vertical="top" indent="1"/>
    </xf>
    <xf numFmtId="168" fontId="30" fillId="15" borderId="106" xfId="0" applyNumberFormat="1" applyFont="1" applyFill="1" applyBorder="1" applyAlignment="1" applyProtection="1">
      <alignment vertical="top"/>
    </xf>
    <xf numFmtId="0" fontId="30" fillId="15" borderId="24" xfId="0" applyFont="1" applyFill="1" applyBorder="1" applyAlignment="1" applyProtection="1">
      <alignment horizontal="center" vertical="top" wrapText="1"/>
    </xf>
    <xf numFmtId="0" fontId="20" fillId="2" borderId="5" xfId="0" applyFont="1" applyFill="1" applyBorder="1" applyAlignment="1" applyProtection="1">
      <alignment horizontal="center" wrapText="1"/>
    </xf>
    <xf numFmtId="0" fontId="21" fillId="0" borderId="33" xfId="5" applyFont="1" applyBorder="1" applyAlignment="1" applyProtection="1">
      <alignment horizontal="right" vertical="center" wrapText="1" indent="1"/>
    </xf>
    <xf numFmtId="0" fontId="21" fillId="0" borderId="33" xfId="5" applyFont="1" applyFill="1" applyBorder="1" applyAlignment="1" applyProtection="1">
      <alignment horizontal="right" vertical="center" indent="1"/>
    </xf>
    <xf numFmtId="0" fontId="21" fillId="0" borderId="33" xfId="0" applyFont="1" applyBorder="1" applyAlignment="1">
      <alignment vertical="center" wrapText="1"/>
    </xf>
    <xf numFmtId="0" fontId="21" fillId="0" borderId="33" xfId="0" applyFont="1" applyBorder="1" applyAlignment="1">
      <alignment vertical="center"/>
    </xf>
    <xf numFmtId="0" fontId="1" fillId="0" borderId="0" xfId="3" applyFont="1"/>
    <xf numFmtId="0" fontId="21" fillId="0" borderId="30" xfId="0" applyFont="1" applyBorder="1" applyAlignment="1">
      <alignment horizontal="center" wrapText="1"/>
    </xf>
    <xf numFmtId="0" fontId="21" fillId="0" borderId="30" xfId="0" applyFont="1" applyBorder="1" applyAlignment="1">
      <alignment horizontal="center" vertical="top" wrapText="1"/>
    </xf>
    <xf numFmtId="0" fontId="21" fillId="0" borderId="27" xfId="0" applyFont="1" applyBorder="1" applyAlignment="1">
      <alignment horizontal="center" wrapText="1"/>
    </xf>
    <xf numFmtId="0" fontId="21" fillId="0" borderId="27" xfId="0" applyFont="1" applyBorder="1" applyAlignment="1">
      <alignment horizontal="center" vertical="top" wrapText="1"/>
    </xf>
    <xf numFmtId="0" fontId="20" fillId="0" borderId="29" xfId="0" applyFont="1" applyBorder="1" applyAlignment="1">
      <alignment horizontal="center"/>
    </xf>
    <xf numFmtId="0" fontId="20" fillId="0" borderId="40" xfId="0" applyFont="1" applyFill="1" applyBorder="1" applyAlignment="1" applyProtection="1">
      <alignment vertical="center"/>
    </xf>
    <xf numFmtId="0" fontId="20" fillId="0" borderId="42" xfId="0" applyFont="1" applyFill="1" applyBorder="1" applyAlignment="1" applyProtection="1">
      <alignment vertical="center"/>
    </xf>
    <xf numFmtId="0" fontId="20" fillId="0" borderId="48" xfId="0" applyFont="1" applyFill="1" applyBorder="1" applyAlignment="1" applyProtection="1">
      <alignment vertical="center"/>
    </xf>
    <xf numFmtId="170" fontId="21" fillId="0" borderId="23" xfId="0" applyNumberFormat="1" applyFont="1" applyBorder="1" applyAlignment="1" applyProtection="1">
      <alignment horizontal="right" indent="1"/>
    </xf>
    <xf numFmtId="170" fontId="21" fillId="0" borderId="43" xfId="0" applyNumberFormat="1" applyFont="1" applyBorder="1" applyAlignment="1" applyProtection="1">
      <alignment horizontal="right" indent="1"/>
    </xf>
    <xf numFmtId="10" fontId="21" fillId="0" borderId="41" xfId="4" applyNumberFormat="1" applyFont="1" applyBorder="1" applyAlignment="1" applyProtection="1">
      <alignment horizontal="right" indent="1"/>
    </xf>
    <xf numFmtId="10" fontId="21" fillId="0" borderId="44" xfId="4" applyNumberFormat="1" applyFont="1" applyBorder="1" applyAlignment="1" applyProtection="1">
      <alignment horizontal="right" indent="1"/>
    </xf>
    <xf numFmtId="169" fontId="21" fillId="23" borderId="34" xfId="1" applyNumberFormat="1" applyFont="1" applyFill="1" applyBorder="1" applyAlignment="1" applyProtection="1">
      <alignment vertical="center"/>
    </xf>
    <xf numFmtId="169" fontId="20" fillId="14" borderId="34" xfId="0" applyNumberFormat="1" applyFont="1" applyFill="1" applyBorder="1" applyAlignment="1" applyProtection="1">
      <alignment horizontal="right" vertical="center" indent="1"/>
    </xf>
    <xf numFmtId="0" fontId="21" fillId="23" borderId="7" xfId="0" applyFont="1" applyFill="1" applyBorder="1" applyAlignment="1" applyProtection="1">
      <alignment horizontal="right" vertical="center" indent="1"/>
    </xf>
    <xf numFmtId="0" fontId="21" fillId="23" borderId="33" xfId="0" applyFont="1" applyFill="1" applyBorder="1" applyAlignment="1" applyProtection="1">
      <alignment horizontal="right" vertical="center" indent="1"/>
    </xf>
    <xf numFmtId="0" fontId="21" fillId="23" borderId="12" xfId="0" applyFont="1" applyFill="1" applyBorder="1" applyAlignment="1" applyProtection="1">
      <alignment horizontal="right" vertical="center" indent="1"/>
    </xf>
    <xf numFmtId="169" fontId="30" fillId="5" borderId="96" xfId="0" applyNumberFormat="1" applyFont="1" applyFill="1" applyBorder="1" applyAlignment="1" applyProtection="1">
      <alignment horizontal="right" vertical="center" indent="1"/>
    </xf>
    <xf numFmtId="169" fontId="30" fillId="5" borderId="65" xfId="0" applyNumberFormat="1" applyFont="1" applyFill="1" applyBorder="1" applyAlignment="1" applyProtection="1">
      <alignment horizontal="right" vertical="center" indent="1"/>
    </xf>
    <xf numFmtId="169" fontId="30" fillId="5" borderId="64" xfId="0" applyNumberFormat="1" applyFont="1" applyFill="1" applyBorder="1" applyAlignment="1" applyProtection="1">
      <alignment horizontal="right" vertical="center" indent="1"/>
    </xf>
    <xf numFmtId="169" fontId="30" fillId="5" borderId="90" xfId="0" applyNumberFormat="1" applyFont="1" applyFill="1" applyBorder="1" applyAlignment="1" applyProtection="1">
      <alignment horizontal="right" vertical="center" indent="1"/>
    </xf>
    <xf numFmtId="0" fontId="14" fillId="0" borderId="87" xfId="3" applyFont="1" applyBorder="1" applyAlignment="1" applyProtection="1">
      <alignment horizontal="left" vertical="center" indent="1"/>
    </xf>
    <xf numFmtId="0" fontId="14" fillId="0" borderId="136" xfId="3" applyFont="1" applyBorder="1" applyAlignment="1" applyProtection="1">
      <alignment horizontal="left" vertical="center" indent="1"/>
    </xf>
    <xf numFmtId="0" fontId="14" fillId="0" borderId="42" xfId="3" applyFont="1" applyBorder="1" applyAlignment="1" applyProtection="1">
      <alignment horizontal="left" vertical="center" indent="1"/>
    </xf>
    <xf numFmtId="0" fontId="21" fillId="0" borderId="33" xfId="0" applyFont="1" applyFill="1" applyBorder="1" applyAlignment="1" applyProtection="1">
      <alignment vertical="top"/>
    </xf>
    <xf numFmtId="169" fontId="30" fillId="15" borderId="103" xfId="1" applyNumberFormat="1" applyFont="1" applyFill="1" applyBorder="1" applyAlignment="1" applyProtection="1">
      <alignment horizontal="right" vertical="top" indent="1"/>
    </xf>
    <xf numFmtId="169" fontId="30" fillId="15" borderId="37" xfId="1" applyNumberFormat="1" applyFont="1" applyFill="1" applyBorder="1" applyAlignment="1" applyProtection="1">
      <alignment horizontal="right" vertical="top" indent="1"/>
    </xf>
    <xf numFmtId="169" fontId="30" fillId="15" borderId="38" xfId="1" applyNumberFormat="1" applyFont="1" applyFill="1" applyBorder="1" applyAlignment="1" applyProtection="1">
      <alignment horizontal="right" vertical="top" indent="1"/>
    </xf>
    <xf numFmtId="169" fontId="30" fillId="15" borderId="110" xfId="1" applyNumberFormat="1" applyFont="1" applyFill="1" applyBorder="1" applyAlignment="1" applyProtection="1">
      <alignment horizontal="right" vertical="top" indent="1"/>
    </xf>
    <xf numFmtId="169" fontId="30" fillId="15" borderId="112" xfId="1" applyNumberFormat="1" applyFont="1" applyFill="1" applyBorder="1" applyAlignment="1" applyProtection="1">
      <alignment horizontal="right" vertical="top" indent="1"/>
    </xf>
    <xf numFmtId="0" fontId="1" fillId="0" borderId="163" xfId="7" applyBorder="1"/>
    <xf numFmtId="0" fontId="1" fillId="0" borderId="18" xfId="7" applyBorder="1"/>
    <xf numFmtId="0" fontId="1" fillId="0" borderId="164" xfId="7" applyBorder="1"/>
    <xf numFmtId="0" fontId="1" fillId="0" borderId="165" xfId="7" applyBorder="1"/>
    <xf numFmtId="0" fontId="20" fillId="0" borderId="0" xfId="0" applyFont="1" applyAlignment="1">
      <alignment vertical="top"/>
    </xf>
    <xf numFmtId="0" fontId="1" fillId="0" borderId="0" xfId="7" applyBorder="1"/>
    <xf numFmtId="0" fontId="1" fillId="0" borderId="166" xfId="7" applyBorder="1"/>
    <xf numFmtId="0" fontId="49" fillId="0" borderId="0" xfId="8" applyFont="1" applyBorder="1" applyAlignment="1" applyProtection="1"/>
    <xf numFmtId="0" fontId="0" fillId="0" borderId="0" xfId="0" applyAlignment="1">
      <alignment vertical="center"/>
    </xf>
    <xf numFmtId="0" fontId="1" fillId="0" borderId="165" xfId="7" applyBorder="1" applyAlignment="1">
      <alignment vertical="center"/>
    </xf>
    <xf numFmtId="0" fontId="20" fillId="0" borderId="0" xfId="7" applyFont="1" applyBorder="1" applyAlignment="1">
      <alignment vertical="center"/>
    </xf>
    <xf numFmtId="0" fontId="1" fillId="0" borderId="0" xfId="7" applyBorder="1" applyAlignment="1">
      <alignment vertical="center"/>
    </xf>
    <xf numFmtId="0" fontId="1" fillId="0" borderId="166" xfId="7" applyBorder="1" applyAlignment="1">
      <alignment vertical="center"/>
    </xf>
    <xf numFmtId="0" fontId="20" fillId="0" borderId="0" xfId="7" applyFont="1" applyBorder="1" applyAlignment="1">
      <alignment horizontal="left" vertical="center"/>
    </xf>
    <xf numFmtId="0" fontId="24" fillId="0" borderId="0" xfId="7" applyFont="1" applyBorder="1" applyAlignment="1">
      <alignment vertical="center"/>
    </xf>
    <xf numFmtId="0" fontId="24" fillId="0" borderId="0" xfId="7" applyFont="1" applyBorder="1"/>
    <xf numFmtId="0" fontId="1" fillId="0" borderId="167" xfId="7" applyBorder="1"/>
    <xf numFmtId="0" fontId="1" fillId="0" borderId="17" xfId="7" applyBorder="1"/>
    <xf numFmtId="0" fontId="24" fillId="0" borderId="17" xfId="7" applyFont="1" applyBorder="1"/>
    <xf numFmtId="0" fontId="1" fillId="0" borderId="168" xfId="7" applyBorder="1"/>
    <xf numFmtId="0" fontId="20" fillId="2" borderId="5" xfId="0" applyFont="1" applyFill="1" applyBorder="1" applyAlignment="1" applyProtection="1">
      <alignment horizontal="center" wrapText="1"/>
    </xf>
    <xf numFmtId="0" fontId="22" fillId="0" borderId="0" xfId="0" applyFont="1" applyAlignment="1">
      <alignment horizontal="right"/>
    </xf>
    <xf numFmtId="0" fontId="21" fillId="0" borderId="22" xfId="0" applyFont="1" applyBorder="1" applyAlignment="1">
      <alignment vertical="center" wrapText="1"/>
    </xf>
    <xf numFmtId="0" fontId="24" fillId="0" borderId="22" xfId="0" applyFont="1" applyBorder="1" applyAlignment="1">
      <alignment vertical="center" wrapText="1"/>
    </xf>
    <xf numFmtId="0" fontId="50" fillId="0" borderId="52" xfId="0" applyFont="1" applyBorder="1" applyProtection="1"/>
    <xf numFmtId="0" fontId="50" fillId="0" borderId="5" xfId="0" applyFont="1" applyBorder="1" applyProtection="1"/>
    <xf numFmtId="0" fontId="50" fillId="0" borderId="5" xfId="0" applyFont="1" applyBorder="1" applyAlignment="1" applyProtection="1">
      <alignment horizontal="center"/>
    </xf>
    <xf numFmtId="0" fontId="50" fillId="0" borderId="25" xfId="0" applyFont="1" applyBorder="1" applyProtection="1"/>
    <xf numFmtId="0" fontId="20" fillId="0" borderId="0" xfId="0" applyFont="1" applyBorder="1" applyProtection="1"/>
    <xf numFmtId="0" fontId="21" fillId="0" borderId="169" xfId="0" applyFont="1" applyBorder="1" applyAlignment="1">
      <alignment vertical="center"/>
    </xf>
    <xf numFmtId="0" fontId="20" fillId="0" borderId="170" xfId="0" applyFont="1" applyBorder="1" applyAlignment="1">
      <alignment vertical="center" wrapText="1"/>
    </xf>
    <xf numFmtId="0" fontId="21" fillId="0" borderId="142" xfId="0" applyFont="1" applyBorder="1" applyAlignment="1">
      <alignment vertical="center"/>
    </xf>
    <xf numFmtId="0" fontId="20" fillId="0" borderId="51" xfId="0" applyFont="1" applyBorder="1" applyAlignment="1">
      <alignment vertical="center" wrapText="1"/>
    </xf>
    <xf numFmtId="0" fontId="21" fillId="0" borderId="101" xfId="0" applyFont="1" applyBorder="1" applyAlignment="1">
      <alignment vertical="center"/>
    </xf>
    <xf numFmtId="0" fontId="20" fillId="0" borderId="102" xfId="0" applyFont="1" applyBorder="1" applyAlignment="1">
      <alignment vertical="center" wrapText="1"/>
    </xf>
    <xf numFmtId="44" fontId="29" fillId="5" borderId="24" xfId="1" applyNumberFormat="1" applyFont="1" applyFill="1" applyBorder="1" applyAlignment="1" applyProtection="1">
      <alignment horizontal="right" vertical="top" indent="1"/>
    </xf>
    <xf numFmtId="0" fontId="46" fillId="0" borderId="0" xfId="0" applyFont="1" applyAlignment="1" applyProtection="1">
      <alignment horizontal="left"/>
    </xf>
    <xf numFmtId="14" fontId="46" fillId="0" borderId="0" xfId="0" applyNumberFormat="1" applyFont="1" applyAlignment="1" applyProtection="1">
      <alignment horizontal="left"/>
    </xf>
    <xf numFmtId="0" fontId="21" fillId="0" borderId="134" xfId="0" applyFont="1" applyFill="1" applyBorder="1" applyAlignment="1" applyProtection="1">
      <alignment vertical="top"/>
    </xf>
    <xf numFmtId="0" fontId="21" fillId="0" borderId="10" xfId="0" applyFont="1" applyFill="1" applyBorder="1" applyAlignment="1" applyProtection="1">
      <alignment vertical="top"/>
    </xf>
    <xf numFmtId="0" fontId="21" fillId="0" borderId="70" xfId="0" applyFont="1" applyFill="1" applyBorder="1" applyAlignment="1" applyProtection="1">
      <alignment vertical="top"/>
    </xf>
    <xf numFmtId="0" fontId="21" fillId="0" borderId="67" xfId="0" applyFont="1" applyFill="1" applyBorder="1" applyAlignment="1" applyProtection="1">
      <alignment vertical="top"/>
    </xf>
    <xf numFmtId="0" fontId="15" fillId="0" borderId="46" xfId="3" applyFont="1" applyFill="1" applyBorder="1" applyAlignment="1" applyProtection="1">
      <alignment horizontal="left" vertical="center" wrapText="1"/>
    </xf>
    <xf numFmtId="0" fontId="21" fillId="9" borderId="127" xfId="0" applyFont="1" applyFill="1" applyBorder="1"/>
    <xf numFmtId="44" fontId="20" fillId="13" borderId="116" xfId="0" applyNumberFormat="1" applyFont="1" applyFill="1" applyBorder="1" applyProtection="1">
      <protection locked="0"/>
    </xf>
    <xf numFmtId="3" fontId="14" fillId="13" borderId="77" xfId="0" applyNumberFormat="1" applyFont="1" applyFill="1" applyBorder="1" applyAlignment="1" applyProtection="1">
      <alignment horizontal="right" vertical="center" wrapText="1" indent="1"/>
      <protection locked="0"/>
    </xf>
    <xf numFmtId="3" fontId="14" fillId="13" borderId="22" xfId="0" applyNumberFormat="1" applyFont="1" applyFill="1" applyBorder="1" applyAlignment="1" applyProtection="1">
      <alignment horizontal="right" vertical="center" wrapText="1" indent="1"/>
      <protection locked="0"/>
    </xf>
    <xf numFmtId="3" fontId="14" fillId="13" borderId="26" xfId="0" applyNumberFormat="1" applyFont="1" applyFill="1" applyBorder="1" applyAlignment="1" applyProtection="1">
      <alignment horizontal="right" vertical="center" wrapText="1" indent="1"/>
      <protection locked="0"/>
    </xf>
    <xf numFmtId="3" fontId="14" fillId="13" borderId="20" xfId="0" applyNumberFormat="1" applyFont="1" applyFill="1" applyBorder="1" applyAlignment="1" applyProtection="1">
      <alignment horizontal="right" vertical="center" wrapText="1" indent="1"/>
      <protection locked="0"/>
    </xf>
    <xf numFmtId="10" fontId="14" fillId="4" borderId="16" xfId="4" applyNumberFormat="1" applyFont="1" applyFill="1" applyBorder="1" applyAlignment="1" applyProtection="1">
      <alignment horizontal="right" indent="1"/>
      <protection locked="0"/>
    </xf>
    <xf numFmtId="10" fontId="14" fillId="4" borderId="19" xfId="4" applyNumberFormat="1" applyFont="1" applyFill="1" applyBorder="1" applyAlignment="1" applyProtection="1">
      <alignment horizontal="right" indent="1"/>
      <protection locked="0"/>
    </xf>
    <xf numFmtId="169" fontId="20" fillId="0" borderId="24" xfId="1" applyNumberFormat="1" applyFont="1" applyFill="1" applyBorder="1" applyAlignment="1" applyProtection="1">
      <alignment horizontal="right" vertical="center" indent="1"/>
    </xf>
    <xf numFmtId="0" fontId="51" fillId="0" borderId="24" xfId="0" applyFont="1" applyBorder="1" applyProtection="1"/>
    <xf numFmtId="169" fontId="52" fillId="5" borderId="24" xfId="1" applyNumberFormat="1" applyFont="1" applyFill="1" applyBorder="1" applyAlignment="1" applyProtection="1">
      <alignment horizontal="right" vertical="center" indent="1"/>
    </xf>
    <xf numFmtId="44" fontId="52" fillId="5" borderId="24" xfId="1" applyNumberFormat="1" applyFont="1" applyFill="1" applyBorder="1" applyAlignment="1" applyProtection="1">
      <alignment horizontal="right" vertical="center" indent="1"/>
    </xf>
    <xf numFmtId="0" fontId="22" fillId="0" borderId="0" xfId="0" applyFont="1" applyBorder="1"/>
    <xf numFmtId="0" fontId="20" fillId="2" borderId="144" xfId="0" applyFont="1" applyFill="1" applyBorder="1" applyAlignment="1">
      <alignment horizontal="center" vertical="top" wrapText="1"/>
    </xf>
    <xf numFmtId="0" fontId="26" fillId="5" borderId="22" xfId="0" applyFont="1" applyFill="1" applyBorder="1" applyAlignment="1">
      <alignment horizontal="left" vertical="top" indent="1"/>
    </xf>
    <xf numFmtId="0" fontId="20" fillId="0" borderId="5" xfId="0" applyFont="1" applyBorder="1" applyAlignment="1">
      <alignment horizontal="center" vertical="center" wrapText="1"/>
    </xf>
    <xf numFmtId="0" fontId="20" fillId="0" borderId="25" xfId="0" applyFont="1" applyBorder="1" applyAlignment="1">
      <alignment horizontal="center" vertical="center" wrapText="1"/>
    </xf>
    <xf numFmtId="0" fontId="20" fillId="2" borderId="144" xfId="0" applyFont="1" applyFill="1" applyBorder="1" applyAlignment="1">
      <alignment horizontal="center" vertical="top" wrapText="1"/>
    </xf>
    <xf numFmtId="0" fontId="20" fillId="0" borderId="25" xfId="0" applyFont="1" applyBorder="1" applyAlignment="1">
      <alignment horizontal="center" vertical="center" wrapText="1"/>
    </xf>
    <xf numFmtId="0" fontId="21" fillId="0" borderId="151" xfId="0" applyFont="1" applyFill="1" applyBorder="1" applyAlignment="1">
      <alignment horizontal="left" vertical="top" wrapText="1" indent="1"/>
    </xf>
    <xf numFmtId="0" fontId="21" fillId="0" borderId="148" xfId="0" applyFont="1" applyFill="1" applyBorder="1" applyAlignment="1">
      <alignment horizontal="left" vertical="top" wrapText="1" indent="1"/>
    </xf>
    <xf numFmtId="0" fontId="20" fillId="2" borderId="24" xfId="0" applyFont="1" applyFill="1" applyBorder="1" applyAlignment="1" applyProtection="1">
      <alignment horizontal="center" vertical="center" wrapText="1"/>
    </xf>
    <xf numFmtId="0" fontId="20" fillId="14" borderId="25" xfId="0" applyFont="1" applyFill="1" applyBorder="1" applyAlignment="1" applyProtection="1">
      <alignment horizontal="center" vertical="top" wrapText="1"/>
    </xf>
    <xf numFmtId="0" fontId="26" fillId="5" borderId="22" xfId="0" applyFont="1" applyFill="1" applyBorder="1" applyAlignment="1">
      <alignment horizontal="left" vertical="top" indent="1"/>
    </xf>
    <xf numFmtId="0" fontId="21" fillId="0" borderId="0" xfId="0" applyFont="1" applyFill="1"/>
    <xf numFmtId="0" fontId="53" fillId="0" borderId="0" xfId="0" applyFont="1" applyFill="1"/>
    <xf numFmtId="0" fontId="31" fillId="0" borderId="0" xfId="0" applyFont="1" applyFill="1"/>
    <xf numFmtId="0" fontId="42" fillId="0" borderId="0" xfId="0" applyFont="1" applyFill="1"/>
    <xf numFmtId="0" fontId="37" fillId="0" borderId="0" xfId="0" applyFont="1" applyFill="1"/>
    <xf numFmtId="0" fontId="53" fillId="0" borderId="22" xfId="0" applyFont="1" applyFill="1" applyBorder="1"/>
    <xf numFmtId="2" fontId="53" fillId="0" borderId="0" xfId="0" applyNumberFormat="1" applyFont="1" applyFill="1" applyBorder="1" applyAlignment="1">
      <alignment horizontal="right" wrapText="1" indent="1"/>
    </xf>
    <xf numFmtId="2" fontId="53" fillId="0" borderId="0" xfId="0" applyNumberFormat="1" applyFont="1" applyFill="1" applyBorder="1"/>
    <xf numFmtId="0" fontId="22" fillId="0" borderId="0" xfId="0" applyFont="1" applyBorder="1"/>
    <xf numFmtId="0" fontId="26" fillId="5" borderId="0" xfId="0" applyFont="1" applyFill="1" applyBorder="1" applyAlignment="1">
      <alignment horizontal="left" vertical="top" indent="1"/>
    </xf>
    <xf numFmtId="0" fontId="20" fillId="2" borderId="5" xfId="0" applyFont="1" applyFill="1" applyBorder="1" applyAlignment="1" applyProtection="1">
      <alignment horizontal="center" wrapText="1"/>
    </xf>
    <xf numFmtId="0" fontId="53" fillId="0" borderId="22" xfId="0" applyFont="1" applyFill="1" applyBorder="1" applyAlignment="1">
      <alignment horizontal="right" wrapText="1" indent="1"/>
    </xf>
    <xf numFmtId="0" fontId="42" fillId="0" borderId="0" xfId="0" applyFont="1" applyFill="1" applyBorder="1"/>
    <xf numFmtId="0" fontId="53" fillId="0" borderId="0" xfId="0" applyFont="1" applyFill="1" applyBorder="1"/>
    <xf numFmtId="0" fontId="53" fillId="0" borderId="0" xfId="0" applyFont="1" applyFill="1" applyAlignment="1">
      <alignment horizontal="right" wrapText="1" indent="1"/>
    </xf>
    <xf numFmtId="0" fontId="54" fillId="0" borderId="0" xfId="0" applyFont="1" applyFill="1" applyBorder="1" applyAlignment="1">
      <alignment horizontal="left" vertical="top"/>
    </xf>
    <xf numFmtId="0" fontId="55" fillId="0" borderId="0" xfId="3" applyFont="1" applyFill="1" applyBorder="1"/>
    <xf numFmtId="0" fontId="53" fillId="0" borderId="0" xfId="0" applyFont="1" applyFill="1" applyProtection="1"/>
    <xf numFmtId="0" fontId="21" fillId="0" borderId="0" xfId="0" applyFont="1" applyFill="1" applyProtection="1"/>
    <xf numFmtId="0" fontId="42" fillId="0" borderId="0" xfId="0" applyFont="1" applyFill="1" applyProtection="1"/>
    <xf numFmtId="0" fontId="26" fillId="5" borderId="0" xfId="0" applyFont="1" applyFill="1" applyBorder="1" applyAlignment="1" applyProtection="1">
      <alignment horizontal="left" vertical="top"/>
    </xf>
    <xf numFmtId="0" fontId="21" fillId="0" borderId="0" xfId="0" applyFont="1" applyAlignment="1" applyProtection="1">
      <alignment wrapText="1"/>
    </xf>
    <xf numFmtId="0" fontId="20" fillId="2" borderId="5" xfId="0" applyFont="1" applyFill="1" applyBorder="1" applyAlignment="1" applyProtection="1">
      <alignment horizontal="center" wrapText="1"/>
    </xf>
    <xf numFmtId="0" fontId="21" fillId="0" borderId="0" xfId="9" applyFont="1" applyBorder="1"/>
    <xf numFmtId="0" fontId="21" fillId="0" borderId="0" xfId="9" applyNumberFormat="1" applyFont="1" applyBorder="1"/>
    <xf numFmtId="0" fontId="21" fillId="0" borderId="0" xfId="9" applyNumberFormat="1" applyFont="1" applyBorder="1" applyAlignment="1">
      <alignment horizontal="center"/>
    </xf>
    <xf numFmtId="0" fontId="22" fillId="0" borderId="0" xfId="9" applyFont="1" applyBorder="1"/>
    <xf numFmtId="0" fontId="33" fillId="0" borderId="0" xfId="9" applyFont="1" applyBorder="1"/>
    <xf numFmtId="0" fontId="22" fillId="0" borderId="22" xfId="9" applyFont="1" applyBorder="1"/>
    <xf numFmtId="0" fontId="22" fillId="0" borderId="22" xfId="9" applyFont="1" applyFill="1" applyBorder="1" applyAlignment="1">
      <alignment horizontal="center" vertical="center"/>
    </xf>
    <xf numFmtId="164" fontId="22" fillId="0" borderId="22" xfId="9" applyNumberFormat="1" applyFont="1" applyFill="1" applyBorder="1" applyAlignment="1">
      <alignment horizontal="right" indent="1"/>
    </xf>
    <xf numFmtId="0" fontId="22" fillId="0" borderId="22" xfId="9" applyNumberFormat="1" applyFont="1" applyFill="1" applyBorder="1" applyAlignment="1">
      <alignment horizontal="right" indent="1"/>
    </xf>
    <xf numFmtId="0" fontId="22" fillId="0" borderId="22" xfId="9" applyNumberFormat="1" applyFont="1" applyFill="1" applyBorder="1" applyAlignment="1">
      <alignment horizontal="center"/>
    </xf>
    <xf numFmtId="0" fontId="22" fillId="0" borderId="22" xfId="9" applyFont="1" applyFill="1" applyBorder="1" applyAlignment="1">
      <alignment horizontal="right" indent="1"/>
    </xf>
    <xf numFmtId="0" fontId="21" fillId="0" borderId="0" xfId="9" applyFont="1" applyFill="1" applyBorder="1" applyAlignment="1">
      <alignment horizontal="right" indent="1"/>
    </xf>
    <xf numFmtId="0" fontId="21" fillId="0" borderId="0" xfId="9" applyFont="1" applyFill="1" applyBorder="1"/>
    <xf numFmtId="0" fontId="21" fillId="0" borderId="0" xfId="9" applyFont="1" applyFill="1" applyBorder="1" applyAlignment="1">
      <alignment horizontal="center" vertical="center"/>
    </xf>
    <xf numFmtId="164" fontId="21" fillId="0" borderId="0" xfId="9" applyNumberFormat="1" applyFont="1" applyFill="1" applyBorder="1" applyAlignment="1">
      <alignment horizontal="right" indent="1"/>
    </xf>
    <xf numFmtId="0" fontId="21" fillId="0" borderId="0" xfId="9" applyNumberFormat="1" applyFont="1" applyFill="1" applyBorder="1" applyAlignment="1">
      <alignment horizontal="right" indent="1"/>
    </xf>
    <xf numFmtId="0" fontId="21" fillId="0" borderId="0" xfId="9" applyNumberFormat="1" applyFont="1" applyFill="1" applyBorder="1" applyAlignment="1">
      <alignment horizontal="center"/>
    </xf>
    <xf numFmtId="0" fontId="20" fillId="0" borderId="0" xfId="9" applyFont="1" applyFill="1" applyBorder="1" applyAlignment="1">
      <alignment horizontal="center"/>
    </xf>
    <xf numFmtId="0" fontId="20" fillId="0" borderId="20" xfId="9" applyFont="1" applyFill="1" applyBorder="1" applyAlignment="1">
      <alignment horizontal="center"/>
    </xf>
    <xf numFmtId="164" fontId="20" fillId="0" borderId="20" xfId="9" applyNumberFormat="1" applyFont="1" applyFill="1" applyBorder="1" applyAlignment="1">
      <alignment horizontal="center"/>
    </xf>
    <xf numFmtId="0" fontId="20" fillId="0" borderId="27" xfId="9" applyNumberFormat="1" applyFont="1" applyFill="1" applyBorder="1" applyAlignment="1">
      <alignment horizontal="center"/>
    </xf>
    <xf numFmtId="0" fontId="20" fillId="2" borderId="62" xfId="9" applyNumberFormat="1" applyFont="1" applyFill="1" applyBorder="1" applyAlignment="1">
      <alignment horizontal="center" wrapText="1"/>
    </xf>
    <xf numFmtId="0" fontId="20" fillId="2" borderId="26" xfId="9" applyFont="1" applyFill="1" applyBorder="1" applyAlignment="1">
      <alignment horizontal="center"/>
    </xf>
    <xf numFmtId="0" fontId="20" fillId="2" borderId="27" xfId="9" applyFont="1" applyFill="1" applyBorder="1" applyAlignment="1">
      <alignment horizontal="center"/>
    </xf>
    <xf numFmtId="0" fontId="20" fillId="2" borderId="53" xfId="9" applyFont="1" applyFill="1" applyBorder="1" applyAlignment="1">
      <alignment horizontal="center" wrapText="1"/>
    </xf>
    <xf numFmtId="164" fontId="20" fillId="2" borderId="27" xfId="9" applyNumberFormat="1" applyFont="1" applyFill="1" applyBorder="1" applyAlignment="1">
      <alignment horizontal="center"/>
    </xf>
    <xf numFmtId="0" fontId="20" fillId="2" borderId="26" xfId="9" applyNumberFormat="1" applyFont="1" applyFill="1" applyBorder="1" applyAlignment="1">
      <alignment horizontal="center" wrapText="1"/>
    </xf>
    <xf numFmtId="0" fontId="20" fillId="2" borderId="24" xfId="9" applyNumberFormat="1" applyFont="1" applyFill="1" applyBorder="1" applyAlignment="1">
      <alignment horizontal="center"/>
    </xf>
    <xf numFmtId="0" fontId="20" fillId="2" borderId="52" xfId="9" applyFont="1" applyFill="1" applyBorder="1" applyAlignment="1">
      <alignment horizontal="center"/>
    </xf>
    <xf numFmtId="0" fontId="20" fillId="2" borderId="54" xfId="9" applyFont="1" applyFill="1" applyBorder="1" applyAlignment="1">
      <alignment horizontal="center"/>
    </xf>
    <xf numFmtId="0" fontId="20" fillId="2" borderId="3" xfId="9" applyFont="1" applyFill="1" applyBorder="1" applyAlignment="1">
      <alignment horizontal="center"/>
    </xf>
    <xf numFmtId="0" fontId="20" fillId="2" borderId="1" xfId="9" applyFont="1" applyFill="1" applyBorder="1" applyAlignment="1">
      <alignment horizontal="center"/>
    </xf>
    <xf numFmtId="0" fontId="20" fillId="2" borderId="2" xfId="9" applyFont="1" applyFill="1" applyBorder="1" applyAlignment="1">
      <alignment horizontal="center"/>
    </xf>
    <xf numFmtId="0" fontId="20" fillId="2" borderId="0" xfId="9" applyFont="1" applyFill="1" applyBorder="1" applyAlignment="1">
      <alignment horizontal="center"/>
    </xf>
    <xf numFmtId="0" fontId="20" fillId="0" borderId="55" xfId="9" applyFont="1" applyFill="1" applyBorder="1" applyAlignment="1">
      <alignment horizontal="center"/>
    </xf>
    <xf numFmtId="0" fontId="20" fillId="0" borderId="6" xfId="9" applyFont="1" applyFill="1" applyBorder="1" applyAlignment="1">
      <alignment horizontal="left"/>
    </xf>
    <xf numFmtId="0" fontId="21" fillId="0" borderId="6" xfId="9" applyFont="1" applyFill="1" applyBorder="1" applyAlignment="1">
      <alignment horizontal="left"/>
    </xf>
    <xf numFmtId="0" fontId="21" fillId="0" borderId="7" xfId="9" applyFont="1" applyFill="1" applyBorder="1" applyAlignment="1">
      <alignment horizontal="left"/>
    </xf>
    <xf numFmtId="0" fontId="21" fillId="0" borderId="56" xfId="9" applyFont="1" applyFill="1" applyBorder="1" applyAlignment="1">
      <alignment horizontal="center"/>
    </xf>
    <xf numFmtId="0" fontId="21" fillId="0" borderId="6" xfId="9" applyFont="1" applyFill="1" applyBorder="1" applyAlignment="1">
      <alignment horizontal="center"/>
    </xf>
    <xf numFmtId="1" fontId="21" fillId="0" borderId="8" xfId="9" applyNumberFormat="1" applyFont="1" applyFill="1" applyBorder="1" applyAlignment="1">
      <alignment horizontal="center"/>
    </xf>
    <xf numFmtId="0" fontId="21" fillId="0" borderId="6" xfId="9" applyFont="1" applyFill="1" applyBorder="1" applyAlignment="1">
      <alignment horizontal="right" indent="1"/>
    </xf>
    <xf numFmtId="0" fontId="21" fillId="0" borderId="7" xfId="9" applyFont="1" applyFill="1" applyBorder="1" applyAlignment="1">
      <alignment horizontal="right" indent="1"/>
    </xf>
    <xf numFmtId="0" fontId="21" fillId="0" borderId="8" xfId="9" applyFont="1" applyFill="1" applyBorder="1" applyAlignment="1">
      <alignment horizontal="right" indent="1"/>
    </xf>
    <xf numFmtId="167" fontId="21" fillId="0" borderId="6" xfId="9" applyNumberFormat="1" applyFont="1" applyFill="1" applyBorder="1" applyAlignment="1">
      <alignment horizontal="right" indent="1"/>
    </xf>
    <xf numFmtId="167" fontId="21" fillId="0" borderId="7" xfId="9" applyNumberFormat="1" applyFont="1" applyFill="1" applyBorder="1" applyAlignment="1">
      <alignment horizontal="right" indent="1"/>
    </xf>
    <xf numFmtId="167" fontId="21" fillId="0" borderId="8" xfId="9" applyNumberFormat="1" applyFont="1" applyFill="1" applyBorder="1" applyAlignment="1">
      <alignment horizontal="right" indent="1"/>
    </xf>
    <xf numFmtId="0" fontId="20" fillId="0" borderId="9" xfId="9" applyFont="1" applyFill="1" applyBorder="1" applyAlignment="1">
      <alignment horizontal="left"/>
    </xf>
    <xf numFmtId="0" fontId="21" fillId="0" borderId="9" xfId="9" applyFont="1" applyFill="1" applyBorder="1" applyAlignment="1">
      <alignment horizontal="left"/>
    </xf>
    <xf numFmtId="0" fontId="21" fillId="0" borderId="10" xfId="9" applyFont="1" applyFill="1" applyBorder="1" applyAlignment="1">
      <alignment horizontal="left"/>
    </xf>
    <xf numFmtId="0" fontId="21" fillId="0" borderId="57" xfId="9" applyFont="1" applyFill="1" applyBorder="1" applyAlignment="1">
      <alignment horizontal="center"/>
    </xf>
    <xf numFmtId="0" fontId="21" fillId="0" borderId="9" xfId="9" applyFont="1" applyFill="1" applyBorder="1" applyAlignment="1">
      <alignment horizontal="center"/>
    </xf>
    <xf numFmtId="1" fontId="21" fillId="0" borderId="58" xfId="9" applyNumberFormat="1" applyFont="1" applyFill="1" applyBorder="1" applyAlignment="1">
      <alignment horizontal="center"/>
    </xf>
    <xf numFmtId="0" fontId="21" fillId="0" borderId="9" xfId="9" applyFont="1" applyFill="1" applyBorder="1" applyAlignment="1">
      <alignment horizontal="right" indent="1"/>
    </xf>
    <xf numFmtId="0" fontId="21" fillId="0" borderId="10" xfId="9" applyFont="1" applyFill="1" applyBorder="1" applyAlignment="1">
      <alignment horizontal="right" indent="1"/>
    </xf>
    <xf numFmtId="0" fontId="21" fillId="0" borderId="58" xfId="9" applyFont="1" applyFill="1" applyBorder="1" applyAlignment="1">
      <alignment horizontal="right" indent="1"/>
    </xf>
    <xf numFmtId="167" fontId="21" fillId="0" borderId="9" xfId="9" applyNumberFormat="1" applyFont="1" applyFill="1" applyBorder="1" applyAlignment="1">
      <alignment horizontal="right" indent="1"/>
    </xf>
    <xf numFmtId="167" fontId="21" fillId="0" borderId="10" xfId="9" applyNumberFormat="1" applyFont="1" applyFill="1" applyBorder="1" applyAlignment="1">
      <alignment horizontal="right" indent="1"/>
    </xf>
    <xf numFmtId="167" fontId="21" fillId="0" borderId="58" xfId="9" applyNumberFormat="1" applyFont="1" applyFill="1" applyBorder="1" applyAlignment="1">
      <alignment horizontal="right" indent="1"/>
    </xf>
    <xf numFmtId="0" fontId="20" fillId="0" borderId="32" xfId="9" applyFont="1" applyFill="1" applyBorder="1" applyAlignment="1">
      <alignment horizontal="left"/>
    </xf>
    <xf numFmtId="0" fontId="20" fillId="0" borderId="66" xfId="9" applyFont="1" applyFill="1" applyBorder="1" applyAlignment="1">
      <alignment horizontal="left"/>
    </xf>
    <xf numFmtId="0" fontId="21" fillId="0" borderId="66" xfId="9" applyFont="1" applyFill="1" applyBorder="1" applyAlignment="1">
      <alignment horizontal="left"/>
    </xf>
    <xf numFmtId="0" fontId="21" fillId="0" borderId="67" xfId="9" applyFont="1" applyFill="1" applyBorder="1" applyAlignment="1">
      <alignment horizontal="left"/>
    </xf>
    <xf numFmtId="0" fontId="21" fillId="0" borderId="68" xfId="9" applyFont="1" applyFill="1" applyBorder="1" applyAlignment="1">
      <alignment horizontal="center"/>
    </xf>
    <xf numFmtId="0" fontId="21" fillId="0" borderId="66" xfId="9" applyFont="1" applyFill="1" applyBorder="1" applyAlignment="1">
      <alignment horizontal="center"/>
    </xf>
    <xf numFmtId="1" fontId="21" fillId="0" borderId="69" xfId="9" applyNumberFormat="1" applyFont="1" applyFill="1" applyBorder="1" applyAlignment="1">
      <alignment horizontal="center"/>
    </xf>
    <xf numFmtId="0" fontId="21" fillId="0" borderId="66" xfId="9" applyFont="1" applyFill="1" applyBorder="1" applyAlignment="1">
      <alignment horizontal="right" indent="1"/>
    </xf>
    <xf numFmtId="0" fontId="21" fillId="0" borderId="67" xfId="9" applyFont="1" applyFill="1" applyBorder="1" applyAlignment="1">
      <alignment horizontal="right" indent="1"/>
    </xf>
    <xf numFmtId="0" fontId="21" fillId="0" borderId="69" xfId="9" applyFont="1" applyFill="1" applyBorder="1" applyAlignment="1">
      <alignment horizontal="right" indent="1"/>
    </xf>
    <xf numFmtId="167" fontId="21" fillId="0" borderId="66" xfId="9" applyNumberFormat="1" applyFont="1" applyFill="1" applyBorder="1" applyAlignment="1">
      <alignment horizontal="right" indent="1"/>
    </xf>
    <xf numFmtId="167" fontId="21" fillId="0" borderId="67" xfId="9" applyNumberFormat="1" applyFont="1" applyFill="1" applyBorder="1" applyAlignment="1">
      <alignment horizontal="right" indent="1"/>
    </xf>
    <xf numFmtId="167" fontId="21" fillId="0" borderId="69" xfId="9" applyNumberFormat="1" applyFont="1" applyFill="1" applyBorder="1" applyAlignment="1">
      <alignment horizontal="right" indent="1"/>
    </xf>
    <xf numFmtId="0" fontId="20" fillId="0" borderId="11" xfId="9" applyFont="1" applyFill="1" applyBorder="1" applyAlignment="1">
      <alignment horizontal="left"/>
    </xf>
    <xf numFmtId="0" fontId="21" fillId="0" borderId="11" xfId="9" applyFont="1" applyFill="1" applyBorder="1" applyAlignment="1">
      <alignment horizontal="left"/>
    </xf>
    <xf numFmtId="0" fontId="21" fillId="0" borderId="12" xfId="9" applyFont="1" applyFill="1" applyBorder="1" applyAlignment="1">
      <alignment horizontal="left"/>
    </xf>
    <xf numFmtId="0" fontId="21" fillId="0" borderId="59" xfId="9" applyFont="1" applyFill="1" applyBorder="1" applyAlignment="1">
      <alignment horizontal="center"/>
    </xf>
    <xf numFmtId="0" fontId="21" fillId="0" borderId="11" xfId="9" applyFont="1" applyFill="1" applyBorder="1" applyAlignment="1">
      <alignment horizontal="center"/>
    </xf>
    <xf numFmtId="1" fontId="21" fillId="0" borderId="13" xfId="9" applyNumberFormat="1" applyFont="1" applyFill="1" applyBorder="1" applyAlignment="1">
      <alignment horizontal="center"/>
    </xf>
    <xf numFmtId="0" fontId="21" fillId="0" borderId="11" xfId="9" applyFont="1" applyFill="1" applyBorder="1" applyAlignment="1">
      <alignment horizontal="right" indent="1"/>
    </xf>
    <xf numFmtId="0" fontId="21" fillId="0" borderId="12" xfId="9" applyFont="1" applyFill="1" applyBorder="1" applyAlignment="1">
      <alignment horizontal="right" indent="1"/>
    </xf>
    <xf numFmtId="0" fontId="21" fillId="0" borderId="13" xfId="9" applyFont="1" applyFill="1" applyBorder="1" applyAlignment="1">
      <alignment horizontal="right" indent="1"/>
    </xf>
    <xf numFmtId="167" fontId="21" fillId="0" borderId="11" xfId="9" applyNumberFormat="1" applyFont="1" applyFill="1" applyBorder="1" applyAlignment="1">
      <alignment horizontal="right" indent="1"/>
    </xf>
    <xf numFmtId="167" fontId="21" fillId="0" borderId="12" xfId="9" applyNumberFormat="1" applyFont="1" applyFill="1" applyBorder="1" applyAlignment="1">
      <alignment horizontal="right" indent="1"/>
    </xf>
    <xf numFmtId="167" fontId="21" fillId="0" borderId="13" xfId="9" applyNumberFormat="1" applyFont="1" applyFill="1" applyBorder="1" applyAlignment="1">
      <alignment horizontal="right" indent="1"/>
    </xf>
    <xf numFmtId="1" fontId="21" fillId="0" borderId="9" xfId="9" applyNumberFormat="1" applyFont="1" applyFill="1" applyBorder="1" applyAlignment="1">
      <alignment horizontal="right" indent="1"/>
    </xf>
    <xf numFmtId="1" fontId="21" fillId="0" borderId="10" xfId="9" applyNumberFormat="1" applyFont="1" applyFill="1" applyBorder="1" applyAlignment="1">
      <alignment horizontal="right" indent="1"/>
    </xf>
    <xf numFmtId="1" fontId="21" fillId="0" borderId="58" xfId="9" applyNumberFormat="1" applyFont="1" applyFill="1" applyBorder="1" applyAlignment="1">
      <alignment horizontal="right" indent="1"/>
    </xf>
    <xf numFmtId="0" fontId="21" fillId="0" borderId="33" xfId="9" applyFont="1" applyFill="1" applyBorder="1" applyAlignment="1">
      <alignment horizontal="left"/>
    </xf>
    <xf numFmtId="1" fontId="21" fillId="0" borderId="32" xfId="9" applyNumberFormat="1" applyFont="1" applyFill="1" applyBorder="1" applyAlignment="1">
      <alignment horizontal="right" indent="1"/>
    </xf>
    <xf numFmtId="1" fontId="21" fillId="0" borderId="33" xfId="9" applyNumberFormat="1" applyFont="1" applyFill="1" applyBorder="1" applyAlignment="1">
      <alignment horizontal="right" indent="1"/>
    </xf>
    <xf numFmtId="1" fontId="21" fillId="0" borderId="34" xfId="9" applyNumberFormat="1" applyFont="1" applyFill="1" applyBorder="1" applyAlignment="1">
      <alignment horizontal="right" indent="1"/>
    </xf>
    <xf numFmtId="167" fontId="21" fillId="0" borderId="32" xfId="9" applyNumberFormat="1" applyFont="1" applyFill="1" applyBorder="1" applyAlignment="1">
      <alignment horizontal="right" indent="1"/>
    </xf>
    <xf numFmtId="167" fontId="21" fillId="0" borderId="33" xfId="9" applyNumberFormat="1" applyFont="1" applyFill="1" applyBorder="1" applyAlignment="1">
      <alignment horizontal="right" indent="1"/>
    </xf>
    <xf numFmtId="167" fontId="21" fillId="0" borderId="34" xfId="9" applyNumberFormat="1" applyFont="1" applyFill="1" applyBorder="1" applyAlignment="1">
      <alignment horizontal="right" indent="1"/>
    </xf>
    <xf numFmtId="0" fontId="20" fillId="0" borderId="63" xfId="9" applyFont="1" applyFill="1" applyBorder="1" applyAlignment="1">
      <alignment horizontal="left"/>
    </xf>
    <xf numFmtId="0" fontId="21" fillId="0" borderId="63" xfId="9" applyFont="1" applyFill="1" applyBorder="1" applyAlignment="1">
      <alignment horizontal="left"/>
    </xf>
    <xf numFmtId="0" fontId="21" fillId="0" borderId="70" xfId="9" applyFont="1" applyFill="1" applyBorder="1" applyAlignment="1">
      <alignment horizontal="left"/>
    </xf>
    <xf numFmtId="0" fontId="21" fillId="0" borderId="119" xfId="9" applyFont="1" applyFill="1" applyBorder="1" applyAlignment="1">
      <alignment horizontal="left"/>
    </xf>
    <xf numFmtId="0" fontId="21" fillId="0" borderId="71" xfId="9" applyFont="1" applyFill="1" applyBorder="1" applyAlignment="1">
      <alignment horizontal="center"/>
    </xf>
    <xf numFmtId="0" fontId="21" fillId="0" borderId="63" xfId="9" applyFont="1" applyFill="1" applyBorder="1" applyAlignment="1">
      <alignment horizontal="center"/>
    </xf>
    <xf numFmtId="1" fontId="21" fillId="0" borderId="72" xfId="9" applyNumberFormat="1" applyFont="1" applyFill="1" applyBorder="1" applyAlignment="1">
      <alignment horizontal="center"/>
    </xf>
    <xf numFmtId="0" fontId="21" fillId="0" borderId="63" xfId="9" applyFont="1" applyFill="1" applyBorder="1" applyAlignment="1">
      <alignment horizontal="right" indent="1"/>
    </xf>
    <xf numFmtId="0" fontId="21" fillId="0" borderId="70" xfId="9" applyFont="1" applyFill="1" applyBorder="1" applyAlignment="1">
      <alignment horizontal="right" indent="1"/>
    </xf>
    <xf numFmtId="0" fontId="21" fillId="0" borderId="72" xfId="9" applyFont="1" applyFill="1" applyBorder="1" applyAlignment="1">
      <alignment horizontal="right" indent="1"/>
    </xf>
    <xf numFmtId="167" fontId="21" fillId="0" borderId="118" xfId="9" applyNumberFormat="1" applyFont="1" applyFill="1" applyBorder="1" applyAlignment="1">
      <alignment horizontal="right" indent="1"/>
    </xf>
    <xf numFmtId="167" fontId="21" fillId="0" borderId="119" xfId="9" applyNumberFormat="1" applyFont="1" applyFill="1" applyBorder="1" applyAlignment="1">
      <alignment horizontal="right" indent="1"/>
    </xf>
    <xf numFmtId="167" fontId="21" fillId="0" borderId="171" xfId="9" applyNumberFormat="1" applyFont="1" applyFill="1" applyBorder="1" applyAlignment="1">
      <alignment horizontal="right" indent="1"/>
    </xf>
    <xf numFmtId="0" fontId="20" fillId="0" borderId="40" xfId="9" applyFont="1" applyFill="1" applyBorder="1" applyAlignment="1">
      <alignment horizontal="left"/>
    </xf>
    <xf numFmtId="0" fontId="21" fillId="0" borderId="40" xfId="9" applyFont="1" applyFill="1" applyBorder="1" applyAlignment="1">
      <alignment horizontal="left"/>
    </xf>
    <xf numFmtId="0" fontId="21" fillId="0" borderId="23" xfId="9" applyFont="1" applyFill="1" applyBorder="1" applyAlignment="1">
      <alignment horizontal="left"/>
    </xf>
    <xf numFmtId="0" fontId="21" fillId="0" borderId="172" xfId="9" applyFont="1" applyFill="1" applyBorder="1" applyAlignment="1">
      <alignment horizontal="center"/>
    </xf>
    <xf numFmtId="0" fontId="21" fillId="0" borderId="40" xfId="9" applyFont="1" applyFill="1" applyBorder="1" applyAlignment="1">
      <alignment horizontal="center"/>
    </xf>
    <xf numFmtId="1" fontId="21" fillId="0" borderId="41" xfId="9" applyNumberFormat="1" applyFont="1" applyFill="1" applyBorder="1" applyAlignment="1">
      <alignment horizontal="center"/>
    </xf>
    <xf numFmtId="0" fontId="21" fillId="0" borderId="40" xfId="9" applyFont="1" applyFill="1" applyBorder="1" applyAlignment="1">
      <alignment horizontal="right" indent="1"/>
    </xf>
    <xf numFmtId="0" fontId="21" fillId="0" borderId="23" xfId="9" applyFont="1" applyFill="1" applyBorder="1" applyAlignment="1">
      <alignment horizontal="right" indent="1"/>
    </xf>
    <xf numFmtId="0" fontId="21" fillId="0" borderId="41" xfId="9" applyFont="1" applyFill="1" applyBorder="1" applyAlignment="1">
      <alignment horizontal="right" indent="1"/>
    </xf>
    <xf numFmtId="167" fontId="21" fillId="0" borderId="40" xfId="9" applyNumberFormat="1" applyFont="1" applyFill="1" applyBorder="1" applyAlignment="1">
      <alignment horizontal="right" indent="1"/>
    </xf>
    <xf numFmtId="167" fontId="21" fillId="0" borderId="23" xfId="9" applyNumberFormat="1" applyFont="1" applyFill="1" applyBorder="1" applyAlignment="1">
      <alignment horizontal="right" indent="1"/>
    </xf>
    <xf numFmtId="167" fontId="21" fillId="0" borderId="41" xfId="9" applyNumberFormat="1" applyFont="1" applyFill="1" applyBorder="1" applyAlignment="1">
      <alignment horizontal="right" indent="1"/>
    </xf>
    <xf numFmtId="0" fontId="20" fillId="0" borderId="48" xfId="9" applyFont="1" applyFill="1" applyBorder="1" applyAlignment="1">
      <alignment horizontal="left"/>
    </xf>
    <xf numFmtId="0" fontId="21" fillId="0" borderId="48" xfId="9" applyFont="1" applyFill="1" applyBorder="1" applyAlignment="1">
      <alignment horizontal="left"/>
    </xf>
    <xf numFmtId="0" fontId="21" fillId="0" borderId="31" xfId="9" applyFont="1" applyFill="1" applyBorder="1" applyAlignment="1">
      <alignment horizontal="left"/>
    </xf>
    <xf numFmtId="0" fontId="21" fillId="0" borderId="144" xfId="9" applyFont="1" applyFill="1" applyBorder="1" applyAlignment="1">
      <alignment horizontal="center"/>
    </xf>
    <xf numFmtId="0" fontId="21" fillId="0" borderId="48" xfId="9" applyFont="1" applyFill="1" applyBorder="1" applyAlignment="1">
      <alignment horizontal="center"/>
    </xf>
    <xf numFmtId="1" fontId="21" fillId="0" borderId="49" xfId="9" applyNumberFormat="1" applyFont="1" applyFill="1" applyBorder="1" applyAlignment="1">
      <alignment horizontal="center"/>
    </xf>
    <xf numFmtId="0" fontId="21" fillId="0" borderId="48" xfId="9" applyFont="1" applyFill="1" applyBorder="1" applyAlignment="1">
      <alignment horizontal="right" indent="1"/>
    </xf>
    <xf numFmtId="0" fontId="21" fillId="0" borderId="31" xfId="9" applyFont="1" applyFill="1" applyBorder="1" applyAlignment="1">
      <alignment horizontal="right" indent="1"/>
    </xf>
    <xf numFmtId="0" fontId="21" fillId="0" borderId="49" xfId="9" applyFont="1" applyFill="1" applyBorder="1" applyAlignment="1">
      <alignment horizontal="right" indent="1"/>
    </xf>
    <xf numFmtId="167" fontId="21" fillId="0" borderId="48" xfId="9" applyNumberFormat="1" applyFont="1" applyFill="1" applyBorder="1" applyAlignment="1">
      <alignment horizontal="right" indent="1"/>
    </xf>
    <xf numFmtId="167" fontId="21" fillId="0" borderId="31" xfId="9" applyNumberFormat="1" applyFont="1" applyFill="1" applyBorder="1" applyAlignment="1">
      <alignment horizontal="right" indent="1"/>
    </xf>
    <xf numFmtId="167" fontId="21" fillId="0" borderId="49" xfId="9" applyNumberFormat="1" applyFont="1" applyFill="1" applyBorder="1" applyAlignment="1">
      <alignment horizontal="right" indent="1"/>
    </xf>
    <xf numFmtId="0" fontId="20" fillId="0" borderId="0" xfId="9" applyFont="1" applyFill="1" applyBorder="1" applyAlignment="1">
      <alignment horizontal="left"/>
    </xf>
    <xf numFmtId="0" fontId="21" fillId="0" borderId="0" xfId="9" applyFont="1" applyFill="1" applyBorder="1" applyAlignment="1">
      <alignment horizontal="left"/>
    </xf>
    <xf numFmtId="0" fontId="21" fillId="0" borderId="0" xfId="9" applyFont="1" applyFill="1" applyBorder="1" applyAlignment="1">
      <alignment horizontal="center"/>
    </xf>
    <xf numFmtId="1" fontId="21" fillId="0" borderId="0" xfId="9" applyNumberFormat="1" applyFont="1" applyFill="1" applyBorder="1" applyAlignment="1">
      <alignment horizontal="center"/>
    </xf>
    <xf numFmtId="167" fontId="21" fillId="0" borderId="0" xfId="9" applyNumberFormat="1" applyFont="1" applyFill="1" applyBorder="1" applyAlignment="1">
      <alignment horizontal="right" indent="1"/>
    </xf>
    <xf numFmtId="0" fontId="21" fillId="0" borderId="0" xfId="9" applyFont="1" applyFill="1" applyBorder="1" applyAlignment="1">
      <alignment vertical="center"/>
    </xf>
    <xf numFmtId="0" fontId="20" fillId="2" borderId="24" xfId="9" applyFont="1" applyFill="1" applyBorder="1" applyAlignment="1">
      <alignment horizontal="center"/>
    </xf>
    <xf numFmtId="0" fontId="20" fillId="2" borderId="25" xfId="9" applyFont="1" applyFill="1" applyBorder="1" applyAlignment="1">
      <alignment horizontal="center"/>
    </xf>
    <xf numFmtId="0" fontId="20" fillId="2" borderId="24" xfId="9" applyFont="1" applyFill="1" applyBorder="1" applyAlignment="1">
      <alignment horizontal="center" wrapText="1"/>
    </xf>
    <xf numFmtId="164" fontId="20" fillId="2" borderId="25" xfId="9" applyNumberFormat="1" applyFont="1" applyFill="1" applyBorder="1" applyAlignment="1">
      <alignment horizontal="center"/>
    </xf>
    <xf numFmtId="164" fontId="20" fillId="2" borderId="25" xfId="9" applyNumberFormat="1" applyFont="1" applyFill="1" applyBorder="1" applyAlignment="1">
      <alignment horizontal="center" wrapText="1"/>
    </xf>
    <xf numFmtId="0" fontId="20" fillId="2" borderId="24" xfId="9" applyNumberFormat="1" applyFont="1" applyFill="1" applyBorder="1" applyAlignment="1">
      <alignment horizontal="center" wrapText="1"/>
    </xf>
    <xf numFmtId="0" fontId="21" fillId="0" borderId="0" xfId="9" applyFont="1" applyFill="1" applyBorder="1" applyAlignment="1">
      <alignment horizontal="left" vertical="center" wrapText="1"/>
    </xf>
    <xf numFmtId="0" fontId="21" fillId="0" borderId="0" xfId="9" applyFont="1" applyFill="1" applyBorder="1" applyAlignment="1">
      <alignment vertical="center" wrapText="1"/>
    </xf>
    <xf numFmtId="0" fontId="56" fillId="0" borderId="0" xfId="9"/>
    <xf numFmtId="0" fontId="20" fillId="0" borderId="22" xfId="9" applyFont="1" applyFill="1" applyBorder="1" applyAlignment="1">
      <alignment vertical="center"/>
    </xf>
    <xf numFmtId="0" fontId="21" fillId="0" borderId="22" xfId="9" applyFont="1" applyFill="1" applyBorder="1" applyAlignment="1">
      <alignment horizontal="left"/>
    </xf>
    <xf numFmtId="0" fontId="21" fillId="0" borderId="22" xfId="9" applyFont="1" applyFill="1" applyBorder="1" applyAlignment="1">
      <alignment horizontal="center"/>
    </xf>
    <xf numFmtId="1" fontId="21" fillId="0" borderId="22" xfId="9" applyNumberFormat="1" applyFont="1" applyFill="1" applyBorder="1" applyAlignment="1">
      <alignment horizontal="center"/>
    </xf>
    <xf numFmtId="0" fontId="21" fillId="0" borderId="22" xfId="9" applyFont="1" applyFill="1" applyBorder="1"/>
    <xf numFmtId="0" fontId="21" fillId="0" borderId="0" xfId="9" applyFont="1" applyBorder="1" applyAlignment="1">
      <alignment horizontal="center"/>
    </xf>
    <xf numFmtId="164" fontId="20" fillId="0" borderId="0" xfId="9" applyNumberFormat="1" applyFont="1" applyFill="1" applyBorder="1" applyAlignment="1">
      <alignment horizontal="center"/>
    </xf>
    <xf numFmtId="0" fontId="20" fillId="0" borderId="61" xfId="9" applyNumberFormat="1" applyFont="1" applyFill="1" applyBorder="1" applyAlignment="1">
      <alignment horizontal="center"/>
    </xf>
    <xf numFmtId="0" fontId="20" fillId="0" borderId="27" xfId="9" applyFont="1" applyFill="1" applyBorder="1" applyAlignment="1">
      <alignment horizontal="center"/>
    </xf>
    <xf numFmtId="0" fontId="20" fillId="2" borderId="1" xfId="9" applyFont="1" applyFill="1" applyBorder="1" applyAlignment="1">
      <alignment horizontal="center" wrapText="1"/>
    </xf>
    <xf numFmtId="0" fontId="20" fillId="2" borderId="5" xfId="9" applyFont="1" applyFill="1" applyBorder="1" applyAlignment="1">
      <alignment horizontal="center"/>
    </xf>
    <xf numFmtId="0" fontId="20" fillId="2" borderId="45" xfId="9" applyFont="1" applyFill="1" applyBorder="1" applyAlignment="1">
      <alignment horizontal="center"/>
    </xf>
    <xf numFmtId="0" fontId="20" fillId="2" borderId="46" xfId="9" applyFont="1" applyFill="1" applyBorder="1" applyAlignment="1">
      <alignment horizontal="center"/>
    </xf>
    <xf numFmtId="1" fontId="21" fillId="0" borderId="34" xfId="9" applyNumberFormat="1" applyFont="1" applyFill="1" applyBorder="1" applyAlignment="1">
      <alignment horizontal="center"/>
    </xf>
    <xf numFmtId="0" fontId="21" fillId="0" borderId="32" xfId="9" applyFont="1" applyFill="1" applyBorder="1" applyAlignment="1">
      <alignment horizontal="right" indent="1"/>
    </xf>
    <xf numFmtId="0" fontId="21" fillId="0" borderId="33" xfId="9" applyFont="1" applyFill="1" applyBorder="1" applyAlignment="1">
      <alignment horizontal="right" indent="1"/>
    </xf>
    <xf numFmtId="0" fontId="21" fillId="0" borderId="34" xfId="9" applyFont="1" applyFill="1" applyBorder="1" applyAlignment="1">
      <alignment horizontal="right" indent="1"/>
    </xf>
    <xf numFmtId="0" fontId="21" fillId="0" borderId="38" xfId="9" applyFont="1" applyFill="1" applyBorder="1"/>
    <xf numFmtId="0" fontId="21" fillId="0" borderId="32" xfId="9" applyFont="1" applyFill="1" applyBorder="1" applyAlignment="1">
      <alignment horizontal="left"/>
    </xf>
    <xf numFmtId="0" fontId="21" fillId="0" borderId="60" xfId="9" applyFont="1" applyFill="1" applyBorder="1" applyAlignment="1">
      <alignment horizontal="center"/>
    </xf>
    <xf numFmtId="0" fontId="21" fillId="0" borderId="32" xfId="9" applyFont="1" applyFill="1" applyBorder="1" applyAlignment="1">
      <alignment horizontal="center"/>
    </xf>
    <xf numFmtId="0" fontId="20" fillId="0" borderId="65" xfId="9" applyFont="1" applyFill="1" applyBorder="1" applyAlignment="1">
      <alignment horizontal="left"/>
    </xf>
    <xf numFmtId="0" fontId="20" fillId="0" borderId="139" xfId="9" applyFont="1" applyFill="1" applyBorder="1" applyAlignment="1">
      <alignment horizontal="left"/>
    </xf>
    <xf numFmtId="0" fontId="21" fillId="0" borderId="139" xfId="9" applyFont="1" applyFill="1" applyBorder="1" applyAlignment="1">
      <alignment horizontal="left"/>
    </xf>
    <xf numFmtId="0" fontId="21" fillId="0" borderId="134" xfId="9" applyFont="1" applyFill="1" applyBorder="1" applyAlignment="1">
      <alignment horizontal="left"/>
    </xf>
    <xf numFmtId="0" fontId="21" fillId="0" borderId="173" xfId="9" applyFont="1" applyFill="1" applyBorder="1" applyAlignment="1">
      <alignment horizontal="center"/>
    </xf>
    <xf numFmtId="0" fontId="21" fillId="0" borderId="139" xfId="9" applyFont="1" applyFill="1" applyBorder="1" applyAlignment="1">
      <alignment horizontal="center"/>
    </xf>
    <xf numFmtId="0" fontId="21" fillId="0" borderId="0" xfId="9" applyNumberFormat="1" applyFont="1" applyFill="1" applyBorder="1" applyAlignment="1">
      <alignment horizontal="left"/>
    </xf>
    <xf numFmtId="0" fontId="20" fillId="0" borderId="61" xfId="0" applyFont="1" applyBorder="1" applyProtection="1"/>
    <xf numFmtId="0" fontId="20" fillId="0" borderId="37" xfId="0" applyFont="1" applyBorder="1" applyAlignment="1" applyProtection="1">
      <alignment vertical="top"/>
    </xf>
    <xf numFmtId="168" fontId="21" fillId="0" borderId="37" xfId="4" applyNumberFormat="1" applyFont="1" applyBorder="1" applyAlignment="1" applyProtection="1">
      <alignment horizontal="right" indent="1"/>
    </xf>
    <xf numFmtId="168" fontId="31" fillId="0" borderId="37" xfId="4" applyNumberFormat="1" applyFont="1" applyBorder="1" applyAlignment="1" applyProtection="1">
      <alignment horizontal="right" indent="1"/>
    </xf>
    <xf numFmtId="166" fontId="29" fillId="3" borderId="16" xfId="0" applyNumberFormat="1" applyFont="1" applyFill="1" applyBorder="1" applyAlignment="1" applyProtection="1">
      <alignment horizontal="right" indent="1"/>
    </xf>
    <xf numFmtId="166" fontId="29" fillId="3" borderId="38" xfId="0" applyNumberFormat="1" applyFont="1" applyFill="1" applyBorder="1" applyAlignment="1" applyProtection="1">
      <alignment horizontal="right" indent="1"/>
    </xf>
    <xf numFmtId="2" fontId="21" fillId="0" borderId="19" xfId="0" applyNumberFormat="1" applyFont="1" applyBorder="1" applyAlignment="1" applyProtection="1">
      <alignment horizontal="right" indent="1"/>
    </xf>
    <xf numFmtId="166" fontId="21" fillId="8" borderId="15" xfId="0" applyNumberFormat="1" applyFont="1" applyFill="1" applyBorder="1" applyAlignment="1" applyProtection="1">
      <alignment horizontal="right" indent="1"/>
    </xf>
    <xf numFmtId="1" fontId="21" fillId="0" borderId="36" xfId="0" applyNumberFormat="1" applyFont="1" applyBorder="1" applyAlignment="1" applyProtection="1">
      <alignment horizontal="right" indent="1"/>
    </xf>
    <xf numFmtId="1" fontId="21" fillId="0" borderId="99" xfId="4" applyNumberFormat="1" applyFont="1" applyBorder="1" applyAlignment="1" applyProtection="1">
      <alignment horizontal="right" indent="1"/>
    </xf>
    <xf numFmtId="0" fontId="21" fillId="0" borderId="98" xfId="0" applyFont="1" applyBorder="1" applyAlignment="1" applyProtection="1">
      <alignment horizontal="right" indent="1"/>
    </xf>
    <xf numFmtId="166" fontId="21" fillId="0" borderId="98" xfId="0" applyNumberFormat="1" applyFont="1" applyBorder="1" applyAlignment="1" applyProtection="1">
      <alignment horizontal="right" indent="1"/>
    </xf>
    <xf numFmtId="1" fontId="21" fillId="0" borderId="103" xfId="0" applyNumberFormat="1" applyFont="1" applyBorder="1" applyAlignment="1" applyProtection="1">
      <alignment horizontal="right" indent="1"/>
    </xf>
    <xf numFmtId="166" fontId="21" fillId="0" borderId="94" xfId="4" applyNumberFormat="1" applyFont="1" applyBorder="1" applyAlignment="1" applyProtection="1">
      <alignment horizontal="right" indent="1"/>
    </xf>
    <xf numFmtId="166" fontId="31" fillId="0" borderId="94" xfId="4" applyNumberFormat="1" applyFont="1" applyBorder="1" applyAlignment="1" applyProtection="1">
      <alignment horizontal="right" indent="1"/>
    </xf>
    <xf numFmtId="1" fontId="21" fillId="0" borderId="14" xfId="0" applyNumberFormat="1" applyFont="1" applyBorder="1" applyAlignment="1">
      <alignment horizontal="center" vertical="top"/>
    </xf>
    <xf numFmtId="1" fontId="21" fillId="0" borderId="17" xfId="0" applyNumberFormat="1" applyFont="1" applyBorder="1" applyAlignment="1">
      <alignment horizontal="center"/>
    </xf>
    <xf numFmtId="0" fontId="21" fillId="0" borderId="99" xfId="0" applyFont="1" applyFill="1" applyBorder="1" applyAlignment="1">
      <alignment vertical="top"/>
    </xf>
    <xf numFmtId="0" fontId="21" fillId="0" borderId="16" xfId="0" applyFont="1" applyFill="1" applyBorder="1"/>
    <xf numFmtId="0" fontId="22" fillId="0" borderId="0" xfId="0" applyFont="1" applyAlignment="1">
      <alignment horizontal="left" vertical="top" wrapText="1"/>
    </xf>
    <xf numFmtId="0" fontId="26" fillId="5" borderId="0" xfId="0" applyFont="1" applyFill="1" applyBorder="1" applyAlignment="1" applyProtection="1">
      <alignment horizontal="left" vertical="top"/>
    </xf>
    <xf numFmtId="0" fontId="29" fillId="5" borderId="21" xfId="0" applyFont="1" applyFill="1" applyBorder="1" applyAlignment="1" applyProtection="1">
      <alignment horizontal="center"/>
    </xf>
    <xf numFmtId="0" fontId="21" fillId="0" borderId="0" xfId="0" applyFont="1" applyBorder="1" applyAlignment="1" applyProtection="1">
      <alignment horizontal="left" wrapText="1"/>
    </xf>
    <xf numFmtId="0" fontId="21" fillId="0" borderId="0" xfId="0" applyFont="1" applyAlignment="1" applyProtection="1">
      <alignment wrapText="1"/>
    </xf>
    <xf numFmtId="0" fontId="21" fillId="2" borderId="23" xfId="0" applyFont="1" applyFill="1" applyBorder="1" applyAlignment="1" applyProtection="1">
      <alignment vertical="top" wrapText="1"/>
    </xf>
    <xf numFmtId="0" fontId="20" fillId="0" borderId="23" xfId="0" applyFont="1" applyBorder="1" applyAlignment="1" applyProtection="1">
      <alignment horizontal="left" vertical="top" indent="1"/>
    </xf>
    <xf numFmtId="0" fontId="21" fillId="0" borderId="23" xfId="0" applyFont="1" applyBorder="1" applyAlignment="1" applyProtection="1">
      <alignment horizontal="left" vertical="top" indent="1"/>
    </xf>
    <xf numFmtId="0" fontId="20" fillId="2" borderId="23" xfId="0" applyFont="1" applyFill="1" applyBorder="1" applyAlignment="1" applyProtection="1">
      <alignment horizontal="center" vertical="top" wrapText="1"/>
    </xf>
    <xf numFmtId="0" fontId="21" fillId="0" borderId="23" xfId="0" applyFont="1" applyBorder="1" applyAlignment="1" applyProtection="1">
      <alignment vertical="top"/>
    </xf>
    <xf numFmtId="0" fontId="20" fillId="14" borderId="23" xfId="7" applyFont="1" applyFill="1" applyBorder="1" applyAlignment="1">
      <alignment horizontal="left" vertical="center" wrapText="1" indent="1"/>
    </xf>
    <xf numFmtId="0" fontId="21" fillId="0" borderId="23" xfId="7" applyFont="1" applyBorder="1" applyAlignment="1">
      <alignment horizontal="left" vertical="center" wrapText="1" indent="1"/>
    </xf>
    <xf numFmtId="0" fontId="21" fillId="0" borderId="23" xfId="7" applyFont="1" applyBorder="1" applyAlignment="1">
      <alignment horizontal="center" vertical="center" wrapText="1"/>
    </xf>
    <xf numFmtId="0" fontId="58" fillId="0" borderId="0" xfId="0" applyFont="1"/>
    <xf numFmtId="0" fontId="20" fillId="2" borderId="23" xfId="0" applyFont="1" applyFill="1" applyBorder="1" applyAlignment="1" applyProtection="1">
      <alignment vertical="top" wrapText="1"/>
    </xf>
    <xf numFmtId="0" fontId="21" fillId="0" borderId="23" xfId="0" applyFont="1" applyBorder="1" applyProtection="1"/>
    <xf numFmtId="0" fontId="21" fillId="0" borderId="43" xfId="0" applyFont="1" applyBorder="1" applyAlignment="1" applyProtection="1">
      <alignment vertical="top"/>
    </xf>
    <xf numFmtId="0" fontId="20" fillId="0" borderId="23" xfId="0" applyFont="1" applyBorder="1" applyAlignment="1" applyProtection="1">
      <alignment horizontal="left" indent="1"/>
    </xf>
    <xf numFmtId="0" fontId="57" fillId="25" borderId="23" xfId="0" applyFont="1" applyFill="1" applyBorder="1" applyAlignment="1">
      <alignment horizontal="center"/>
    </xf>
    <xf numFmtId="0" fontId="30" fillId="15" borderId="23" xfId="9" applyFont="1" applyFill="1" applyBorder="1" applyAlignment="1" applyProtection="1">
      <alignment horizontal="right" vertical="top" wrapText="1" indent="1"/>
    </xf>
    <xf numFmtId="3" fontId="21" fillId="0" borderId="23" xfId="0" applyNumberFormat="1" applyFont="1" applyBorder="1" applyProtection="1"/>
    <xf numFmtId="166" fontId="21" fillId="0" borderId="23" xfId="0" applyNumberFormat="1" applyFont="1" applyBorder="1" applyProtection="1"/>
    <xf numFmtId="9" fontId="21" fillId="0" borderId="23" xfId="0" applyNumberFormat="1" applyFont="1" applyBorder="1" applyProtection="1"/>
    <xf numFmtId="1" fontId="59" fillId="24" borderId="177" xfId="9" applyNumberFormat="1" applyFont="1" applyFill="1" applyBorder="1" applyAlignment="1" applyProtection="1">
      <alignment horizontal="right" vertical="center" indent="1"/>
    </xf>
    <xf numFmtId="1" fontId="21" fillId="0" borderId="23" xfId="0" applyNumberFormat="1" applyFont="1" applyBorder="1" applyProtection="1"/>
    <xf numFmtId="0" fontId="21" fillId="0" borderId="43" xfId="0" applyFont="1" applyBorder="1" applyAlignment="1" applyProtection="1">
      <alignment horizontal="center" vertical="center"/>
    </xf>
    <xf numFmtId="9" fontId="21" fillId="0" borderId="43" xfId="4" applyFont="1" applyBorder="1" applyAlignment="1" applyProtection="1">
      <alignment horizontal="center" vertical="center"/>
    </xf>
    <xf numFmtId="9" fontId="21" fillId="0" borderId="23" xfId="4" applyFont="1" applyBorder="1" applyAlignment="1" applyProtection="1">
      <alignment horizontal="center" vertical="center"/>
    </xf>
    <xf numFmtId="0" fontId="21" fillId="0" borderId="23" xfId="0" applyFont="1" applyBorder="1" applyAlignment="1" applyProtection="1">
      <alignment horizontal="center" vertical="center"/>
    </xf>
    <xf numFmtId="0" fontId="21" fillId="0" borderId="172" xfId="0" applyFont="1" applyBorder="1" applyProtection="1"/>
    <xf numFmtId="0" fontId="20" fillId="0" borderId="43" xfId="0" applyFont="1" applyBorder="1" applyAlignment="1" applyProtection="1">
      <alignment horizontal="left" indent="1"/>
    </xf>
    <xf numFmtId="0" fontId="21" fillId="0" borderId="43" xfId="0" applyFont="1" applyBorder="1" applyProtection="1"/>
    <xf numFmtId="0" fontId="30" fillId="15" borderId="177" xfId="9" applyFont="1" applyFill="1" applyBorder="1" applyAlignment="1" applyProtection="1">
      <alignment horizontal="right" vertical="top" wrapText="1" indent="1"/>
    </xf>
    <xf numFmtId="0" fontId="21" fillId="0" borderId="31" xfId="0" applyFont="1" applyBorder="1" applyProtection="1"/>
    <xf numFmtId="1" fontId="59" fillId="24" borderId="121" xfId="9" applyNumberFormat="1" applyFont="1" applyFill="1" applyBorder="1" applyAlignment="1" applyProtection="1">
      <alignment horizontal="right" vertical="center" indent="1"/>
    </xf>
    <xf numFmtId="0" fontId="21" fillId="14" borderId="23" xfId="0" applyFont="1" applyFill="1" applyBorder="1" applyProtection="1"/>
    <xf numFmtId="0" fontId="21" fillId="0" borderId="15" xfId="0" applyFont="1" applyFill="1" applyBorder="1"/>
    <xf numFmtId="0" fontId="21" fillId="0" borderId="19" xfId="0" applyFont="1" applyFill="1" applyBorder="1" applyAlignment="1">
      <alignment vertical="top"/>
    </xf>
    <xf numFmtId="166" fontId="21" fillId="0" borderId="15" xfId="0" applyNumberFormat="1" applyFont="1" applyBorder="1" applyAlignment="1" applyProtection="1">
      <alignment horizontal="right" vertical="top" indent="1"/>
    </xf>
    <xf numFmtId="2" fontId="21" fillId="0" borderId="16" xfId="0" applyNumberFormat="1" applyFont="1" applyBorder="1" applyAlignment="1" applyProtection="1">
      <alignment horizontal="right" indent="1"/>
    </xf>
    <xf numFmtId="166" fontId="21" fillId="0" borderId="19" xfId="0" applyNumberFormat="1" applyFont="1" applyBorder="1" applyAlignment="1" applyProtection="1">
      <alignment horizontal="right" vertical="top" indent="1"/>
    </xf>
    <xf numFmtId="0" fontId="57" fillId="26" borderId="43" xfId="0" applyFont="1" applyFill="1" applyBorder="1" applyAlignment="1">
      <alignment horizontal="center"/>
    </xf>
    <xf numFmtId="0" fontId="21" fillId="0" borderId="23" xfId="0" applyFont="1" applyFill="1" applyBorder="1" applyProtection="1"/>
    <xf numFmtId="166" fontId="21" fillId="0" borderId="23" xfId="0" applyNumberFormat="1" applyFont="1" applyFill="1" applyBorder="1" applyProtection="1"/>
    <xf numFmtId="0" fontId="58" fillId="0" borderId="176" xfId="0" applyFont="1" applyBorder="1" applyAlignment="1">
      <alignment horizontal="center" wrapText="1"/>
    </xf>
    <xf numFmtId="0" fontId="58" fillId="0" borderId="74" xfId="0" applyFont="1" applyBorder="1" applyAlignment="1">
      <alignment horizontal="center" wrapText="1"/>
    </xf>
    <xf numFmtId="2" fontId="21" fillId="0" borderId="177" xfId="0" applyNumberFormat="1" applyFont="1" applyBorder="1" applyAlignment="1" applyProtection="1">
      <alignment horizontal="right" indent="1"/>
    </xf>
    <xf numFmtId="2" fontId="21" fillId="0" borderId="178" xfId="0" applyNumberFormat="1" applyFont="1" applyBorder="1" applyAlignment="1" applyProtection="1">
      <alignment horizontal="right" indent="1"/>
    </xf>
    <xf numFmtId="2" fontId="21" fillId="0" borderId="23" xfId="0" applyNumberFormat="1" applyFont="1" applyBorder="1" applyAlignment="1" applyProtection="1">
      <alignment horizontal="right" indent="1"/>
    </xf>
    <xf numFmtId="2" fontId="21" fillId="0" borderId="41" xfId="0" applyNumberFormat="1" applyFont="1" applyBorder="1" applyAlignment="1" applyProtection="1">
      <alignment horizontal="right" indent="1"/>
    </xf>
    <xf numFmtId="2" fontId="21" fillId="0" borderId="31" xfId="0" applyNumberFormat="1" applyFont="1" applyBorder="1" applyAlignment="1" applyProtection="1">
      <alignment horizontal="right" indent="1"/>
    </xf>
    <xf numFmtId="2" fontId="21" fillId="0" borderId="49" xfId="0" applyNumberFormat="1" applyFont="1" applyBorder="1" applyAlignment="1" applyProtection="1">
      <alignment horizontal="right" indent="1"/>
    </xf>
    <xf numFmtId="2" fontId="21" fillId="0" borderId="43" xfId="0" applyNumberFormat="1" applyFont="1" applyBorder="1" applyAlignment="1" applyProtection="1">
      <alignment horizontal="right" indent="1"/>
    </xf>
    <xf numFmtId="2" fontId="21" fillId="0" borderId="44" xfId="0" applyNumberFormat="1" applyFont="1" applyBorder="1" applyAlignment="1" applyProtection="1">
      <alignment horizontal="right" indent="1"/>
    </xf>
    <xf numFmtId="0" fontId="21" fillId="8" borderId="103" xfId="0" applyFont="1" applyFill="1" applyBorder="1" applyAlignment="1" applyProtection="1">
      <alignment horizontal="right" vertical="top" indent="1"/>
    </xf>
    <xf numFmtId="0" fontId="21" fillId="8" borderId="37" xfId="0" applyFont="1" applyFill="1" applyBorder="1" applyAlignment="1" applyProtection="1">
      <alignment horizontal="right" vertical="top" indent="1"/>
    </xf>
    <xf numFmtId="0" fontId="21" fillId="8" borderId="38" xfId="0" applyFont="1" applyFill="1" applyBorder="1" applyAlignment="1" applyProtection="1">
      <alignment horizontal="right" vertical="top" indent="1"/>
    </xf>
    <xf numFmtId="0" fontId="21" fillId="8" borderId="110" xfId="0" applyFont="1" applyFill="1" applyBorder="1" applyAlignment="1" applyProtection="1">
      <alignment horizontal="right" vertical="top" indent="1"/>
    </xf>
    <xf numFmtId="0" fontId="21" fillId="8" borderId="79" xfId="0" applyFont="1" applyFill="1" applyBorder="1" applyAlignment="1" applyProtection="1">
      <alignment horizontal="right" vertical="top" indent="1"/>
    </xf>
    <xf numFmtId="2" fontId="21" fillId="8" borderId="37" xfId="0" applyNumberFormat="1" applyFont="1" applyFill="1" applyBorder="1" applyAlignment="1" applyProtection="1">
      <alignment horizontal="right" vertical="top" indent="1"/>
    </xf>
    <xf numFmtId="2" fontId="21" fillId="8" borderId="38" xfId="0" applyNumberFormat="1" applyFont="1" applyFill="1" applyBorder="1" applyAlignment="1" applyProtection="1">
      <alignment horizontal="right" vertical="top" indent="1"/>
    </xf>
    <xf numFmtId="0" fontId="21" fillId="8" borderId="27" xfId="0" applyFont="1" applyFill="1" applyBorder="1" applyAlignment="1" applyProtection="1">
      <alignment horizontal="right" vertical="top" indent="1"/>
    </xf>
    <xf numFmtId="0" fontId="21" fillId="0" borderId="98" xfId="0" applyFont="1" applyFill="1" applyBorder="1" applyAlignment="1" applyProtection="1">
      <alignment horizontal="right" vertical="top" indent="1"/>
    </xf>
    <xf numFmtId="0" fontId="21" fillId="0" borderId="103" xfId="0" applyFont="1" applyFill="1" applyBorder="1" applyAlignment="1" applyProtection="1">
      <alignment horizontal="right" vertical="top" indent="1"/>
    </xf>
    <xf numFmtId="0" fontId="21" fillId="0" borderId="14" xfId="0" applyFont="1" applyFill="1" applyBorder="1" applyAlignment="1" applyProtection="1">
      <alignment horizontal="right" vertical="top" indent="1"/>
    </xf>
    <xf numFmtId="0" fontId="21" fillId="0" borderId="37" xfId="0" applyFont="1" applyFill="1" applyBorder="1" applyAlignment="1" applyProtection="1">
      <alignment horizontal="right" vertical="top" indent="1"/>
    </xf>
    <xf numFmtId="0" fontId="21" fillId="0" borderId="16" xfId="0" applyFont="1" applyFill="1" applyBorder="1" applyAlignment="1" applyProtection="1">
      <alignment horizontal="right" vertical="top" indent="1"/>
    </xf>
    <xf numFmtId="0" fontId="21" fillId="0" borderId="38" xfId="0" applyFont="1" applyFill="1" applyBorder="1" applyAlignment="1" applyProtection="1">
      <alignment horizontal="right" vertical="top" indent="1"/>
    </xf>
    <xf numFmtId="0" fontId="21" fillId="0" borderId="108" xfId="0" applyFont="1" applyFill="1" applyBorder="1" applyAlignment="1" applyProtection="1">
      <alignment horizontal="right" vertical="top" indent="1"/>
    </xf>
    <xf numFmtId="0" fontId="21" fillId="0" borderId="110" xfId="0" applyFont="1" applyFill="1" applyBorder="1" applyAlignment="1" applyProtection="1">
      <alignment horizontal="right" vertical="top" indent="1"/>
    </xf>
    <xf numFmtId="0" fontId="21" fillId="0" borderId="22" xfId="0" applyFont="1" applyFill="1" applyBorder="1" applyAlignment="1" applyProtection="1">
      <alignment horizontal="right" vertical="top" indent="1"/>
    </xf>
    <xf numFmtId="0" fontId="21" fillId="0" borderId="79" xfId="0" applyFont="1" applyFill="1" applyBorder="1" applyAlignment="1" applyProtection="1">
      <alignment horizontal="right" vertical="top" indent="1"/>
    </xf>
    <xf numFmtId="2" fontId="21" fillId="0" borderId="37" xfId="0" applyNumberFormat="1" applyFont="1" applyFill="1" applyBorder="1" applyAlignment="1" applyProtection="1">
      <alignment horizontal="right" vertical="top" indent="1"/>
    </xf>
    <xf numFmtId="2" fontId="21" fillId="0" borderId="38" xfId="0" applyNumberFormat="1" applyFont="1" applyFill="1" applyBorder="1" applyAlignment="1" applyProtection="1">
      <alignment horizontal="right" vertical="top" indent="1"/>
    </xf>
    <xf numFmtId="0" fontId="21" fillId="0" borderId="20" xfId="0" applyFont="1" applyFill="1" applyBorder="1" applyAlignment="1" applyProtection="1">
      <alignment horizontal="right" vertical="top" indent="1"/>
    </xf>
    <xf numFmtId="0" fontId="21" fillId="0" borderId="27" xfId="0" applyFont="1" applyFill="1" applyBorder="1" applyAlignment="1" applyProtection="1">
      <alignment horizontal="right" vertical="top" indent="1"/>
    </xf>
    <xf numFmtId="0" fontId="20" fillId="14" borderId="2" xfId="0" applyFont="1" applyFill="1" applyBorder="1" applyAlignment="1" applyProtection="1">
      <alignment horizontal="center" vertical="top" wrapText="1"/>
    </xf>
    <xf numFmtId="1" fontId="21" fillId="0" borderId="14" xfId="0" applyNumberFormat="1" applyFont="1" applyFill="1" applyBorder="1" applyAlignment="1" applyProtection="1">
      <alignment horizontal="right" vertical="top" indent="1"/>
    </xf>
    <xf numFmtId="1" fontId="21" fillId="0" borderId="16" xfId="0" applyNumberFormat="1" applyFont="1" applyFill="1" applyBorder="1" applyAlignment="1" applyProtection="1">
      <alignment horizontal="right" vertical="top" indent="1"/>
    </xf>
    <xf numFmtId="0" fontId="21" fillId="8" borderId="98" xfId="0" applyFont="1" applyFill="1" applyBorder="1" applyAlignment="1" applyProtection="1">
      <alignment horizontal="right" vertical="top" indent="1"/>
    </xf>
    <xf numFmtId="0" fontId="21" fillId="8" borderId="14" xfId="0" applyFont="1" applyFill="1" applyBorder="1" applyAlignment="1" applyProtection="1">
      <alignment horizontal="right" vertical="top" indent="1"/>
    </xf>
    <xf numFmtId="0" fontId="21" fillId="8" borderId="16" xfId="0" applyFont="1" applyFill="1" applyBorder="1" applyAlignment="1" applyProtection="1">
      <alignment horizontal="right" vertical="top" indent="1"/>
    </xf>
    <xf numFmtId="0" fontId="21" fillId="8" borderId="108" xfId="0" applyFont="1" applyFill="1" applyBorder="1" applyAlignment="1" applyProtection="1">
      <alignment horizontal="right" vertical="top" indent="1"/>
    </xf>
    <xf numFmtId="0" fontId="21" fillId="8" borderId="22" xfId="0" applyFont="1" applyFill="1" applyBorder="1" applyAlignment="1" applyProtection="1">
      <alignment horizontal="right" vertical="top" indent="1"/>
    </xf>
    <xf numFmtId="0" fontId="21" fillId="8" borderId="20" xfId="0" applyFont="1" applyFill="1" applyBorder="1" applyAlignment="1" applyProtection="1">
      <alignment horizontal="right" vertical="top" indent="1"/>
    </xf>
    <xf numFmtId="0" fontId="21" fillId="8" borderId="98" xfId="0" applyFont="1" applyFill="1" applyBorder="1" applyAlignment="1" applyProtection="1">
      <alignment vertical="top"/>
    </xf>
    <xf numFmtId="0" fontId="21" fillId="8" borderId="14" xfId="0" applyFont="1" applyFill="1" applyBorder="1" applyAlignment="1" applyProtection="1">
      <alignment vertical="top"/>
    </xf>
    <xf numFmtId="0" fontId="21" fillId="8" borderId="16" xfId="0" applyFont="1" applyFill="1" applyBorder="1" applyAlignment="1" applyProtection="1">
      <alignment vertical="top"/>
    </xf>
    <xf numFmtId="0" fontId="21" fillId="8" borderId="108" xfId="0" applyFont="1" applyFill="1" applyBorder="1" applyAlignment="1" applyProtection="1">
      <alignment vertical="top"/>
    </xf>
    <xf numFmtId="0" fontId="21" fillId="8" borderId="22" xfId="0" applyFont="1" applyFill="1" applyBorder="1" applyAlignment="1" applyProtection="1">
      <alignment vertical="top"/>
    </xf>
    <xf numFmtId="0" fontId="21" fillId="8" borderId="20" xfId="0" applyFont="1" applyFill="1" applyBorder="1" applyAlignment="1" applyProtection="1">
      <alignment vertical="top"/>
    </xf>
    <xf numFmtId="0" fontId="20" fillId="0" borderId="0" xfId="9" applyFont="1" applyFill="1" applyBorder="1" applyAlignment="1" applyProtection="1">
      <alignment horizontal="right" vertical="top" wrapText="1" indent="1"/>
    </xf>
    <xf numFmtId="1" fontId="21" fillId="0" borderId="0" xfId="0" applyNumberFormat="1" applyFont="1" applyBorder="1" applyProtection="1"/>
    <xf numFmtId="0" fontId="20" fillId="0" borderId="176" xfId="0" applyFont="1" applyBorder="1" applyAlignment="1" applyProtection="1">
      <alignment horizontal="left" indent="1"/>
    </xf>
    <xf numFmtId="0" fontId="21" fillId="0" borderId="177" xfId="0" applyFont="1" applyBorder="1" applyAlignment="1" applyProtection="1">
      <alignment vertical="top"/>
    </xf>
    <xf numFmtId="0" fontId="20" fillId="0" borderId="74" xfId="0" applyFont="1" applyBorder="1" applyAlignment="1" applyProtection="1">
      <alignment horizontal="left" indent="1"/>
    </xf>
    <xf numFmtId="0" fontId="20" fillId="0" borderId="108" xfId="0" applyFont="1" applyBorder="1"/>
    <xf numFmtId="10" fontId="14" fillId="4" borderId="108" xfId="4" applyNumberFormat="1" applyFont="1" applyFill="1" applyBorder="1" applyAlignment="1" applyProtection="1">
      <alignment horizontal="right" indent="1"/>
      <protection locked="0"/>
    </xf>
    <xf numFmtId="1" fontId="20" fillId="0" borderId="108" xfId="0" applyNumberFormat="1" applyFont="1" applyFill="1" applyBorder="1" applyAlignment="1" applyProtection="1">
      <alignment horizontal="right" indent="1"/>
    </xf>
    <xf numFmtId="10" fontId="14" fillId="4" borderId="85" xfId="4" applyNumberFormat="1" applyFont="1" applyFill="1" applyBorder="1" applyAlignment="1" applyProtection="1">
      <alignment horizontal="right" indent="1"/>
      <protection locked="0"/>
    </xf>
    <xf numFmtId="1" fontId="20" fillId="0" borderId="98" xfId="0" applyNumberFormat="1" applyFont="1" applyFill="1" applyBorder="1" applyAlignment="1" applyProtection="1">
      <alignment horizontal="right" indent="1"/>
    </xf>
    <xf numFmtId="9" fontId="20" fillId="13" borderId="19" xfId="4" applyFont="1" applyFill="1" applyBorder="1" applyAlignment="1" applyProtection="1">
      <alignment horizontal="right" vertical="top" indent="2"/>
      <protection locked="0"/>
    </xf>
    <xf numFmtId="0" fontId="20" fillId="0" borderId="131" xfId="0" applyFont="1" applyBorder="1" applyProtection="1"/>
    <xf numFmtId="168" fontId="20" fillId="0" borderId="133" xfId="4" applyNumberFormat="1" applyFont="1" applyBorder="1" applyProtection="1"/>
    <xf numFmtId="0" fontId="21" fillId="0" borderId="7" xfId="7" applyFont="1" applyBorder="1" applyAlignment="1">
      <alignment horizontal="left" vertical="center" wrapText="1" indent="1"/>
    </xf>
    <xf numFmtId="0" fontId="15" fillId="0" borderId="33" xfId="7" applyFont="1" applyBorder="1" applyAlignment="1">
      <alignment horizontal="left" vertical="center" wrapText="1" indent="1"/>
    </xf>
    <xf numFmtId="0" fontId="21" fillId="0" borderId="33" xfId="7" applyFont="1" applyBorder="1" applyAlignment="1">
      <alignment horizontal="left" vertical="center" wrapText="1" indent="1"/>
    </xf>
    <xf numFmtId="0" fontId="21" fillId="0" borderId="10" xfId="7" applyFont="1" applyBorder="1" applyAlignment="1">
      <alignment horizontal="left" vertical="center" wrapText="1" indent="1"/>
    </xf>
    <xf numFmtId="0" fontId="15" fillId="0" borderId="121" xfId="3" applyFont="1" applyBorder="1" applyAlignment="1">
      <alignment horizontal="left" vertical="center" wrapText="1" indent="1"/>
    </xf>
    <xf numFmtId="0" fontId="15" fillId="0" borderId="119" xfId="3" applyFont="1" applyBorder="1" applyAlignment="1">
      <alignment vertical="center"/>
    </xf>
    <xf numFmtId="0" fontId="15" fillId="0" borderId="119" xfId="3" applyFont="1" applyBorder="1" applyAlignment="1">
      <alignment vertical="center" wrapText="1"/>
    </xf>
    <xf numFmtId="0" fontId="15" fillId="0" borderId="137" xfId="3" applyFont="1" applyBorder="1" applyAlignment="1" applyProtection="1">
      <alignment vertical="center"/>
    </xf>
    <xf numFmtId="0" fontId="35" fillId="0" borderId="67" xfId="3" applyFont="1" applyBorder="1" applyAlignment="1">
      <alignment horizontal="left" vertical="center" wrapText="1" indent="1"/>
    </xf>
    <xf numFmtId="168" fontId="21" fillId="0" borderId="0" xfId="4" applyNumberFormat="1" applyFont="1" applyBorder="1" applyAlignment="1" applyProtection="1">
      <alignment horizontal="right" indent="1"/>
    </xf>
    <xf numFmtId="9" fontId="20" fillId="8" borderId="19" xfId="4" applyFont="1" applyFill="1" applyBorder="1" applyAlignment="1" applyProtection="1">
      <alignment horizontal="right" indent="1"/>
    </xf>
    <xf numFmtId="0" fontId="29" fillId="3" borderId="16" xfId="0" applyFont="1" applyFill="1" applyBorder="1" applyAlignment="1" applyProtection="1">
      <alignment horizontal="center"/>
    </xf>
    <xf numFmtId="9" fontId="21" fillId="8" borderId="19" xfId="4" applyFont="1" applyFill="1" applyBorder="1" applyAlignment="1" applyProtection="1">
      <alignment vertical="top"/>
    </xf>
    <xf numFmtId="0" fontId="21" fillId="0" borderId="60" xfId="0" applyFont="1" applyBorder="1" applyAlignment="1" applyProtection="1">
      <alignment horizontal="right" indent="1"/>
    </xf>
    <xf numFmtId="166" fontId="21" fillId="0" borderId="14" xfId="0" applyNumberFormat="1" applyFont="1" applyBorder="1" applyAlignment="1" applyProtection="1">
      <alignment horizontal="right" indent="1"/>
    </xf>
    <xf numFmtId="0" fontId="21" fillId="0" borderId="68" xfId="0" applyFont="1" applyBorder="1" applyAlignment="1" applyProtection="1">
      <alignment horizontal="right" indent="1"/>
    </xf>
    <xf numFmtId="0" fontId="60" fillId="2" borderId="20" xfId="5" applyFont="1" applyFill="1" applyBorder="1" applyAlignment="1">
      <alignment horizontal="left" indent="1"/>
    </xf>
    <xf numFmtId="0" fontId="4" fillId="2" borderId="20" xfId="5" applyFont="1" applyFill="1" applyBorder="1" applyAlignment="1">
      <alignment horizontal="left" indent="1"/>
    </xf>
    <xf numFmtId="0" fontId="1" fillId="0" borderId="0" xfId="5" applyFont="1"/>
    <xf numFmtId="0" fontId="20" fillId="0" borderId="0" xfId="5" applyFont="1"/>
    <xf numFmtId="0" fontId="21" fillId="0" borderId="0" xfId="5" applyFont="1"/>
    <xf numFmtId="0" fontId="43" fillId="0" borderId="0" xfId="5" applyFont="1"/>
    <xf numFmtId="2" fontId="11" fillId="0" borderId="52" xfId="5" applyNumberFormat="1" applyFont="1" applyBorder="1" applyAlignment="1"/>
    <xf numFmtId="0" fontId="1" fillId="0" borderId="5" xfId="5" applyFont="1" applyBorder="1"/>
    <xf numFmtId="2" fontId="11" fillId="0" borderId="5" xfId="5" applyNumberFormat="1" applyFont="1" applyBorder="1" applyAlignment="1"/>
    <xf numFmtId="2" fontId="11" fillId="0" borderId="25" xfId="5" applyNumberFormat="1" applyFont="1" applyBorder="1" applyAlignment="1"/>
    <xf numFmtId="0" fontId="20" fillId="0" borderId="74" xfId="5" applyFont="1" applyFill="1" applyBorder="1" applyAlignment="1">
      <alignment vertical="center" wrapText="1"/>
    </xf>
    <xf numFmtId="0" fontId="1" fillId="0" borderId="20" xfId="5" applyFont="1" applyBorder="1"/>
    <xf numFmtId="0" fontId="20" fillId="0" borderId="52" xfId="5" applyFont="1" applyBorder="1" applyAlignment="1">
      <alignment vertical="center"/>
    </xf>
    <xf numFmtId="0" fontId="1" fillId="0" borderId="25" xfId="5" applyFont="1" applyBorder="1"/>
    <xf numFmtId="0" fontId="43" fillId="0" borderId="0" xfId="5" applyFont="1" applyAlignment="1">
      <alignment wrapText="1"/>
    </xf>
    <xf numFmtId="0" fontId="1" fillId="0" borderId="0" xfId="5" applyFont="1" applyAlignment="1">
      <alignment wrapText="1"/>
    </xf>
    <xf numFmtId="0" fontId="20" fillId="2" borderId="40" xfId="5" applyFont="1" applyFill="1" applyBorder="1" applyAlignment="1">
      <alignment horizontal="center" vertical="center" wrapText="1"/>
    </xf>
    <xf numFmtId="0" fontId="20" fillId="0" borderId="23" xfId="5" applyFont="1" applyBorder="1" applyAlignment="1">
      <alignment horizontal="right" indent="1"/>
    </xf>
    <xf numFmtId="0" fontId="20" fillId="0" borderId="41" xfId="5" applyFont="1" applyBorder="1" applyAlignment="1">
      <alignment horizontal="right" indent="1"/>
    </xf>
    <xf numFmtId="0" fontId="20" fillId="14" borderId="40" xfId="0" applyFont="1" applyFill="1" applyBorder="1" applyAlignment="1">
      <alignment vertical="top"/>
    </xf>
    <xf numFmtId="11" fontId="20" fillId="14" borderId="23" xfId="5" applyNumberFormat="1" applyFont="1" applyFill="1" applyBorder="1" applyAlignment="1">
      <alignment horizontal="center"/>
    </xf>
    <xf numFmtId="11" fontId="20" fillId="14" borderId="50" xfId="5" applyNumberFormat="1" applyFont="1" applyFill="1" applyBorder="1" applyAlignment="1">
      <alignment horizontal="center"/>
    </xf>
    <xf numFmtId="11" fontId="20" fillId="14" borderId="40" xfId="5" applyNumberFormat="1" applyFont="1" applyFill="1" applyBorder="1" applyAlignment="1">
      <alignment horizontal="center"/>
    </xf>
    <xf numFmtId="11" fontId="20" fillId="14" borderId="41" xfId="5" applyNumberFormat="1" applyFont="1" applyFill="1" applyBorder="1" applyAlignment="1">
      <alignment horizontal="center"/>
    </xf>
    <xf numFmtId="0" fontId="20" fillId="0" borderId="40" xfId="5" applyFont="1" applyBorder="1"/>
    <xf numFmtId="0" fontId="20" fillId="0" borderId="48" xfId="5" applyFont="1" applyBorder="1"/>
    <xf numFmtId="0" fontId="20" fillId="0" borderId="0" xfId="5" applyFont="1" applyAlignment="1">
      <alignment wrapText="1"/>
    </xf>
    <xf numFmtId="0" fontId="21" fillId="0" borderId="0" xfId="5" applyFont="1" applyAlignment="1">
      <alignment wrapText="1"/>
    </xf>
    <xf numFmtId="0" fontId="20" fillId="14" borderId="175" xfId="5" applyFont="1" applyFill="1" applyBorder="1" applyAlignment="1">
      <alignment wrapText="1"/>
    </xf>
    <xf numFmtId="0" fontId="20" fillId="14" borderId="177" xfId="5" applyFont="1" applyFill="1" applyBorder="1" applyAlignment="1">
      <alignment horizontal="right" wrapText="1" indent="1"/>
    </xf>
    <xf numFmtId="0" fontId="20" fillId="14" borderId="179" xfId="5" applyFont="1" applyFill="1" applyBorder="1" applyAlignment="1">
      <alignment horizontal="right" wrapText="1" indent="1"/>
    </xf>
    <xf numFmtId="0" fontId="20" fillId="14" borderId="175" xfId="5" applyFont="1" applyFill="1" applyBorder="1" applyAlignment="1">
      <alignment horizontal="right" wrapText="1" indent="1"/>
    </xf>
    <xf numFmtId="0" fontId="20" fillId="14" borderId="23" xfId="5" applyFont="1" applyFill="1" applyBorder="1" applyAlignment="1">
      <alignment horizontal="right" wrapText="1" indent="1"/>
    </xf>
    <xf numFmtId="0" fontId="20" fillId="14" borderId="50" xfId="5" applyFont="1" applyFill="1" applyBorder="1" applyAlignment="1">
      <alignment horizontal="right" wrapText="1" indent="1"/>
    </xf>
    <xf numFmtId="0" fontId="20" fillId="14" borderId="40" xfId="5" applyFont="1" applyFill="1" applyBorder="1" applyAlignment="1">
      <alignment horizontal="right" wrapText="1" indent="1"/>
    </xf>
    <xf numFmtId="0" fontId="30" fillId="15" borderId="23" xfId="5" applyFont="1" applyFill="1" applyBorder="1" applyAlignment="1">
      <alignment horizontal="right" wrapText="1" indent="1"/>
    </xf>
    <xf numFmtId="0" fontId="30" fillId="15" borderId="50" xfId="5" applyFont="1" applyFill="1" applyBorder="1" applyAlignment="1">
      <alignment horizontal="right" wrapText="1" indent="1"/>
    </xf>
    <xf numFmtId="0" fontId="30" fillId="15" borderId="40" xfId="5" applyFont="1" applyFill="1" applyBorder="1" applyAlignment="1">
      <alignment horizontal="right" wrapText="1" indent="1"/>
    </xf>
    <xf numFmtId="0" fontId="30" fillId="15" borderId="31" xfId="5" applyFont="1" applyFill="1" applyBorder="1" applyAlignment="1">
      <alignment horizontal="right" wrapText="1" indent="1"/>
    </xf>
    <xf numFmtId="0" fontId="30" fillId="15" borderId="145" xfId="5" applyFont="1" applyFill="1" applyBorder="1" applyAlignment="1">
      <alignment horizontal="right" wrapText="1" indent="1"/>
    </xf>
    <xf numFmtId="0" fontId="30" fillId="15" borderId="48" xfId="5" applyFont="1" applyFill="1" applyBorder="1" applyAlignment="1">
      <alignment horizontal="right" wrapText="1" indent="1"/>
    </xf>
    <xf numFmtId="0" fontId="20" fillId="2" borderId="176" xfId="5" applyFont="1" applyFill="1" applyBorder="1" applyAlignment="1">
      <alignment horizontal="center" wrapText="1"/>
    </xf>
    <xf numFmtId="0" fontId="20" fillId="0" borderId="40" xfId="5" applyFont="1" applyFill="1" applyBorder="1"/>
    <xf numFmtId="0" fontId="20" fillId="0" borderId="20" xfId="5" applyFont="1" applyBorder="1" applyAlignment="1">
      <alignment wrapText="1"/>
    </xf>
    <xf numFmtId="0" fontId="21" fillId="0" borderId="0" xfId="5" applyFont="1" applyAlignment="1"/>
    <xf numFmtId="0" fontId="20" fillId="0" borderId="52" xfId="5" applyFont="1" applyFill="1" applyBorder="1" applyAlignment="1">
      <alignment vertical="center" wrapText="1"/>
    </xf>
    <xf numFmtId="2" fontId="11" fillId="0" borderId="0" xfId="5" applyNumberFormat="1" applyFont="1" applyBorder="1" applyAlignment="1"/>
    <xf numFmtId="0" fontId="1" fillId="0" borderId="0" xfId="5" applyFont="1" applyBorder="1"/>
    <xf numFmtId="2" fontId="11" fillId="0" borderId="20" xfId="5" applyNumberFormat="1" applyFont="1" applyBorder="1" applyAlignment="1"/>
    <xf numFmtId="166" fontId="21" fillId="0" borderId="32" xfId="0" applyNumberFormat="1" applyFont="1" applyBorder="1" applyAlignment="1" applyProtection="1">
      <alignment horizontal="right" indent="1"/>
    </xf>
    <xf numFmtId="3" fontId="30" fillId="15" borderId="65" xfId="0" applyNumberFormat="1" applyFont="1" applyFill="1" applyBorder="1" applyAlignment="1" applyProtection="1">
      <alignment horizontal="right" indent="1"/>
    </xf>
    <xf numFmtId="0" fontId="20" fillId="0" borderId="94" xfId="0" applyFont="1" applyBorder="1" applyProtection="1"/>
    <xf numFmtId="0" fontId="20" fillId="0" borderId="23" xfId="0" applyFont="1" applyBorder="1" applyAlignment="1" applyProtection="1">
      <alignment vertical="center"/>
    </xf>
    <xf numFmtId="0" fontId="20" fillId="0" borderId="23" xfId="0" applyFont="1" applyBorder="1" applyAlignment="1" applyProtection="1">
      <alignment horizontal="left" vertical="center" indent="1"/>
    </xf>
    <xf numFmtId="0" fontId="20" fillId="0" borderId="23" xfId="0" applyFont="1" applyBorder="1" applyAlignment="1" applyProtection="1">
      <alignment horizontal="left" vertical="center" wrapText="1" indent="1"/>
    </xf>
    <xf numFmtId="0" fontId="20" fillId="2" borderId="40" xfId="0" applyFont="1" applyFill="1" applyBorder="1" applyAlignment="1" applyProtection="1">
      <alignment horizontal="center" vertical="center" wrapText="1"/>
    </xf>
    <xf numFmtId="0" fontId="20" fillId="0" borderId="41" xfId="0" applyFont="1" applyBorder="1" applyAlignment="1" applyProtection="1">
      <alignment vertical="center"/>
    </xf>
    <xf numFmtId="0" fontId="20" fillId="0" borderId="40" xfId="0" applyFont="1" applyBorder="1" applyAlignment="1" applyProtection="1">
      <alignment horizontal="left" vertical="center" indent="1"/>
    </xf>
    <xf numFmtId="0" fontId="20" fillId="0" borderId="41" xfId="0" applyFont="1" applyBorder="1" applyAlignment="1" applyProtection="1">
      <alignment horizontal="left" vertical="center" indent="1"/>
    </xf>
    <xf numFmtId="0" fontId="20" fillId="0" borderId="40" xfId="0" applyFont="1" applyBorder="1" applyAlignment="1" applyProtection="1">
      <alignment horizontal="left" vertical="center" wrapText="1" indent="1"/>
    </xf>
    <xf numFmtId="0" fontId="20" fillId="0" borderId="41" xfId="0" applyFont="1" applyBorder="1" applyAlignment="1" applyProtection="1">
      <alignment horizontal="left" vertical="center" wrapText="1" indent="1"/>
    </xf>
    <xf numFmtId="0" fontId="20" fillId="2" borderId="41" xfId="5" applyFont="1" applyFill="1" applyBorder="1" applyAlignment="1">
      <alignment horizontal="center" wrapText="1"/>
    </xf>
    <xf numFmtId="166" fontId="21" fillId="0" borderId="40" xfId="5" applyNumberFormat="1" applyFont="1" applyFill="1" applyBorder="1" applyAlignment="1">
      <alignment horizontal="right" indent="1"/>
    </xf>
    <xf numFmtId="166" fontId="21" fillId="0" borderId="41" xfId="5" applyNumberFormat="1" applyFont="1" applyFill="1" applyBorder="1" applyAlignment="1">
      <alignment horizontal="right" indent="1"/>
    </xf>
    <xf numFmtId="0" fontId="22" fillId="0" borderId="0" xfId="0" applyFont="1" applyAlignment="1">
      <alignment horizontal="left" vertical="top" wrapText="1"/>
    </xf>
    <xf numFmtId="0" fontId="21" fillId="0" borderId="0" xfId="0" applyFont="1" applyAlignment="1" applyProtection="1">
      <alignment wrapText="1"/>
    </xf>
    <xf numFmtId="0" fontId="41" fillId="5" borderId="0" xfId="5" applyFont="1" applyFill="1" applyBorder="1" applyAlignment="1">
      <alignment horizontal="left" vertical="top"/>
    </xf>
    <xf numFmtId="0" fontId="61" fillId="5" borderId="0" xfId="5" applyFont="1" applyFill="1" applyBorder="1" applyAlignment="1">
      <alignment horizontal="left" vertical="top"/>
    </xf>
    <xf numFmtId="0" fontId="1" fillId="0" borderId="0" xfId="5" applyFont="1" applyAlignment="1">
      <alignment horizontal="center"/>
    </xf>
    <xf numFmtId="0" fontId="20" fillId="2" borderId="1" xfId="5" applyFont="1" applyFill="1" applyBorder="1" applyAlignment="1">
      <alignment horizontal="center" vertical="center" wrapText="1"/>
    </xf>
    <xf numFmtId="0" fontId="20" fillId="2" borderId="5" xfId="5" applyFont="1" applyFill="1" applyBorder="1" applyAlignment="1">
      <alignment horizontal="center" wrapText="1"/>
    </xf>
    <xf numFmtId="0" fontId="20" fillId="2" borderId="25" xfId="5" applyFont="1" applyFill="1" applyBorder="1" applyAlignment="1">
      <alignment horizontal="center" wrapText="1"/>
    </xf>
    <xf numFmtId="0" fontId="20" fillId="0" borderId="40" xfId="0" applyFont="1" applyFill="1" applyBorder="1"/>
    <xf numFmtId="0" fontId="20" fillId="0" borderId="23" xfId="0" applyFont="1" applyBorder="1" applyAlignment="1">
      <alignment horizontal="right" indent="1"/>
    </xf>
    <xf numFmtId="0" fontId="20" fillId="0" borderId="41" xfId="0" applyFont="1" applyBorder="1" applyAlignment="1">
      <alignment horizontal="right" indent="1"/>
    </xf>
    <xf numFmtId="0" fontId="20" fillId="0" borderId="40" xfId="0" applyFont="1" applyBorder="1"/>
    <xf numFmtId="0" fontId="20" fillId="21" borderId="23" xfId="0" applyFont="1" applyFill="1" applyBorder="1" applyAlignment="1">
      <alignment horizontal="right" indent="1"/>
    </xf>
    <xf numFmtId="0" fontId="20" fillId="0" borderId="43" xfId="5" applyFont="1" applyBorder="1" applyAlignment="1">
      <alignment horizontal="right" indent="1"/>
    </xf>
    <xf numFmtId="0" fontId="20" fillId="0" borderId="44" xfId="5" applyFont="1" applyBorder="1" applyAlignment="1">
      <alignment horizontal="right" indent="1"/>
    </xf>
    <xf numFmtId="0" fontId="20" fillId="0" borderId="0" xfId="0" applyFont="1" applyFill="1" applyBorder="1" applyAlignment="1" applyProtection="1">
      <alignment vertical="center"/>
    </xf>
    <xf numFmtId="0" fontId="21" fillId="0" borderId="0" xfId="0" applyFont="1" applyBorder="1" applyAlignment="1" applyProtection="1">
      <alignment horizontal="right" indent="1"/>
    </xf>
    <xf numFmtId="170" fontId="21" fillId="0" borderId="9" xfId="0" applyNumberFormat="1" applyFont="1" applyBorder="1" applyAlignment="1" applyProtection="1">
      <alignment horizontal="right" indent="1"/>
    </xf>
    <xf numFmtId="170" fontId="21" fillId="0" borderId="11" xfId="0" applyNumberFormat="1" applyFont="1" applyBorder="1" applyAlignment="1" applyProtection="1">
      <alignment horizontal="right" indent="1"/>
    </xf>
    <xf numFmtId="3" fontId="29" fillId="5" borderId="96" xfId="0" applyNumberFormat="1" applyFont="1" applyFill="1" applyBorder="1" applyAlignment="1" applyProtection="1">
      <alignment horizontal="right" vertical="center" indent="1"/>
    </xf>
    <xf numFmtId="3" fontId="29" fillId="5" borderId="64" xfId="0" applyNumberFormat="1" applyFont="1" applyFill="1" applyBorder="1" applyAlignment="1" applyProtection="1">
      <alignment horizontal="right" vertical="center" indent="1"/>
    </xf>
    <xf numFmtId="3" fontId="29" fillId="5" borderId="90" xfId="0" applyNumberFormat="1" applyFont="1" applyFill="1" applyBorder="1" applyAlignment="1" applyProtection="1">
      <alignment horizontal="right" vertical="center" indent="1"/>
    </xf>
    <xf numFmtId="0" fontId="21" fillId="0" borderId="96" xfId="0" applyFont="1" applyBorder="1" applyProtection="1"/>
    <xf numFmtId="0" fontId="21" fillId="0" borderId="64" xfId="0" applyFont="1" applyBorder="1" applyProtection="1"/>
    <xf numFmtId="0" fontId="21" fillId="0" borderId="90" xfId="0" applyFont="1" applyBorder="1" applyProtection="1"/>
    <xf numFmtId="169" fontId="29" fillId="0" borderId="0" xfId="1" applyNumberFormat="1" applyFont="1" applyFill="1" applyBorder="1" applyAlignment="1" applyProtection="1">
      <alignment vertical="top"/>
    </xf>
    <xf numFmtId="0" fontId="14" fillId="0" borderId="7" xfId="3" applyFont="1" applyFill="1" applyBorder="1" applyAlignment="1" applyProtection="1">
      <alignment horizontal="right" vertical="center" indent="1"/>
    </xf>
    <xf numFmtId="0" fontId="14" fillId="0" borderId="33" xfId="3" applyFont="1" applyFill="1" applyBorder="1" applyAlignment="1" applyProtection="1">
      <alignment horizontal="right" vertical="center" indent="1"/>
    </xf>
    <xf numFmtId="0" fontId="14" fillId="0" borderId="10" xfId="3" applyFont="1" applyFill="1" applyBorder="1" applyAlignment="1" applyProtection="1">
      <alignment horizontal="right" vertical="center" indent="1"/>
    </xf>
    <xf numFmtId="0" fontId="14" fillId="0" borderId="67" xfId="3" applyFont="1" applyFill="1" applyBorder="1" applyAlignment="1" applyProtection="1">
      <alignment horizontal="right" vertical="center" indent="1"/>
    </xf>
    <xf numFmtId="0" fontId="14" fillId="0" borderId="70" xfId="3" applyFont="1" applyFill="1" applyBorder="1" applyAlignment="1" applyProtection="1">
      <alignment horizontal="right" vertical="center" indent="1"/>
    </xf>
    <xf numFmtId="0" fontId="14" fillId="0" borderId="119" xfId="3" applyFont="1" applyFill="1" applyBorder="1" applyAlignment="1" applyProtection="1">
      <alignment horizontal="right" vertical="center" indent="1"/>
    </xf>
    <xf numFmtId="0" fontId="20" fillId="23" borderId="122" xfId="0" applyFont="1" applyFill="1" applyBorder="1" applyAlignment="1" applyProtection="1">
      <alignment horizontal="right" vertical="center" indent="1"/>
    </xf>
    <xf numFmtId="169" fontId="30" fillId="5" borderId="115" xfId="0" applyNumberFormat="1" applyFont="1" applyFill="1" applyBorder="1" applyAlignment="1" applyProtection="1">
      <alignment horizontal="right" vertical="center" indent="1"/>
    </xf>
    <xf numFmtId="0" fontId="14" fillId="0" borderId="139" xfId="3" applyFont="1" applyBorder="1" applyAlignment="1" applyProtection="1">
      <alignment horizontal="left" vertical="center" indent="1"/>
    </xf>
    <xf numFmtId="0" fontId="20" fillId="23" borderId="138" xfId="0" applyFont="1" applyFill="1" applyBorder="1" applyAlignment="1" applyProtection="1">
      <alignment horizontal="right" vertical="center" indent="1"/>
    </xf>
    <xf numFmtId="169" fontId="30" fillId="5" borderId="113" xfId="0" applyNumberFormat="1" applyFont="1" applyFill="1" applyBorder="1" applyAlignment="1" applyProtection="1">
      <alignment horizontal="right" vertical="center" indent="1"/>
    </xf>
    <xf numFmtId="0" fontId="20" fillId="2" borderId="45" xfId="0" applyFont="1" applyFill="1" applyBorder="1" applyAlignment="1" applyProtection="1">
      <alignment horizontal="center" vertical="center" wrapText="1"/>
    </xf>
    <xf numFmtId="0" fontId="20" fillId="2" borderId="107" xfId="0" applyFont="1" applyFill="1" applyBorder="1" applyAlignment="1" applyProtection="1">
      <alignment horizontal="center" vertical="center" wrapText="1"/>
    </xf>
    <xf numFmtId="0" fontId="20" fillId="2" borderId="26" xfId="0" applyFont="1" applyFill="1" applyBorder="1" applyAlignment="1" applyProtection="1">
      <alignment horizontal="center" vertical="top" wrapText="1"/>
    </xf>
    <xf numFmtId="0" fontId="14" fillId="0" borderId="48" xfId="3" applyFont="1" applyBorder="1" applyAlignment="1" applyProtection="1">
      <alignment horizontal="left" vertical="center" indent="1"/>
    </xf>
    <xf numFmtId="0" fontId="15" fillId="0" borderId="31" xfId="3" applyFont="1" applyBorder="1" applyAlignment="1" applyProtection="1">
      <alignment horizontal="left" vertical="center" wrapText="1" indent="1"/>
    </xf>
    <xf numFmtId="0" fontId="15" fillId="0" borderId="31" xfId="3" applyFont="1" applyBorder="1" applyAlignment="1" applyProtection="1">
      <alignment vertical="center"/>
    </xf>
    <xf numFmtId="0" fontId="20" fillId="23" borderId="31" xfId="0" applyFont="1" applyFill="1" applyBorder="1" applyAlignment="1" applyProtection="1">
      <alignment horizontal="right" vertical="center" indent="1"/>
    </xf>
    <xf numFmtId="0" fontId="20" fillId="23" borderId="145" xfId="0" applyFont="1" applyFill="1" applyBorder="1" applyAlignment="1" applyProtection="1">
      <alignment horizontal="right" vertical="center" indent="1"/>
    </xf>
    <xf numFmtId="169" fontId="21" fillId="23" borderId="49" xfId="1" applyNumberFormat="1" applyFont="1" applyFill="1" applyBorder="1" applyAlignment="1" applyProtection="1">
      <alignment vertical="center"/>
    </xf>
    <xf numFmtId="3" fontId="21" fillId="0" borderId="48" xfId="0" applyNumberFormat="1" applyFont="1" applyBorder="1" applyAlignment="1" applyProtection="1">
      <alignment horizontal="right" vertical="center" indent="1"/>
    </xf>
    <xf numFmtId="3" fontId="21" fillId="0" borderId="31" xfId="0" applyNumberFormat="1" applyFont="1" applyBorder="1" applyAlignment="1" applyProtection="1">
      <alignment horizontal="right" vertical="center" indent="1"/>
    </xf>
    <xf numFmtId="169" fontId="20" fillId="14" borderId="49" xfId="0" applyNumberFormat="1" applyFont="1" applyFill="1" applyBorder="1" applyAlignment="1" applyProtection="1">
      <alignment horizontal="right" vertical="center" indent="1"/>
    </xf>
    <xf numFmtId="169" fontId="30" fillId="5" borderId="182" xfId="0" applyNumberFormat="1" applyFont="1" applyFill="1" applyBorder="1" applyAlignment="1" applyProtection="1">
      <alignment horizontal="right" vertical="center" indent="1"/>
    </xf>
    <xf numFmtId="0" fontId="20" fillId="2" borderId="180" xfId="0" applyFont="1" applyFill="1" applyBorder="1" applyAlignment="1" applyProtection="1">
      <alignment horizontal="center" vertical="center" wrapText="1"/>
    </xf>
    <xf numFmtId="0" fontId="20" fillId="0" borderId="50" xfId="0" applyFont="1" applyBorder="1" applyProtection="1"/>
    <xf numFmtId="0" fontId="20" fillId="2" borderId="181" xfId="0" applyFont="1" applyFill="1" applyBorder="1" applyAlignment="1" applyProtection="1">
      <alignment horizontal="center" vertical="center" wrapText="1"/>
    </xf>
    <xf numFmtId="0" fontId="20" fillId="2" borderId="176" xfId="0" applyFont="1" applyFill="1" applyBorder="1" applyAlignment="1" applyProtection="1">
      <alignment horizontal="center" vertical="center" wrapText="1"/>
    </xf>
    <xf numFmtId="170" fontId="21" fillId="0" borderId="40" xfId="0" applyNumberFormat="1" applyFont="1" applyBorder="1" applyAlignment="1" applyProtection="1">
      <alignment horizontal="right" indent="1"/>
    </xf>
    <xf numFmtId="0" fontId="30" fillId="15" borderId="52" xfId="5" applyFont="1" applyFill="1" applyBorder="1" applyAlignment="1">
      <alignment vertical="center" wrapText="1"/>
    </xf>
    <xf numFmtId="170" fontId="21" fillId="0" borderId="42" xfId="0" applyNumberFormat="1" applyFont="1" applyBorder="1" applyAlignment="1" applyProtection="1">
      <alignment horizontal="right" indent="1"/>
    </xf>
    <xf numFmtId="0" fontId="20" fillId="14" borderId="52" xfId="0" applyFont="1" applyFill="1" applyBorder="1" applyProtection="1"/>
    <xf numFmtId="0" fontId="21" fillId="14" borderId="25" xfId="0" applyFont="1" applyFill="1" applyBorder="1" applyProtection="1"/>
    <xf numFmtId="0" fontId="21" fillId="14" borderId="52" xfId="0" applyFont="1" applyFill="1" applyBorder="1" applyProtection="1"/>
    <xf numFmtId="0" fontId="20" fillId="14" borderId="5" xfId="0" applyFont="1" applyFill="1" applyBorder="1" applyProtection="1"/>
    <xf numFmtId="0" fontId="20" fillId="0" borderId="42" xfId="0" applyFont="1" applyBorder="1"/>
    <xf numFmtId="0" fontId="20" fillId="0" borderId="43" xfId="0" applyFont="1" applyBorder="1" applyAlignment="1">
      <alignment horizontal="right" indent="1"/>
    </xf>
    <xf numFmtId="0" fontId="20" fillId="0" borderId="23" xfId="0" applyFont="1" applyBorder="1" applyAlignment="1">
      <alignment horizontal="center" vertical="center"/>
    </xf>
    <xf numFmtId="0" fontId="20" fillId="0" borderId="41" xfId="5" applyFont="1" applyBorder="1" applyAlignment="1">
      <alignment horizontal="center" vertical="center"/>
    </xf>
    <xf numFmtId="0" fontId="20" fillId="0" borderId="40" xfId="5" applyFont="1" applyBorder="1" applyAlignment="1">
      <alignment horizontal="center" vertical="center"/>
    </xf>
    <xf numFmtId="0" fontId="20" fillId="0" borderId="23" xfId="5" applyFont="1" applyBorder="1" applyAlignment="1">
      <alignment horizontal="center" vertical="center"/>
    </xf>
    <xf numFmtId="3" fontId="20" fillId="13" borderId="150" xfId="0" applyNumberFormat="1" applyFont="1" applyFill="1" applyBorder="1" applyAlignment="1" applyProtection="1">
      <alignment horizontal="center" vertical="center"/>
      <protection locked="0"/>
    </xf>
    <xf numFmtId="3" fontId="20" fillId="13" borderId="147" xfId="0" applyNumberFormat="1" applyFont="1" applyFill="1" applyBorder="1" applyAlignment="1" applyProtection="1">
      <alignment horizontal="center" vertical="center"/>
      <protection locked="0"/>
    </xf>
    <xf numFmtId="49" fontId="20" fillId="14" borderId="23" xfId="5" applyNumberFormat="1" applyFont="1" applyFill="1" applyBorder="1" applyAlignment="1">
      <alignment horizontal="center"/>
    </xf>
    <xf numFmtId="49" fontId="20" fillId="14" borderId="50" xfId="5" applyNumberFormat="1" applyFont="1" applyFill="1" applyBorder="1" applyAlignment="1">
      <alignment horizontal="center"/>
    </xf>
    <xf numFmtId="49" fontId="20" fillId="14" borderId="40" xfId="5" applyNumberFormat="1" applyFont="1" applyFill="1" applyBorder="1" applyAlignment="1">
      <alignment horizontal="center"/>
    </xf>
    <xf numFmtId="0" fontId="57" fillId="25" borderId="50" xfId="0" applyFont="1" applyFill="1" applyBorder="1" applyAlignment="1">
      <alignment horizontal="center"/>
    </xf>
    <xf numFmtId="0" fontId="57" fillId="25" borderId="40" xfId="0" applyFont="1" applyFill="1" applyBorder="1" applyAlignment="1">
      <alignment horizontal="center"/>
    </xf>
    <xf numFmtId="0" fontId="57" fillId="25" borderId="41" xfId="0" applyFont="1" applyFill="1" applyBorder="1" applyAlignment="1">
      <alignment horizontal="center"/>
    </xf>
    <xf numFmtId="49" fontId="20" fillId="14" borderId="41" xfId="5" applyNumberFormat="1" applyFont="1" applyFill="1" applyBorder="1" applyAlignment="1">
      <alignment horizontal="center"/>
    </xf>
    <xf numFmtId="0" fontId="57" fillId="25" borderId="48" xfId="0" applyFont="1" applyFill="1" applyBorder="1" applyAlignment="1">
      <alignment horizontal="center"/>
    </xf>
    <xf numFmtId="0" fontId="57" fillId="25" borderId="31" xfId="0" applyFont="1" applyFill="1" applyBorder="1" applyAlignment="1">
      <alignment horizontal="center"/>
    </xf>
    <xf numFmtId="0" fontId="57" fillId="25" borderId="49" xfId="0" applyFont="1" applyFill="1" applyBorder="1" applyAlignment="1">
      <alignment horizontal="center"/>
    </xf>
    <xf numFmtId="0" fontId="20" fillId="21" borderId="40" xfId="5" applyFont="1" applyFill="1" applyBorder="1"/>
    <xf numFmtId="0" fontId="20" fillId="2" borderId="175" xfId="0" applyFont="1" applyFill="1" applyBorder="1" applyAlignment="1" applyProtection="1">
      <alignment horizontal="center" vertical="center" wrapText="1"/>
    </xf>
    <xf numFmtId="0" fontId="20" fillId="0" borderId="177" xfId="0" applyFont="1" applyBorder="1" applyAlignment="1" applyProtection="1">
      <alignment horizontal="left" vertical="center"/>
    </xf>
    <xf numFmtId="0" fontId="20" fillId="0" borderId="40" xfId="0" applyFont="1" applyBorder="1" applyAlignment="1" applyProtection="1">
      <alignment horizontal="left" vertical="center" wrapText="1"/>
    </xf>
    <xf numFmtId="0" fontId="20" fillId="0" borderId="23" xfId="0" applyFont="1" applyBorder="1" applyAlignment="1" applyProtection="1">
      <alignment horizontal="left" vertical="center" wrapText="1"/>
    </xf>
    <xf numFmtId="0" fontId="20" fillId="0" borderId="41" xfId="0" applyFont="1" applyBorder="1" applyAlignment="1" applyProtection="1">
      <alignment horizontal="left" vertical="center" wrapText="1"/>
    </xf>
    <xf numFmtId="0" fontId="1" fillId="0" borderId="0" xfId="0" applyFont="1"/>
    <xf numFmtId="9" fontId="14" fillId="25" borderId="116" xfId="0" applyNumberFormat="1" applyFont="1" applyFill="1" applyBorder="1" applyAlignment="1" applyProtection="1">
      <alignment horizontal="center" vertical="center"/>
    </xf>
    <xf numFmtId="0" fontId="21" fillId="23" borderId="7" xfId="0" applyFont="1" applyFill="1" applyBorder="1" applyAlignment="1" applyProtection="1">
      <alignment vertical="center"/>
    </xf>
    <xf numFmtId="0" fontId="21" fillId="23" borderId="33" xfId="0" applyFont="1" applyFill="1" applyBorder="1" applyAlignment="1" applyProtection="1">
      <alignment vertical="center"/>
    </xf>
    <xf numFmtId="0" fontId="21" fillId="23" borderId="10" xfId="0" applyFont="1" applyFill="1" applyBorder="1" applyAlignment="1" applyProtection="1">
      <alignment vertical="center"/>
    </xf>
    <xf numFmtId="0" fontId="21" fillId="23" borderId="70" xfId="0" applyFont="1" applyFill="1" applyBorder="1" applyAlignment="1" applyProtection="1">
      <alignment vertical="center"/>
    </xf>
    <xf numFmtId="0" fontId="21" fillId="23" borderId="12" xfId="0" applyFont="1" applyFill="1" applyBorder="1" applyAlignment="1" applyProtection="1">
      <alignment vertical="center"/>
    </xf>
    <xf numFmtId="0" fontId="20" fillId="23" borderId="23" xfId="0" applyFont="1" applyFill="1" applyBorder="1" applyAlignment="1" applyProtection="1">
      <alignment horizontal="right" indent="1"/>
    </xf>
    <xf numFmtId="0" fontId="20" fillId="23" borderId="7" xfId="5" applyFont="1" applyFill="1" applyBorder="1" applyAlignment="1" applyProtection="1">
      <alignment horizontal="right" vertical="center" wrapText="1" indent="1"/>
    </xf>
    <xf numFmtId="0" fontId="20" fillId="23" borderId="10" xfId="5" applyFont="1" applyFill="1" applyBorder="1" applyAlignment="1" applyProtection="1">
      <alignment horizontal="right" vertical="center" wrapText="1" indent="1"/>
    </xf>
    <xf numFmtId="0" fontId="20" fillId="23" borderId="12" xfId="5" applyFont="1" applyFill="1" applyBorder="1" applyAlignment="1" applyProtection="1">
      <alignment horizontal="right" vertical="center" wrapText="1" indent="1"/>
    </xf>
    <xf numFmtId="3" fontId="30" fillId="14" borderId="96" xfId="0" applyNumberFormat="1" applyFont="1" applyFill="1" applyBorder="1" applyAlignment="1" applyProtection="1">
      <alignment horizontal="right" indent="1"/>
    </xf>
    <xf numFmtId="3" fontId="30" fillId="14" borderId="64" xfId="0" applyNumberFormat="1" applyFont="1" applyFill="1" applyBorder="1" applyAlignment="1" applyProtection="1">
      <alignment horizontal="right" indent="1"/>
    </xf>
    <xf numFmtId="3" fontId="30" fillId="14" borderId="114" xfId="0" applyNumberFormat="1" applyFont="1" applyFill="1" applyBorder="1" applyAlignment="1" applyProtection="1">
      <alignment horizontal="right" indent="1"/>
    </xf>
    <xf numFmtId="3" fontId="30" fillId="14" borderId="90" xfId="0" applyNumberFormat="1" applyFont="1" applyFill="1" applyBorder="1" applyAlignment="1" applyProtection="1">
      <alignment horizontal="right" indent="1"/>
    </xf>
    <xf numFmtId="3" fontId="30" fillId="14" borderId="65" xfId="0" applyNumberFormat="1" applyFont="1" applyFill="1" applyBorder="1" applyAlignment="1" applyProtection="1">
      <alignment horizontal="right" indent="1"/>
    </xf>
    <xf numFmtId="0" fontId="21" fillId="0" borderId="19" xfId="0" applyFont="1" applyBorder="1"/>
    <xf numFmtId="9" fontId="20" fillId="13" borderId="19" xfId="4" applyFont="1" applyFill="1" applyBorder="1" applyAlignment="1" applyProtection="1">
      <alignment horizontal="right" indent="1"/>
      <protection locked="0"/>
    </xf>
    <xf numFmtId="0" fontId="21" fillId="0" borderId="134" xfId="0" applyFont="1" applyBorder="1" applyAlignment="1" applyProtection="1">
      <alignment horizontal="left" vertical="top" wrapText="1" indent="1"/>
    </xf>
    <xf numFmtId="0" fontId="21" fillId="0" borderId="33" xfId="0" applyFont="1" applyBorder="1" applyAlignment="1" applyProtection="1">
      <alignment horizontal="left" vertical="top" wrapText="1" indent="1"/>
    </xf>
    <xf numFmtId="0" fontId="21" fillId="0" borderId="10" xfId="0" applyFont="1" applyBorder="1" applyAlignment="1" applyProtection="1">
      <alignment horizontal="left" vertical="top" wrapText="1" indent="1"/>
    </xf>
    <xf numFmtId="0" fontId="21" fillId="0" borderId="70" xfId="0" applyFont="1" applyBorder="1" applyAlignment="1" applyProtection="1">
      <alignment horizontal="left" vertical="top" wrapText="1" indent="1"/>
    </xf>
    <xf numFmtId="0" fontId="21" fillId="0" borderId="67" xfId="0" applyFont="1" applyBorder="1" applyAlignment="1" applyProtection="1">
      <alignment horizontal="left" vertical="top" wrapText="1" indent="1"/>
    </xf>
    <xf numFmtId="0" fontId="21" fillId="23" borderId="134" xfId="0" applyFont="1" applyFill="1" applyBorder="1" applyAlignment="1" applyProtection="1">
      <alignment horizontal="right" vertical="top" indent="1"/>
    </xf>
    <xf numFmtId="0" fontId="21" fillId="23" borderId="33" xfId="0" applyFont="1" applyFill="1" applyBorder="1" applyAlignment="1" applyProtection="1">
      <alignment horizontal="right" vertical="top" indent="1"/>
    </xf>
    <xf numFmtId="0" fontId="21" fillId="23" borderId="10" xfId="0" applyFont="1" applyFill="1" applyBorder="1" applyAlignment="1" applyProtection="1">
      <alignment horizontal="right" vertical="top" indent="1"/>
    </xf>
    <xf numFmtId="0" fontId="21" fillId="23" borderId="70" xfId="0" applyFont="1" applyFill="1" applyBorder="1" applyAlignment="1" applyProtection="1">
      <alignment horizontal="right" vertical="top" indent="1"/>
    </xf>
    <xf numFmtId="0" fontId="21" fillId="23" borderId="67" xfId="0" applyFont="1" applyFill="1" applyBorder="1" applyAlignment="1" applyProtection="1">
      <alignment horizontal="right" vertical="top" indent="1"/>
    </xf>
    <xf numFmtId="44" fontId="20" fillId="23" borderId="116" xfId="0" applyNumberFormat="1" applyFont="1" applyFill="1" applyBorder="1" applyProtection="1">
      <protection locked="0"/>
    </xf>
    <xf numFmtId="171" fontId="21" fillId="21" borderId="65" xfId="1" applyNumberFormat="1" applyFont="1" applyFill="1" applyBorder="1" applyAlignment="1" applyProtection="1">
      <alignment horizontal="right" vertical="top" indent="1"/>
    </xf>
    <xf numFmtId="171" fontId="21" fillId="21" borderId="115" xfId="1" applyNumberFormat="1" applyFont="1" applyFill="1" applyBorder="1" applyAlignment="1" applyProtection="1">
      <alignment horizontal="right" vertical="top" indent="1"/>
    </xf>
    <xf numFmtId="0" fontId="22" fillId="11" borderId="0" xfId="0" applyFont="1" applyFill="1"/>
    <xf numFmtId="9" fontId="20" fillId="13" borderId="116" xfId="4" applyFont="1" applyFill="1" applyBorder="1" applyAlignment="1" applyProtection="1">
      <alignment horizontal="right" wrapText="1" indent="1"/>
      <protection locked="0"/>
    </xf>
    <xf numFmtId="9" fontId="20" fillId="13" borderId="117" xfId="4" applyFont="1" applyFill="1" applyBorder="1" applyAlignment="1" applyProtection="1">
      <alignment horizontal="right" wrapText="1" indent="1"/>
      <protection locked="0"/>
    </xf>
    <xf numFmtId="0" fontId="20" fillId="13" borderId="23" xfId="0" applyFont="1" applyFill="1" applyBorder="1" applyAlignment="1" applyProtection="1">
      <alignment horizontal="center" vertical="center"/>
      <protection locked="0"/>
    </xf>
    <xf numFmtId="0" fontId="20" fillId="13" borderId="31" xfId="0" applyFont="1" applyFill="1" applyBorder="1" applyAlignment="1" applyProtection="1">
      <alignment horizontal="center" vertical="center"/>
      <protection locked="0"/>
    </xf>
    <xf numFmtId="3" fontId="20" fillId="13" borderId="156" xfId="0" applyNumberFormat="1" applyFont="1" applyFill="1" applyBorder="1" applyAlignment="1" applyProtection="1">
      <alignment horizontal="center" vertical="center"/>
      <protection locked="0"/>
    </xf>
    <xf numFmtId="3" fontId="20" fillId="13" borderId="154" xfId="0" applyNumberFormat="1" applyFont="1" applyFill="1" applyBorder="1" applyAlignment="1" applyProtection="1">
      <alignment horizontal="center" vertical="center"/>
      <protection locked="0"/>
    </xf>
    <xf numFmtId="0" fontId="21" fillId="13" borderId="98" xfId="0" applyFont="1" applyFill="1" applyBorder="1" applyAlignment="1" applyProtection="1">
      <alignment vertical="top"/>
      <protection locked="0"/>
    </xf>
    <xf numFmtId="0" fontId="20" fillId="13" borderId="98" xfId="0" applyFont="1" applyFill="1" applyBorder="1" applyAlignment="1" applyProtection="1">
      <alignment horizontal="right" vertical="top" indent="1"/>
      <protection locked="0"/>
    </xf>
    <xf numFmtId="0" fontId="21" fillId="13" borderId="14" xfId="0" applyFont="1" applyFill="1" applyBorder="1" applyAlignment="1" applyProtection="1">
      <alignment vertical="top"/>
      <protection locked="0"/>
    </xf>
    <xf numFmtId="0" fontId="20" fillId="13" borderId="14" xfId="0" applyFont="1" applyFill="1" applyBorder="1" applyAlignment="1" applyProtection="1">
      <alignment horizontal="right" vertical="top" indent="1"/>
      <protection locked="0"/>
    </xf>
    <xf numFmtId="0" fontId="21" fillId="13" borderId="16" xfId="0" applyFont="1" applyFill="1" applyBorder="1" applyAlignment="1" applyProtection="1">
      <alignment vertical="top"/>
      <protection locked="0"/>
    </xf>
    <xf numFmtId="0" fontId="20" fillId="13" borderId="16" xfId="0" applyFont="1" applyFill="1" applyBorder="1" applyAlignment="1" applyProtection="1">
      <alignment horizontal="right" vertical="top" indent="1"/>
      <protection locked="0"/>
    </xf>
    <xf numFmtId="0" fontId="20" fillId="13" borderId="108" xfId="0" applyFont="1" applyFill="1" applyBorder="1" applyAlignment="1" applyProtection="1">
      <alignment horizontal="right" vertical="top" indent="1"/>
      <protection locked="0"/>
    </xf>
    <xf numFmtId="0" fontId="21" fillId="13" borderId="22" xfId="0" applyFont="1" applyFill="1" applyBorder="1" applyAlignment="1" applyProtection="1">
      <alignment vertical="top"/>
      <protection locked="0"/>
    </xf>
    <xf numFmtId="0" fontId="20" fillId="13" borderId="22" xfId="0" applyFont="1" applyFill="1" applyBorder="1" applyAlignment="1" applyProtection="1">
      <alignment horizontal="right" vertical="top" indent="1"/>
      <protection locked="0"/>
    </xf>
    <xf numFmtId="1" fontId="20" fillId="13" borderId="14" xfId="0" applyNumberFormat="1" applyFont="1" applyFill="1" applyBorder="1" applyAlignment="1" applyProtection="1">
      <alignment horizontal="right" vertical="top" indent="1"/>
      <protection locked="0"/>
    </xf>
    <xf numFmtId="1" fontId="20" fillId="13" borderId="16" xfId="0" applyNumberFormat="1" applyFont="1" applyFill="1" applyBorder="1" applyAlignment="1" applyProtection="1">
      <alignment horizontal="right" vertical="top" indent="1"/>
      <protection locked="0"/>
    </xf>
    <xf numFmtId="0" fontId="21" fillId="13" borderId="20" xfId="0" applyFont="1" applyFill="1" applyBorder="1" applyAlignment="1" applyProtection="1">
      <alignment vertical="top"/>
      <protection locked="0"/>
    </xf>
    <xf numFmtId="0" fontId="20" fillId="13" borderId="20" xfId="0" applyFont="1" applyFill="1" applyBorder="1" applyAlignment="1" applyProtection="1">
      <alignment horizontal="right" vertical="top" indent="1"/>
      <protection locked="0"/>
    </xf>
    <xf numFmtId="0" fontId="28" fillId="0" borderId="0" xfId="0" applyFont="1" applyProtection="1"/>
    <xf numFmtId="0" fontId="28" fillId="2" borderId="23" xfId="0" applyFont="1" applyFill="1" applyBorder="1" applyAlignment="1" applyProtection="1">
      <alignment vertical="top" wrapText="1"/>
    </xf>
    <xf numFmtId="0" fontId="45" fillId="0" borderId="23" xfId="0" applyFont="1" applyBorder="1" applyAlignment="1" applyProtection="1">
      <alignment horizontal="left" vertical="top" indent="1"/>
    </xf>
    <xf numFmtId="0" fontId="28" fillId="0" borderId="23" xfId="0" applyFont="1" applyBorder="1" applyAlignment="1" applyProtection="1">
      <alignment horizontal="left" vertical="top" indent="1"/>
    </xf>
    <xf numFmtId="0" fontId="45" fillId="2" borderId="23" xfId="0" applyFont="1" applyFill="1" applyBorder="1" applyAlignment="1" applyProtection="1">
      <alignment horizontal="center" vertical="top" wrapText="1"/>
    </xf>
    <xf numFmtId="0" fontId="28" fillId="0" borderId="23" xfId="0" applyFont="1" applyBorder="1" applyAlignment="1" applyProtection="1">
      <alignment vertical="top"/>
    </xf>
    <xf numFmtId="0" fontId="45" fillId="14" borderId="23" xfId="7" applyFont="1" applyFill="1" applyBorder="1" applyAlignment="1">
      <alignment horizontal="left" vertical="center" wrapText="1" indent="1"/>
    </xf>
    <xf numFmtId="0" fontId="28" fillId="0" borderId="23" xfId="7" applyFont="1" applyBorder="1" applyAlignment="1">
      <alignment horizontal="left" vertical="center" wrapText="1" indent="1"/>
    </xf>
    <xf numFmtId="0" fontId="28" fillId="0" borderId="43" xfId="0" applyFont="1" applyBorder="1" applyAlignment="1" applyProtection="1">
      <alignment vertical="top"/>
    </xf>
    <xf numFmtId="0" fontId="28" fillId="0" borderId="23" xfId="7" applyFont="1" applyBorder="1" applyAlignment="1">
      <alignment horizontal="center" vertical="center" wrapText="1"/>
    </xf>
    <xf numFmtId="0" fontId="28" fillId="0" borderId="43" xfId="0" applyFont="1" applyBorder="1" applyAlignment="1" applyProtection="1">
      <alignment horizontal="center" vertical="center"/>
    </xf>
    <xf numFmtId="9" fontId="28" fillId="0" borderId="43" xfId="4" applyFont="1" applyBorder="1" applyAlignment="1" applyProtection="1">
      <alignment horizontal="center" vertical="center"/>
    </xf>
    <xf numFmtId="9" fontId="28" fillId="0" borderId="23" xfId="4" applyFont="1" applyBorder="1" applyAlignment="1" applyProtection="1">
      <alignment horizontal="center" vertical="center"/>
    </xf>
    <xf numFmtId="0" fontId="28" fillId="0" borderId="23" xfId="0" applyFont="1" applyBorder="1" applyAlignment="1" applyProtection="1">
      <alignment horizontal="center" vertical="center"/>
    </xf>
    <xf numFmtId="0" fontId="28" fillId="0" borderId="23" xfId="0" applyFont="1" applyBorder="1" applyProtection="1"/>
    <xf numFmtId="9" fontId="28" fillId="0" borderId="23" xfId="0" applyNumberFormat="1" applyFont="1" applyBorder="1" applyProtection="1"/>
    <xf numFmtId="0" fontId="45" fillId="0" borderId="23" xfId="0" applyFont="1" applyBorder="1" applyAlignment="1" applyProtection="1">
      <alignment horizontal="left" indent="1"/>
    </xf>
    <xf numFmtId="3" fontId="28" fillId="0" borderId="23" xfId="0" applyNumberFormat="1" applyFont="1" applyBorder="1" applyProtection="1"/>
    <xf numFmtId="0" fontId="28" fillId="14" borderId="23" xfId="0" applyFont="1" applyFill="1" applyBorder="1" applyProtection="1"/>
    <xf numFmtId="0" fontId="28" fillId="0" borderId="23" xfId="0" applyFont="1" applyFill="1" applyBorder="1" applyProtection="1"/>
    <xf numFmtId="166" fontId="28" fillId="0" borderId="23" xfId="0" applyNumberFormat="1" applyFont="1" applyBorder="1" applyProtection="1"/>
    <xf numFmtId="166" fontId="28" fillId="0" borderId="23" xfId="0" applyNumberFormat="1" applyFont="1" applyFill="1" applyBorder="1" applyProtection="1"/>
    <xf numFmtId="0" fontId="45" fillId="0" borderId="43" xfId="0" applyFont="1" applyBorder="1" applyAlignment="1" applyProtection="1">
      <alignment horizontal="left" indent="1"/>
    </xf>
    <xf numFmtId="0" fontId="28" fillId="0" borderId="43" xfId="0" applyFont="1" applyBorder="1" applyProtection="1"/>
    <xf numFmtId="166" fontId="21" fillId="0" borderId="36" xfId="0" applyNumberFormat="1" applyFont="1" applyBorder="1" applyAlignment="1" applyProtection="1">
      <alignment horizontal="right" vertical="top" indent="1"/>
    </xf>
    <xf numFmtId="166" fontId="21" fillId="0" borderId="38" xfId="0" applyNumberFormat="1" applyFont="1" applyBorder="1" applyAlignment="1" applyProtection="1">
      <alignment horizontal="right" vertical="top" indent="1"/>
    </xf>
    <xf numFmtId="166" fontId="21" fillId="0" borderId="37" xfId="0" applyNumberFormat="1" applyFont="1" applyBorder="1" applyAlignment="1" applyProtection="1">
      <alignment horizontal="right" vertical="top" indent="1"/>
    </xf>
    <xf numFmtId="0" fontId="21" fillId="0" borderId="15" xfId="0" applyNumberFormat="1" applyFont="1" applyBorder="1" applyAlignment="1" applyProtection="1">
      <alignment horizontal="right" vertical="top" indent="1"/>
    </xf>
    <xf numFmtId="0" fontId="21" fillId="0" borderId="16" xfId="0" applyNumberFormat="1" applyFont="1" applyBorder="1" applyAlignment="1" applyProtection="1">
      <alignment horizontal="right" vertical="top" indent="1"/>
    </xf>
    <xf numFmtId="0" fontId="21" fillId="0" borderId="14" xfId="0" applyNumberFormat="1" applyFont="1" applyBorder="1" applyAlignment="1" applyProtection="1">
      <alignment horizontal="right" vertical="top" indent="1"/>
    </xf>
    <xf numFmtId="0" fontId="21" fillId="0" borderId="36" xfId="0" applyNumberFormat="1" applyFont="1" applyBorder="1" applyAlignment="1" applyProtection="1">
      <alignment horizontal="right" vertical="top" indent="1"/>
    </xf>
    <xf numFmtId="0" fontId="21" fillId="0" borderId="38" xfId="0" applyNumberFormat="1" applyFont="1" applyBorder="1" applyAlignment="1" applyProtection="1">
      <alignment horizontal="right" vertical="top" indent="1"/>
    </xf>
    <xf numFmtId="0" fontId="21" fillId="0" borderId="37" xfId="0" applyNumberFormat="1" applyFont="1" applyBorder="1" applyAlignment="1" applyProtection="1">
      <alignment horizontal="right" vertical="top" indent="1"/>
    </xf>
    <xf numFmtId="168" fontId="20" fillId="8" borderId="15" xfId="4" applyNumberFormat="1" applyFont="1" applyFill="1" applyBorder="1" applyAlignment="1" applyProtection="1">
      <alignment horizontal="right" vertical="top" indent="1"/>
    </xf>
    <xf numFmtId="168" fontId="20" fillId="8" borderId="16" xfId="4" applyNumberFormat="1" applyFont="1" applyFill="1" applyBorder="1" applyAlignment="1" applyProtection="1">
      <alignment horizontal="right" vertical="top" indent="1"/>
    </xf>
    <xf numFmtId="168" fontId="20" fillId="8" borderId="14" xfId="4" applyNumberFormat="1" applyFont="1" applyFill="1" applyBorder="1" applyAlignment="1" applyProtection="1">
      <alignment horizontal="right" vertical="top" indent="1"/>
    </xf>
    <xf numFmtId="168" fontId="20" fillId="13" borderId="15" xfId="4" applyNumberFormat="1" applyFont="1" applyFill="1" applyBorder="1" applyAlignment="1" applyProtection="1">
      <alignment horizontal="right" vertical="top" indent="1"/>
      <protection locked="0"/>
    </xf>
    <xf numFmtId="168" fontId="20" fillId="4" borderId="15" xfId="4" applyNumberFormat="1" applyFont="1" applyFill="1" applyBorder="1" applyAlignment="1" applyProtection="1">
      <alignment horizontal="right" vertical="top" indent="1"/>
      <protection locked="0"/>
    </xf>
    <xf numFmtId="168" fontId="20" fillId="4" borderId="16" xfId="4" applyNumberFormat="1" applyFont="1" applyFill="1" applyBorder="1" applyAlignment="1" applyProtection="1">
      <alignment horizontal="right" vertical="top" indent="1"/>
      <protection locked="0"/>
    </xf>
    <xf numFmtId="168" fontId="20" fillId="4" borderId="14" xfId="4" applyNumberFormat="1" applyFont="1" applyFill="1" applyBorder="1" applyAlignment="1" applyProtection="1">
      <alignment horizontal="right" vertical="top" indent="1"/>
      <protection locked="0"/>
    </xf>
    <xf numFmtId="168" fontId="30" fillId="15" borderId="124" xfId="0" applyNumberFormat="1" applyFont="1" applyFill="1" applyBorder="1" applyAlignment="1">
      <alignment horizontal="right" indent="1"/>
    </xf>
    <xf numFmtId="9" fontId="20" fillId="13" borderId="116" xfId="4" applyFont="1" applyFill="1" applyBorder="1" applyAlignment="1" applyProtection="1">
      <alignment horizontal="right" vertical="center" indent="1"/>
      <protection locked="0"/>
    </xf>
    <xf numFmtId="0" fontId="20" fillId="13" borderId="116" xfId="0" applyFont="1" applyFill="1" applyBorder="1" applyAlignment="1" applyProtection="1">
      <alignment horizontal="right" vertical="center" indent="1"/>
      <protection locked="0"/>
    </xf>
    <xf numFmtId="0" fontId="20" fillId="13" borderId="116" xfId="0" applyFont="1" applyFill="1" applyBorder="1" applyAlignment="1" applyProtection="1">
      <alignment horizontal="right" indent="1"/>
      <protection locked="0"/>
    </xf>
    <xf numFmtId="0" fontId="20" fillId="13" borderId="116" xfId="0" applyFont="1" applyFill="1" applyBorder="1" applyAlignment="1" applyProtection="1">
      <alignment horizontal="center" vertical="center"/>
      <protection locked="0"/>
    </xf>
    <xf numFmtId="14" fontId="20" fillId="13" borderId="116" xfId="0" applyNumberFormat="1" applyFont="1" applyFill="1" applyBorder="1" applyAlignment="1" applyProtection="1">
      <alignment horizontal="right" indent="1"/>
      <protection locked="0"/>
    </xf>
    <xf numFmtId="0" fontId="20" fillId="13" borderId="126" xfId="0" applyFont="1" applyFill="1" applyBorder="1" applyAlignment="1" applyProtection="1">
      <alignment horizontal="left" indent="1"/>
      <protection locked="0"/>
    </xf>
    <xf numFmtId="0" fontId="20" fillId="13" borderId="116" xfId="0" applyFont="1" applyFill="1" applyBorder="1" applyAlignment="1" applyProtection="1">
      <alignment horizontal="left" indent="1"/>
      <protection locked="0"/>
    </xf>
    <xf numFmtId="168" fontId="20" fillId="4" borderId="14" xfId="4" applyNumberFormat="1" applyFont="1" applyFill="1" applyBorder="1" applyAlignment="1" applyProtection="1">
      <alignment horizontal="right" vertical="top" wrapText="1" indent="1"/>
      <protection locked="0"/>
    </xf>
    <xf numFmtId="168" fontId="20" fillId="4" borderId="17" xfId="4" applyNumberFormat="1" applyFont="1" applyFill="1" applyBorder="1" applyAlignment="1" applyProtection="1">
      <alignment horizontal="right" wrapText="1" indent="1"/>
      <protection locked="0"/>
    </xf>
    <xf numFmtId="0" fontId="20" fillId="13" borderId="50" xfId="0" applyFont="1" applyFill="1" applyBorder="1" applyAlignment="1" applyProtection="1">
      <alignment horizontal="center" vertical="center"/>
      <protection locked="0"/>
    </xf>
    <xf numFmtId="0" fontId="20" fillId="13" borderId="145" xfId="0" applyFont="1" applyFill="1" applyBorder="1" applyAlignment="1" applyProtection="1">
      <alignment horizontal="center" vertical="center"/>
      <protection locked="0"/>
    </xf>
    <xf numFmtId="0" fontId="20" fillId="0" borderId="183" xfId="0" applyFont="1" applyBorder="1" applyAlignment="1">
      <alignment horizontal="right" indent="1"/>
    </xf>
    <xf numFmtId="0" fontId="20" fillId="0" borderId="184" xfId="0" applyFont="1" applyBorder="1" applyAlignment="1">
      <alignment horizontal="right" indent="1"/>
    </xf>
    <xf numFmtId="0" fontId="20" fillId="0" borderId="182" xfId="0" applyFont="1" applyBorder="1" applyAlignment="1">
      <alignment horizontal="right" indent="1"/>
    </xf>
    <xf numFmtId="0" fontId="22" fillId="0" borderId="0" xfId="0" applyFont="1" applyAlignment="1">
      <alignment horizontal="left" vertical="top"/>
    </xf>
    <xf numFmtId="11" fontId="20" fillId="13" borderId="23" xfId="5" applyNumberFormat="1" applyFont="1" applyFill="1" applyBorder="1" applyAlignment="1" applyProtection="1">
      <alignment horizontal="center" vertical="center"/>
      <protection locked="0"/>
    </xf>
    <xf numFmtId="11" fontId="20" fillId="13" borderId="41" xfId="5" applyNumberFormat="1" applyFont="1" applyFill="1" applyBorder="1" applyAlignment="1" applyProtection="1">
      <alignment horizontal="center" vertical="center"/>
      <protection locked="0"/>
    </xf>
    <xf numFmtId="11" fontId="20" fillId="13" borderId="40" xfId="5" applyNumberFormat="1" applyFont="1" applyFill="1" applyBorder="1" applyAlignment="1" applyProtection="1">
      <alignment horizontal="center" vertical="center"/>
      <protection locked="0"/>
    </xf>
    <xf numFmtId="0" fontId="20" fillId="21" borderId="23" xfId="0" applyFont="1" applyFill="1" applyBorder="1" applyAlignment="1" applyProtection="1">
      <alignment horizontal="center" vertical="center"/>
      <protection locked="0"/>
    </xf>
    <xf numFmtId="11" fontId="20" fillId="21" borderId="23" xfId="5" applyNumberFormat="1" applyFont="1" applyFill="1" applyBorder="1" applyAlignment="1" applyProtection="1">
      <alignment horizontal="center" vertical="center"/>
      <protection locked="0"/>
    </xf>
    <xf numFmtId="11" fontId="20" fillId="21" borderId="41" xfId="5" applyNumberFormat="1" applyFont="1" applyFill="1" applyBorder="1" applyAlignment="1" applyProtection="1">
      <alignment horizontal="center" vertical="center"/>
      <protection locked="0"/>
    </xf>
    <xf numFmtId="11" fontId="20" fillId="21" borderId="40" xfId="5" applyNumberFormat="1" applyFont="1" applyFill="1" applyBorder="1" applyAlignment="1" applyProtection="1">
      <alignment horizontal="center" vertical="center"/>
      <protection locked="0"/>
    </xf>
    <xf numFmtId="11" fontId="20" fillId="14" borderId="23" xfId="5" applyNumberFormat="1" applyFont="1" applyFill="1" applyBorder="1" applyAlignment="1" applyProtection="1">
      <alignment horizontal="center" vertical="center"/>
      <protection locked="0"/>
    </xf>
    <xf numFmtId="11" fontId="20" fillId="14" borderId="41" xfId="5" applyNumberFormat="1" applyFont="1" applyFill="1" applyBorder="1" applyAlignment="1" applyProtection="1">
      <alignment horizontal="center" vertical="center"/>
      <protection locked="0"/>
    </xf>
    <xf numFmtId="11" fontId="20" fillId="14" borderId="40" xfId="5" applyNumberFormat="1" applyFont="1" applyFill="1" applyBorder="1" applyAlignment="1" applyProtection="1">
      <alignment horizontal="center" vertical="center"/>
      <protection locked="0"/>
    </xf>
    <xf numFmtId="11" fontId="20" fillId="13" borderId="31" xfId="5" applyNumberFormat="1" applyFont="1" applyFill="1" applyBorder="1" applyAlignment="1" applyProtection="1">
      <alignment horizontal="center" vertical="center"/>
      <protection locked="0"/>
    </xf>
    <xf numFmtId="11" fontId="20" fillId="13" borderId="49" xfId="5" applyNumberFormat="1" applyFont="1" applyFill="1" applyBorder="1" applyAlignment="1" applyProtection="1">
      <alignment horizontal="center" vertical="center"/>
      <protection locked="0"/>
    </xf>
    <xf numFmtId="11" fontId="20" fillId="13" borderId="48" xfId="5" applyNumberFormat="1" applyFont="1" applyFill="1" applyBorder="1" applyAlignment="1" applyProtection="1">
      <alignment horizontal="center" vertical="center"/>
      <protection locked="0"/>
    </xf>
    <xf numFmtId="0" fontId="20" fillId="13" borderId="7" xfId="5" applyFont="1" applyFill="1" applyBorder="1" applyAlignment="1" applyProtection="1">
      <alignment horizontal="right" vertical="center" wrapText="1" indent="1"/>
      <protection locked="0"/>
    </xf>
    <xf numFmtId="0" fontId="20" fillId="13" borderId="33" xfId="5" applyFont="1" applyFill="1" applyBorder="1" applyAlignment="1" applyProtection="1">
      <alignment horizontal="right" vertical="center" wrapText="1" indent="1"/>
      <protection locked="0"/>
    </xf>
    <xf numFmtId="0" fontId="20" fillId="13" borderId="10" xfId="5" applyFont="1" applyFill="1" applyBorder="1" applyAlignment="1" applyProtection="1">
      <alignment horizontal="right" vertical="center" wrapText="1" indent="1"/>
      <protection locked="0"/>
    </xf>
    <xf numFmtId="0" fontId="20" fillId="13" borderId="12" xfId="5" applyFont="1" applyFill="1" applyBorder="1" applyAlignment="1" applyProtection="1">
      <alignment horizontal="right" vertical="center" wrapText="1" indent="1"/>
      <protection locked="0"/>
    </xf>
    <xf numFmtId="0" fontId="20" fillId="13" borderId="23" xfId="0" applyFont="1" applyFill="1" applyBorder="1" applyAlignment="1" applyProtection="1">
      <alignment horizontal="right" indent="1"/>
      <protection locked="0"/>
    </xf>
    <xf numFmtId="0" fontId="20" fillId="13" borderId="41" xfId="0" applyFont="1" applyFill="1" applyBorder="1" applyAlignment="1" applyProtection="1">
      <alignment horizontal="right" indent="1"/>
      <protection locked="0"/>
    </xf>
    <xf numFmtId="0" fontId="21" fillId="21" borderId="43" xfId="0" applyFont="1" applyFill="1" applyBorder="1" applyAlignment="1" applyProtection="1">
      <alignment horizontal="right" indent="1"/>
      <protection locked="0"/>
    </xf>
    <xf numFmtId="0" fontId="20" fillId="13" borderId="31" xfId="0" applyFont="1" applyFill="1" applyBorder="1" applyAlignment="1" applyProtection="1">
      <alignment horizontal="right" indent="1"/>
      <protection locked="0"/>
    </xf>
    <xf numFmtId="0" fontId="20" fillId="13" borderId="49" xfId="0" applyFont="1" applyFill="1" applyBorder="1" applyAlignment="1" applyProtection="1">
      <alignment horizontal="right" indent="1"/>
      <protection locked="0"/>
    </xf>
    <xf numFmtId="0" fontId="20" fillId="0" borderId="22" xfId="0" applyFont="1" applyBorder="1" applyAlignment="1" applyProtection="1">
      <alignment vertical="center"/>
    </xf>
    <xf numFmtId="0" fontId="21" fillId="0" borderId="22" xfId="0" applyFont="1" applyBorder="1" applyAlignment="1" applyProtection="1">
      <alignment vertical="center" wrapText="1"/>
    </xf>
    <xf numFmtId="0" fontId="21" fillId="0" borderId="22" xfId="0" applyFont="1" applyBorder="1" applyAlignment="1" applyProtection="1">
      <alignment vertical="center"/>
    </xf>
    <xf numFmtId="0" fontId="22" fillId="0" borderId="0" xfId="0" applyFont="1" applyBorder="1" applyAlignment="1" applyProtection="1">
      <alignment vertical="center"/>
    </xf>
    <xf numFmtId="2" fontId="11" fillId="0" borderId="0" xfId="5" applyNumberFormat="1" applyFont="1" applyBorder="1" applyAlignment="1" applyProtection="1">
      <alignment horizontal="left" indent="1"/>
    </xf>
    <xf numFmtId="0" fontId="21" fillId="0" borderId="0" xfId="0" applyFont="1" applyAlignment="1" applyProtection="1">
      <alignment wrapText="1"/>
    </xf>
    <xf numFmtId="0" fontId="21" fillId="0" borderId="185" xfId="0" applyFont="1" applyBorder="1"/>
    <xf numFmtId="0" fontId="21" fillId="0" borderId="172" xfId="0" applyFont="1" applyBorder="1"/>
    <xf numFmtId="0" fontId="21" fillId="0" borderId="144" xfId="0" applyFont="1" applyBorder="1"/>
    <xf numFmtId="0" fontId="21" fillId="0" borderId="175" xfId="0" applyFont="1" applyBorder="1"/>
    <xf numFmtId="0" fontId="21" fillId="0" borderId="40" xfId="0" applyFont="1" applyBorder="1"/>
    <xf numFmtId="0" fontId="21" fillId="0" borderId="48" xfId="0" applyFont="1" applyBorder="1"/>
    <xf numFmtId="0" fontId="21" fillId="0" borderId="136" xfId="0" applyFont="1" applyBorder="1"/>
    <xf numFmtId="0" fontId="21" fillId="0" borderId="8" xfId="0" applyFont="1" applyBorder="1" applyAlignment="1" applyProtection="1">
      <alignment horizontal="center" vertical="center"/>
    </xf>
    <xf numFmtId="0" fontId="21" fillId="0" borderId="34" xfId="0" applyFont="1" applyBorder="1" applyAlignment="1" applyProtection="1">
      <alignment horizontal="center" vertical="center"/>
    </xf>
    <xf numFmtId="0" fontId="21" fillId="0" borderId="13" xfId="0" applyFont="1" applyBorder="1" applyAlignment="1" applyProtection="1">
      <alignment horizontal="center" vertical="center"/>
    </xf>
    <xf numFmtId="0" fontId="21" fillId="0" borderId="21" xfId="0" applyFont="1" applyBorder="1"/>
    <xf numFmtId="0" fontId="21" fillId="0" borderId="73" xfId="0" applyFont="1" applyBorder="1"/>
    <xf numFmtId="0" fontId="21" fillId="0" borderId="146" xfId="0" applyFont="1" applyBorder="1"/>
    <xf numFmtId="0" fontId="21" fillId="0" borderId="187" xfId="0" applyFont="1" applyBorder="1"/>
    <xf numFmtId="0" fontId="20" fillId="13" borderId="178" xfId="0" applyFont="1" applyFill="1" applyBorder="1" applyAlignment="1" applyProtection="1">
      <alignment horizontal="center"/>
      <protection locked="0"/>
    </xf>
    <xf numFmtId="0" fontId="20" fillId="13" borderId="41" xfId="0" applyFont="1" applyFill="1" applyBorder="1" applyAlignment="1" applyProtection="1">
      <alignment horizontal="center"/>
      <protection locked="0"/>
    </xf>
    <xf numFmtId="0" fontId="20" fillId="13" borderId="49" xfId="0" applyFont="1" applyFill="1" applyBorder="1" applyAlignment="1" applyProtection="1">
      <alignment horizontal="center"/>
      <protection locked="0"/>
    </xf>
    <xf numFmtId="0" fontId="20" fillId="13" borderId="186" xfId="0" applyFont="1" applyFill="1" applyBorder="1" applyAlignment="1" applyProtection="1">
      <alignment horizontal="center"/>
      <protection locked="0"/>
    </xf>
    <xf numFmtId="0" fontId="21" fillId="0" borderId="118" xfId="0" applyFont="1" applyBorder="1"/>
    <xf numFmtId="0" fontId="21" fillId="0" borderId="143" xfId="0" applyFont="1" applyBorder="1"/>
    <xf numFmtId="0" fontId="20" fillId="13" borderId="171" xfId="0" applyFont="1" applyFill="1" applyBorder="1" applyAlignment="1" applyProtection="1">
      <alignment horizontal="center"/>
      <protection locked="0"/>
    </xf>
    <xf numFmtId="2" fontId="21" fillId="0" borderId="188" xfId="0" applyNumberFormat="1" applyFont="1" applyBorder="1" applyAlignment="1" applyProtection="1">
      <alignment horizontal="right" indent="1"/>
    </xf>
    <xf numFmtId="0" fontId="22" fillId="0" borderId="0" xfId="0" applyFont="1" applyAlignment="1">
      <alignment horizontal="left" vertical="top" wrapText="1"/>
    </xf>
    <xf numFmtId="0" fontId="20" fillId="2" borderId="5" xfId="0" applyFont="1" applyFill="1" applyBorder="1" applyAlignment="1" applyProtection="1">
      <alignment horizontal="center" wrapText="1"/>
    </xf>
    <xf numFmtId="0" fontId="42" fillId="0" borderId="0" xfId="0" applyFont="1" applyAlignment="1">
      <alignment horizontal="left" vertical="top"/>
    </xf>
    <xf numFmtId="0" fontId="20" fillId="0" borderId="189" xfId="0" applyFont="1" applyBorder="1" applyAlignment="1" applyProtection="1">
      <alignment horizontal="left" vertical="center"/>
    </xf>
    <xf numFmtId="0" fontId="14" fillId="0" borderId="78" xfId="7" applyFont="1" applyBorder="1" applyAlignment="1">
      <alignment horizontal="left" indent="1"/>
    </xf>
    <xf numFmtId="0" fontId="15" fillId="0" borderId="66" xfId="7" applyFont="1" applyBorder="1" applyAlignment="1">
      <alignment horizontal="left" vertical="center" indent="1"/>
    </xf>
    <xf numFmtId="0" fontId="15" fillId="0" borderId="67" xfId="7" applyFont="1" applyBorder="1" applyAlignment="1">
      <alignment horizontal="left" vertical="center" wrapText="1" indent="1"/>
    </xf>
    <xf numFmtId="0" fontId="21" fillId="0" borderId="67" xfId="7" applyFont="1" applyBorder="1" applyAlignment="1">
      <alignment horizontal="left" vertical="center" wrapText="1" indent="1"/>
    </xf>
    <xf numFmtId="0" fontId="15" fillId="0" borderId="121" xfId="7" applyFont="1" applyBorder="1" applyAlignment="1">
      <alignment vertical="center" wrapText="1"/>
    </xf>
    <xf numFmtId="0" fontId="15" fillId="0" borderId="67" xfId="7" applyFont="1" applyBorder="1" applyAlignment="1">
      <alignment vertical="center" wrapText="1"/>
    </xf>
    <xf numFmtId="0" fontId="14" fillId="0" borderId="67" xfId="7" applyFont="1" applyFill="1" applyBorder="1" applyAlignment="1" applyProtection="1">
      <alignment horizontal="right" vertical="center" indent="1"/>
    </xf>
    <xf numFmtId="0" fontId="15" fillId="0" borderId="122" xfId="7" applyFont="1" applyBorder="1" applyAlignment="1" applyProtection="1">
      <alignment vertical="center"/>
    </xf>
    <xf numFmtId="3" fontId="14" fillId="19" borderId="192" xfId="7" applyNumberFormat="1" applyFont="1" applyFill="1" applyBorder="1" applyAlignment="1" applyProtection="1">
      <alignment horizontal="right" vertical="center" indent="1"/>
      <protection locked="0"/>
    </xf>
    <xf numFmtId="0" fontId="14" fillId="0" borderId="55" xfId="7" applyFont="1" applyBorder="1" applyAlignment="1">
      <alignment horizontal="left" indent="1"/>
    </xf>
    <xf numFmtId="0" fontId="15" fillId="0" borderId="63" xfId="7" applyFont="1" applyBorder="1" applyAlignment="1">
      <alignment horizontal="left" vertical="center" indent="1"/>
    </xf>
    <xf numFmtId="0" fontId="15" fillId="0" borderId="70" xfId="7" applyFont="1" applyBorder="1" applyAlignment="1">
      <alignment horizontal="left" vertical="center" wrapText="1" indent="1"/>
    </xf>
    <xf numFmtId="0" fontId="15" fillId="0" borderId="33" xfId="7" applyFont="1" applyBorder="1" applyAlignment="1">
      <alignment vertical="center" wrapText="1"/>
    </xf>
    <xf numFmtId="0" fontId="15" fillId="0" borderId="70" xfId="7" applyFont="1" applyBorder="1" applyAlignment="1">
      <alignment vertical="center" wrapText="1"/>
    </xf>
    <xf numFmtId="0" fontId="14" fillId="0" borderId="70" xfId="7" applyFont="1" applyFill="1" applyBorder="1" applyAlignment="1" applyProtection="1">
      <alignment horizontal="right" vertical="center" indent="1"/>
    </xf>
    <xf numFmtId="0" fontId="15" fillId="0" borderId="123" xfId="7" applyFont="1" applyBorder="1" applyAlignment="1" applyProtection="1">
      <alignment vertical="center"/>
    </xf>
    <xf numFmtId="3" fontId="14" fillId="19" borderId="116" xfId="7" applyNumberFormat="1" applyFont="1" applyFill="1" applyBorder="1" applyAlignment="1" applyProtection="1">
      <alignment horizontal="right" vertical="center" indent="1"/>
      <protection locked="0"/>
    </xf>
    <xf numFmtId="3" fontId="20" fillId="8" borderId="20" xfId="0" applyNumberFormat="1" applyFont="1" applyFill="1" applyBorder="1" applyAlignment="1" applyProtection="1">
      <alignment horizontal="right" indent="1"/>
    </xf>
    <xf numFmtId="0" fontId="20" fillId="2" borderId="20" xfId="0" applyFont="1" applyFill="1" applyBorder="1" applyAlignment="1">
      <alignment horizontal="center" vertical="center" wrapText="1"/>
    </xf>
    <xf numFmtId="11" fontId="20" fillId="2" borderId="20" xfId="0" applyNumberFormat="1" applyFont="1" applyFill="1" applyBorder="1" applyAlignment="1">
      <alignment horizontal="center" vertical="center" wrapText="1"/>
    </xf>
    <xf numFmtId="0" fontId="20" fillId="2" borderId="5" xfId="0" applyFont="1" applyFill="1" applyBorder="1" applyAlignment="1" applyProtection="1">
      <alignment horizontal="center" vertical="center" wrapText="1"/>
    </xf>
    <xf numFmtId="0" fontId="30" fillId="15" borderId="23" xfId="9" applyFont="1" applyFill="1" applyBorder="1" applyAlignment="1" applyProtection="1">
      <alignment horizontal="center" vertical="top" wrapText="1"/>
    </xf>
    <xf numFmtId="0" fontId="20" fillId="2" borderId="5" xfId="0" applyFont="1" applyFill="1" applyBorder="1" applyAlignment="1" applyProtection="1">
      <alignment horizontal="center" vertical="center" wrapText="1"/>
    </xf>
    <xf numFmtId="0" fontId="20" fillId="2" borderId="23" xfId="0" applyFont="1" applyFill="1" applyBorder="1" applyAlignment="1" applyProtection="1">
      <alignment horizontal="center" vertical="center" wrapText="1"/>
    </xf>
    <xf numFmtId="0" fontId="21" fillId="0" borderId="0" xfId="0" applyFont="1" applyAlignment="1" applyProtection="1">
      <alignment wrapText="1"/>
    </xf>
    <xf numFmtId="0" fontId="20" fillId="2" borderId="5" xfId="0" applyFont="1" applyFill="1" applyBorder="1" applyAlignment="1" applyProtection="1">
      <alignment horizontal="center" wrapText="1"/>
    </xf>
    <xf numFmtId="0" fontId="21" fillId="0" borderId="134" xfId="0" applyFont="1" applyBorder="1" applyAlignment="1" applyProtection="1">
      <alignment horizontal="left" vertical="top" wrapText="1"/>
    </xf>
    <xf numFmtId="0" fontId="64" fillId="0" borderId="0" xfId="0" applyFont="1" applyAlignment="1">
      <alignment vertical="top" wrapText="1"/>
    </xf>
    <xf numFmtId="0" fontId="64" fillId="0" borderId="0" xfId="0" applyFont="1" applyAlignment="1">
      <alignment horizontal="left" vertical="top" wrapText="1"/>
    </xf>
    <xf numFmtId="0" fontId="64" fillId="28" borderId="0" xfId="0" applyFont="1" applyFill="1" applyBorder="1" applyAlignment="1">
      <alignment vertical="top" wrapText="1"/>
    </xf>
    <xf numFmtId="0" fontId="64" fillId="0" borderId="0" xfId="0" applyFont="1" applyFill="1" applyBorder="1" applyAlignment="1">
      <alignment horizontal="left" vertical="top" wrapText="1"/>
    </xf>
    <xf numFmtId="0" fontId="62" fillId="0" borderId="0" xfId="0" applyFont="1" applyFill="1" applyBorder="1" applyAlignment="1" applyProtection="1">
      <alignment horizontal="left" vertical="top" wrapText="1"/>
    </xf>
    <xf numFmtId="0" fontId="64" fillId="0" borderId="0" xfId="0" applyFont="1" applyFill="1" applyBorder="1" applyAlignment="1" applyProtection="1">
      <alignment horizontal="left" vertical="top" wrapText="1"/>
    </xf>
    <xf numFmtId="0" fontId="62" fillId="0" borderId="0" xfId="0" applyFont="1" applyFill="1" applyBorder="1" applyAlignment="1" applyProtection="1">
      <alignment horizontal="center" vertical="top" wrapText="1"/>
    </xf>
    <xf numFmtId="0" fontId="70" fillId="0" borderId="0" xfId="0" applyFont="1" applyFill="1" applyBorder="1" applyAlignment="1" applyProtection="1">
      <alignment horizontal="left" vertical="top" wrapText="1"/>
    </xf>
    <xf numFmtId="0" fontId="64" fillId="0" borderId="0" xfId="0" applyFont="1" applyFill="1" applyBorder="1" applyAlignment="1" applyProtection="1">
      <alignment vertical="top" wrapText="1"/>
    </xf>
    <xf numFmtId="0" fontId="64" fillId="0" borderId="0" xfId="0" applyFont="1" applyFill="1" applyBorder="1" applyAlignment="1">
      <alignment vertical="top" wrapText="1"/>
    </xf>
    <xf numFmtId="0" fontId="70" fillId="0" borderId="0" xfId="0" applyFont="1" applyFill="1" applyBorder="1" applyAlignment="1">
      <alignment horizontal="left" vertical="top" wrapText="1"/>
    </xf>
    <xf numFmtId="0" fontId="62" fillId="0" borderId="0" xfId="0" applyFont="1" applyFill="1" applyBorder="1" applyAlignment="1" applyProtection="1">
      <alignment vertical="top" wrapText="1"/>
    </xf>
    <xf numFmtId="2" fontId="64" fillId="0" borderId="0" xfId="0" applyNumberFormat="1" applyFont="1" applyFill="1" applyBorder="1" applyAlignment="1">
      <alignment horizontal="left" vertical="top" wrapText="1"/>
    </xf>
    <xf numFmtId="2" fontId="72" fillId="0" borderId="0" xfId="0" applyNumberFormat="1" applyFont="1" applyFill="1" applyBorder="1" applyAlignment="1">
      <alignment horizontal="left" vertical="top" wrapText="1"/>
    </xf>
    <xf numFmtId="9" fontId="72" fillId="0" borderId="0" xfId="4" applyFont="1" applyFill="1" applyBorder="1" applyAlignment="1" applyProtection="1">
      <alignment horizontal="left" vertical="top" wrapText="1"/>
      <protection locked="0"/>
    </xf>
    <xf numFmtId="0" fontId="72" fillId="0" borderId="0" xfId="0" applyFont="1" applyFill="1" applyBorder="1" applyAlignment="1">
      <alignment horizontal="left" vertical="top" wrapText="1"/>
    </xf>
    <xf numFmtId="0" fontId="65" fillId="0" borderId="0" xfId="3" applyFont="1" applyFill="1" applyBorder="1" applyAlignment="1">
      <alignment vertical="top" wrapText="1"/>
    </xf>
    <xf numFmtId="0" fontId="62" fillId="0" borderId="0" xfId="0" applyFont="1" applyFill="1" applyBorder="1" applyAlignment="1">
      <alignment vertical="top" wrapText="1"/>
    </xf>
    <xf numFmtId="0" fontId="69" fillId="0" borderId="0" xfId="0" applyFont="1" applyFill="1" applyBorder="1" applyAlignment="1">
      <alignment vertical="top" wrapText="1"/>
    </xf>
    <xf numFmtId="0" fontId="69" fillId="0" borderId="0" xfId="0" applyFont="1" applyFill="1" applyBorder="1" applyAlignment="1">
      <alignment horizontal="left" vertical="top" wrapText="1"/>
    </xf>
    <xf numFmtId="0" fontId="64" fillId="0" borderId="0" xfId="3" applyFont="1" applyFill="1" applyBorder="1" applyAlignment="1">
      <alignment horizontal="left" vertical="top" wrapText="1"/>
    </xf>
    <xf numFmtId="0" fontId="64" fillId="0" borderId="0" xfId="3" applyFont="1" applyFill="1" applyBorder="1" applyAlignment="1">
      <alignment vertical="top" wrapText="1"/>
    </xf>
    <xf numFmtId="0" fontId="62" fillId="0" borderId="0" xfId="3" applyFont="1" applyFill="1" applyBorder="1" applyAlignment="1">
      <alignment vertical="top" wrapText="1"/>
    </xf>
    <xf numFmtId="0" fontId="70" fillId="0" borderId="0" xfId="3" applyFont="1" applyFill="1" applyBorder="1" applyAlignment="1">
      <alignment vertical="top" wrapText="1"/>
    </xf>
    <xf numFmtId="169" fontId="64" fillId="0" borderId="0" xfId="1" applyNumberFormat="1" applyFont="1" applyFill="1" applyBorder="1" applyAlignment="1" applyProtection="1">
      <alignment vertical="top" wrapText="1"/>
    </xf>
    <xf numFmtId="169" fontId="62" fillId="0" borderId="0" xfId="1" applyNumberFormat="1" applyFont="1" applyFill="1" applyBorder="1" applyAlignment="1" applyProtection="1">
      <alignment vertical="top" wrapText="1"/>
    </xf>
    <xf numFmtId="9" fontId="62" fillId="0" borderId="0" xfId="4" applyFont="1" applyFill="1" applyBorder="1" applyAlignment="1" applyProtection="1">
      <alignment horizontal="right" vertical="top" wrapText="1"/>
    </xf>
    <xf numFmtId="0" fontId="64" fillId="0" borderId="0" xfId="0" applyFont="1" applyFill="1" applyBorder="1" applyAlignment="1" applyProtection="1">
      <alignment horizontal="right" vertical="top" wrapText="1"/>
    </xf>
    <xf numFmtId="0" fontId="70" fillId="0" borderId="0" xfId="0" applyFont="1" applyFill="1" applyBorder="1" applyAlignment="1" applyProtection="1">
      <alignment vertical="top" wrapText="1"/>
    </xf>
    <xf numFmtId="9" fontId="64" fillId="0" borderId="0" xfId="4" applyFont="1" applyFill="1" applyBorder="1" applyAlignment="1" applyProtection="1">
      <alignment vertical="top" wrapText="1"/>
    </xf>
    <xf numFmtId="166" fontId="64" fillId="0" borderId="0" xfId="0" applyNumberFormat="1" applyFont="1" applyFill="1" applyBorder="1" applyAlignment="1" applyProtection="1">
      <alignment horizontal="right" vertical="top" wrapText="1"/>
    </xf>
    <xf numFmtId="0" fontId="64" fillId="0" borderId="0" xfId="5" applyFont="1" applyFill="1" applyBorder="1" applyAlignment="1">
      <alignment vertical="top" wrapText="1"/>
    </xf>
    <xf numFmtId="0" fontId="62" fillId="0" borderId="0" xfId="5" applyFont="1" applyFill="1" applyBorder="1" applyAlignment="1">
      <alignment horizontal="left" vertical="top" wrapText="1"/>
    </xf>
    <xf numFmtId="3" fontId="64" fillId="0" borderId="0" xfId="0" applyNumberFormat="1" applyFont="1" applyFill="1" applyBorder="1" applyAlignment="1" applyProtection="1">
      <alignment horizontal="right" vertical="top" wrapText="1"/>
    </xf>
    <xf numFmtId="169" fontId="62" fillId="0" borderId="0" xfId="1" applyNumberFormat="1" applyFont="1" applyFill="1" applyBorder="1" applyAlignment="1" applyProtection="1">
      <alignment horizontal="right" vertical="top" wrapText="1"/>
    </xf>
    <xf numFmtId="0" fontId="62" fillId="30" borderId="0" xfId="0" applyFont="1" applyFill="1" applyAlignment="1" applyProtection="1">
      <alignment vertical="top" wrapText="1"/>
    </xf>
    <xf numFmtId="0" fontId="64" fillId="29" borderId="0" xfId="0" applyFont="1" applyFill="1" applyAlignment="1" applyProtection="1">
      <alignment vertical="top" wrapText="1"/>
    </xf>
    <xf numFmtId="0" fontId="64" fillId="0" borderId="0" xfId="0" applyFont="1" applyAlignment="1" applyProtection="1">
      <alignment vertical="top" wrapText="1"/>
    </xf>
    <xf numFmtId="0" fontId="64" fillId="0" borderId="0" xfId="0" applyNumberFormat="1" applyFont="1" applyAlignment="1" applyProtection="1">
      <alignment vertical="top" wrapText="1"/>
    </xf>
    <xf numFmtId="0" fontId="64" fillId="0" borderId="0" xfId="0" applyNumberFormat="1" applyFont="1" applyFill="1" applyBorder="1" applyAlignment="1" applyProtection="1">
      <alignment vertical="top" wrapText="1"/>
    </xf>
    <xf numFmtId="170" fontId="64" fillId="0" borderId="0" xfId="0" applyNumberFormat="1" applyFont="1" applyFill="1" applyBorder="1" applyAlignment="1" applyProtection="1">
      <alignment horizontal="left" vertical="top" wrapText="1"/>
    </xf>
    <xf numFmtId="170" fontId="62" fillId="0" borderId="0" xfId="0" applyNumberFormat="1" applyFont="1" applyFill="1" applyBorder="1" applyAlignment="1" applyProtection="1">
      <alignment horizontal="left" vertical="top" wrapText="1"/>
    </xf>
    <xf numFmtId="0" fontId="73" fillId="0" borderId="0" xfId="0" applyFont="1" applyFill="1" applyBorder="1" applyAlignment="1">
      <alignment horizontal="left" vertical="top" wrapText="1"/>
    </xf>
    <xf numFmtId="1" fontId="72" fillId="0" borderId="0" xfId="0" applyNumberFormat="1" applyFont="1" applyFill="1" applyBorder="1" applyAlignment="1">
      <alignment horizontal="left" vertical="top" wrapText="1"/>
    </xf>
    <xf numFmtId="168" fontId="72" fillId="0" borderId="0" xfId="4" applyNumberFormat="1" applyFont="1" applyFill="1" applyBorder="1" applyAlignment="1">
      <alignment horizontal="left" vertical="top" wrapText="1"/>
    </xf>
    <xf numFmtId="1" fontId="64" fillId="0" borderId="0" xfId="0" applyNumberFormat="1" applyFont="1" applyFill="1" applyBorder="1" applyAlignment="1">
      <alignment horizontal="left" vertical="top" wrapText="1"/>
    </xf>
    <xf numFmtId="0" fontId="72" fillId="0" borderId="0" xfId="3" applyFont="1" applyFill="1" applyBorder="1" applyAlignment="1">
      <alignment horizontal="left" vertical="top" wrapText="1"/>
    </xf>
    <xf numFmtId="0" fontId="72" fillId="0" borderId="0" xfId="0" applyFont="1" applyFill="1" applyBorder="1" applyAlignment="1" applyProtection="1">
      <alignment horizontal="left" vertical="top" wrapText="1"/>
    </xf>
    <xf numFmtId="0" fontId="62" fillId="30" borderId="0" xfId="0" applyFont="1" applyFill="1" applyAlignment="1">
      <alignment vertical="top" wrapText="1"/>
    </xf>
    <xf numFmtId="0" fontId="62" fillId="29" borderId="0" xfId="0" applyFont="1" applyFill="1" applyAlignment="1">
      <alignment vertical="top" wrapText="1"/>
    </xf>
    <xf numFmtId="0" fontId="64" fillId="0" borderId="0" xfId="9" applyFont="1" applyFill="1" applyBorder="1" applyAlignment="1">
      <alignment horizontal="left" vertical="top" wrapText="1"/>
    </xf>
    <xf numFmtId="0" fontId="67" fillId="0" borderId="0" xfId="9" applyFont="1" applyFill="1" applyBorder="1" applyAlignment="1">
      <alignment horizontal="left" vertical="top" wrapText="1"/>
    </xf>
    <xf numFmtId="0" fontId="62" fillId="0" borderId="0" xfId="9" applyFont="1" applyFill="1" applyBorder="1" applyAlignment="1">
      <alignment horizontal="left" vertical="top" wrapText="1"/>
    </xf>
    <xf numFmtId="0" fontId="64" fillId="0" borderId="0" xfId="9" applyFont="1" applyFill="1" applyBorder="1" applyAlignment="1">
      <alignment vertical="top" wrapText="1"/>
    </xf>
    <xf numFmtId="0" fontId="64" fillId="0" borderId="0" xfId="9" applyNumberFormat="1" applyFont="1" applyFill="1" applyBorder="1" applyAlignment="1">
      <alignment vertical="top" wrapText="1"/>
    </xf>
    <xf numFmtId="0" fontId="64" fillId="0" borderId="0" xfId="9" applyNumberFormat="1" applyFont="1" applyFill="1" applyBorder="1" applyAlignment="1">
      <alignment horizontal="center" vertical="top" wrapText="1"/>
    </xf>
    <xf numFmtId="0" fontId="68" fillId="0" borderId="0" xfId="9" applyFont="1" applyFill="1" applyBorder="1" applyAlignment="1">
      <alignment vertical="top" wrapText="1"/>
    </xf>
    <xf numFmtId="0" fontId="64" fillId="0" borderId="0" xfId="9" applyFont="1" applyFill="1" applyBorder="1" applyAlignment="1">
      <alignment horizontal="center" vertical="top" wrapText="1"/>
    </xf>
    <xf numFmtId="164" fontId="64" fillId="0" borderId="0" xfId="9" applyNumberFormat="1" applyFont="1" applyFill="1" applyBorder="1" applyAlignment="1">
      <alignment horizontal="right" vertical="top" wrapText="1"/>
    </xf>
    <xf numFmtId="0" fontId="64" fillId="0" borderId="0" xfId="9" applyNumberFormat="1" applyFont="1" applyFill="1" applyBorder="1" applyAlignment="1">
      <alignment horizontal="right" vertical="top" wrapText="1"/>
    </xf>
    <xf numFmtId="0" fontId="64" fillId="0" borderId="0" xfId="9" applyFont="1" applyFill="1" applyBorder="1" applyAlignment="1">
      <alignment horizontal="right" vertical="top" wrapText="1"/>
    </xf>
    <xf numFmtId="0" fontId="64" fillId="0" borderId="0" xfId="0" applyNumberFormat="1" applyFont="1" applyFill="1" applyBorder="1" applyAlignment="1">
      <alignment horizontal="left" vertical="top" wrapText="1"/>
    </xf>
    <xf numFmtId="0" fontId="64" fillId="0" borderId="0" xfId="9" applyNumberFormat="1" applyFont="1" applyFill="1" applyBorder="1" applyAlignment="1">
      <alignment horizontal="left" vertical="top" wrapText="1"/>
    </xf>
    <xf numFmtId="0" fontId="62" fillId="0" borderId="0" xfId="9" applyFont="1" applyFill="1" applyBorder="1" applyAlignment="1">
      <alignment horizontal="center" vertical="top" wrapText="1"/>
    </xf>
    <xf numFmtId="164" fontId="62" fillId="0" borderId="0" xfId="9" applyNumberFormat="1" applyFont="1" applyFill="1" applyBorder="1" applyAlignment="1">
      <alignment horizontal="center" vertical="top" wrapText="1"/>
    </xf>
    <xf numFmtId="0" fontId="62" fillId="0" borderId="0" xfId="9" applyNumberFormat="1" applyFont="1" applyFill="1" applyBorder="1" applyAlignment="1">
      <alignment horizontal="center" vertical="top" wrapText="1"/>
    </xf>
    <xf numFmtId="1" fontId="64" fillId="0" borderId="0" xfId="9" applyNumberFormat="1" applyFont="1" applyFill="1" applyBorder="1" applyAlignment="1">
      <alignment horizontal="center" vertical="top" wrapText="1"/>
    </xf>
    <xf numFmtId="167" fontId="64" fillId="0" borderId="0" xfId="9" applyNumberFormat="1" applyFont="1" applyFill="1" applyBorder="1" applyAlignment="1">
      <alignment horizontal="right" vertical="top" wrapText="1"/>
    </xf>
    <xf numFmtId="164" fontId="64" fillId="0" borderId="0" xfId="9" applyNumberFormat="1" applyFont="1" applyFill="1" applyBorder="1" applyAlignment="1">
      <alignment horizontal="left" vertical="top" wrapText="1"/>
    </xf>
    <xf numFmtId="1" fontId="64" fillId="0" borderId="0" xfId="9" applyNumberFormat="1" applyFont="1" applyFill="1" applyBorder="1" applyAlignment="1">
      <alignment horizontal="right" vertical="top" wrapText="1"/>
    </xf>
    <xf numFmtId="0" fontId="64" fillId="0" borderId="0" xfId="5" applyFont="1" applyFill="1" applyBorder="1" applyAlignment="1">
      <alignment horizontal="center" vertical="top" wrapText="1"/>
    </xf>
    <xf numFmtId="164" fontId="64" fillId="0" borderId="0" xfId="5" applyNumberFormat="1" applyFont="1" applyFill="1" applyBorder="1" applyAlignment="1">
      <alignment horizontal="right" vertical="top" wrapText="1"/>
    </xf>
    <xf numFmtId="0" fontId="64" fillId="0" borderId="0" xfId="5" applyNumberFormat="1" applyFont="1" applyFill="1" applyBorder="1" applyAlignment="1">
      <alignment horizontal="right" vertical="top" wrapText="1"/>
    </xf>
    <xf numFmtId="0" fontId="64" fillId="0" borderId="0" xfId="5" applyNumberFormat="1" applyFont="1" applyFill="1" applyBorder="1" applyAlignment="1">
      <alignment horizontal="center" vertical="top" wrapText="1"/>
    </xf>
    <xf numFmtId="0" fontId="64" fillId="0" borderId="0" xfId="5" applyFont="1" applyFill="1" applyBorder="1" applyAlignment="1">
      <alignment horizontal="right" vertical="top" wrapText="1"/>
    </xf>
    <xf numFmtId="0" fontId="62" fillId="0" borderId="0" xfId="0" applyFont="1" applyAlignment="1">
      <alignment vertical="top" wrapText="1"/>
    </xf>
    <xf numFmtId="0" fontId="64" fillId="33" borderId="0" xfId="0" applyFont="1" applyFill="1" applyAlignment="1">
      <alignment vertical="top" wrapText="1"/>
    </xf>
    <xf numFmtId="0" fontId="64" fillId="0" borderId="0" xfId="3" applyFont="1" applyFill="1" applyBorder="1" applyAlignment="1" applyProtection="1">
      <alignment horizontal="left" vertical="top" wrapText="1"/>
    </xf>
    <xf numFmtId="0" fontId="71" fillId="0" borderId="0" xfId="0" applyFont="1" applyFill="1" applyBorder="1" applyAlignment="1">
      <alignment horizontal="left" vertical="top" wrapText="1"/>
    </xf>
    <xf numFmtId="0" fontId="71" fillId="0" borderId="0" xfId="0" applyFont="1" applyFill="1" applyBorder="1" applyAlignment="1">
      <alignment vertical="top" wrapText="1"/>
    </xf>
    <xf numFmtId="0" fontId="64" fillId="0" borderId="0" xfId="3" applyFont="1" applyFill="1" applyBorder="1" applyAlignment="1" applyProtection="1">
      <alignment vertical="top" wrapText="1"/>
    </xf>
    <xf numFmtId="0" fontId="62" fillId="0" borderId="0" xfId="0" applyFont="1" applyFill="1" applyBorder="1" applyAlignment="1" applyProtection="1">
      <alignment horizontal="right" vertical="top" wrapText="1"/>
    </xf>
    <xf numFmtId="169" fontId="62" fillId="0" borderId="0" xfId="0" applyNumberFormat="1" applyFont="1" applyFill="1" applyBorder="1" applyAlignment="1" applyProtection="1">
      <alignment horizontal="right" vertical="top" wrapText="1"/>
    </xf>
    <xf numFmtId="0" fontId="62" fillId="0" borderId="0" xfId="3" applyFont="1" applyFill="1" applyBorder="1" applyAlignment="1" applyProtection="1">
      <alignment horizontal="left" vertical="top" wrapText="1"/>
    </xf>
    <xf numFmtId="0" fontId="64" fillId="0" borderId="0" xfId="0" applyFont="1" applyFill="1" applyBorder="1" applyAlignment="1" applyProtection="1">
      <alignment horizontal="center" vertical="top" wrapText="1"/>
    </xf>
    <xf numFmtId="0" fontId="62" fillId="32" borderId="0" xfId="0" applyFont="1" applyFill="1" applyAlignment="1">
      <alignment vertical="top" wrapText="1"/>
    </xf>
    <xf numFmtId="0" fontId="62" fillId="31" borderId="0" xfId="0" applyFont="1" applyFill="1" applyAlignment="1">
      <alignment vertical="top" wrapText="1"/>
    </xf>
    <xf numFmtId="0" fontId="62" fillId="30" borderId="0" xfId="0" applyFont="1" applyFill="1" applyAlignment="1">
      <alignment horizontal="left" vertical="top" wrapText="1"/>
    </xf>
    <xf numFmtId="0" fontId="70" fillId="0" borderId="0" xfId="0" applyFont="1" applyFill="1" applyBorder="1" applyAlignment="1">
      <alignment vertical="top" wrapText="1"/>
    </xf>
    <xf numFmtId="1" fontId="62" fillId="0" borderId="0" xfId="0" applyNumberFormat="1" applyFont="1" applyFill="1" applyBorder="1" applyAlignment="1" applyProtection="1">
      <alignment horizontal="right" vertical="top" wrapText="1"/>
    </xf>
    <xf numFmtId="168" fontId="64" fillId="0" borderId="0" xfId="4" applyNumberFormat="1" applyFont="1" applyFill="1" applyBorder="1" applyAlignment="1" applyProtection="1">
      <alignment horizontal="right" vertical="top" wrapText="1"/>
    </xf>
    <xf numFmtId="3" fontId="62" fillId="0" borderId="0" xfId="0" applyNumberFormat="1" applyFont="1" applyFill="1" applyBorder="1" applyAlignment="1" applyProtection="1">
      <alignment horizontal="right" vertical="top" wrapText="1"/>
    </xf>
    <xf numFmtId="9" fontId="62" fillId="0" borderId="0" xfId="0" applyNumberFormat="1" applyFont="1" applyFill="1" applyBorder="1" applyAlignment="1" applyProtection="1">
      <alignment horizontal="right" vertical="top" wrapText="1"/>
    </xf>
    <xf numFmtId="9" fontId="62" fillId="0" borderId="0" xfId="0" applyNumberFormat="1" applyFont="1" applyFill="1" applyBorder="1" applyAlignment="1" applyProtection="1">
      <alignment vertical="top" wrapText="1"/>
    </xf>
    <xf numFmtId="166" fontId="62" fillId="0" borderId="0" xfId="0" applyNumberFormat="1" applyFont="1" applyFill="1" applyBorder="1" applyAlignment="1" applyProtection="1">
      <alignment horizontal="right" vertical="top" wrapText="1"/>
    </xf>
    <xf numFmtId="9" fontId="64" fillId="0" borderId="0" xfId="0" applyNumberFormat="1" applyFont="1" applyFill="1" applyBorder="1" applyAlignment="1" applyProtection="1">
      <alignment horizontal="center" vertical="top" wrapText="1"/>
    </xf>
    <xf numFmtId="2" fontId="64" fillId="0" borderId="0" xfId="0" applyNumberFormat="1" applyFont="1" applyFill="1" applyBorder="1" applyAlignment="1" applyProtection="1">
      <alignment vertical="top" wrapText="1"/>
    </xf>
    <xf numFmtId="2" fontId="62" fillId="0" borderId="0" xfId="0" applyNumberFormat="1" applyFont="1" applyFill="1" applyBorder="1" applyAlignment="1" applyProtection="1">
      <alignment horizontal="left" vertical="top" wrapText="1"/>
    </xf>
    <xf numFmtId="2" fontId="64" fillId="0" borderId="0" xfId="5" applyNumberFormat="1" applyFont="1" applyFill="1" applyBorder="1" applyAlignment="1" applyProtection="1">
      <alignment vertical="top" wrapText="1"/>
    </xf>
    <xf numFmtId="2" fontId="62" fillId="0" borderId="0" xfId="5" applyNumberFormat="1" applyFont="1" applyFill="1" applyBorder="1" applyAlignment="1" applyProtection="1">
      <alignment horizontal="left" vertical="top" wrapText="1"/>
    </xf>
    <xf numFmtId="0" fontId="62" fillId="0" borderId="0" xfId="5" applyFont="1" applyFill="1" applyBorder="1" applyAlignment="1" applyProtection="1">
      <alignment horizontal="right" vertical="top" wrapText="1"/>
    </xf>
    <xf numFmtId="0" fontId="64" fillId="0" borderId="0" xfId="5" applyFont="1" applyFill="1" applyBorder="1" applyAlignment="1" applyProtection="1">
      <alignment horizontal="right" vertical="top" wrapText="1"/>
    </xf>
    <xf numFmtId="0" fontId="62" fillId="0" borderId="0" xfId="5" applyFont="1" applyFill="1" applyBorder="1" applyAlignment="1">
      <alignment horizontal="center" vertical="top" wrapText="1"/>
    </xf>
    <xf numFmtId="0" fontId="62" fillId="0" borderId="0" xfId="0" applyFont="1" applyFill="1" applyBorder="1" applyAlignment="1">
      <alignment horizontal="right" vertical="top" wrapText="1"/>
    </xf>
    <xf numFmtId="0" fontId="62" fillId="0" borderId="0" xfId="5" applyFont="1" applyFill="1" applyBorder="1" applyAlignment="1">
      <alignment horizontal="right" vertical="top" wrapText="1"/>
    </xf>
    <xf numFmtId="2" fontId="64" fillId="0" borderId="0" xfId="5" applyNumberFormat="1" applyFont="1" applyFill="1" applyBorder="1" applyAlignment="1">
      <alignment vertical="top" wrapText="1"/>
    </xf>
    <xf numFmtId="2" fontId="62" fillId="0" borderId="0" xfId="5" applyNumberFormat="1" applyFont="1" applyFill="1" applyBorder="1" applyAlignment="1">
      <alignment vertical="top" wrapText="1"/>
    </xf>
    <xf numFmtId="0" fontId="62" fillId="0" borderId="0" xfId="5" applyFont="1" applyFill="1" applyBorder="1" applyAlignment="1">
      <alignment vertical="top" wrapText="1"/>
    </xf>
    <xf numFmtId="0" fontId="62" fillId="0" borderId="0" xfId="0" applyFont="1" applyFill="1" applyBorder="1" applyAlignment="1">
      <alignment horizontal="center" vertical="top" wrapText="1"/>
    </xf>
    <xf numFmtId="11" fontId="62" fillId="0" borderId="0" xfId="5" applyNumberFormat="1" applyFont="1" applyFill="1" applyBorder="1" applyAlignment="1">
      <alignment horizontal="center" vertical="top" wrapText="1"/>
    </xf>
    <xf numFmtId="0" fontId="63" fillId="0" borderId="0" xfId="0" applyFont="1" applyFill="1" applyBorder="1" applyAlignment="1">
      <alignment horizontal="center" vertical="top" wrapText="1"/>
    </xf>
    <xf numFmtId="166" fontId="64" fillId="0" borderId="0" xfId="5" applyNumberFormat="1" applyFont="1" applyFill="1" applyBorder="1" applyAlignment="1">
      <alignment horizontal="right" vertical="top" wrapText="1"/>
    </xf>
    <xf numFmtId="170" fontId="64" fillId="0" borderId="0" xfId="0" applyNumberFormat="1" applyFont="1" applyFill="1" applyBorder="1" applyAlignment="1" applyProtection="1">
      <alignment horizontal="right" vertical="top" wrapText="1"/>
    </xf>
    <xf numFmtId="10" fontId="64" fillId="0" borderId="0" xfId="4" applyNumberFormat="1" applyFont="1" applyFill="1" applyBorder="1" applyAlignment="1" applyProtection="1">
      <alignment horizontal="right" vertical="top" wrapText="1"/>
    </xf>
    <xf numFmtId="0" fontId="62" fillId="30" borderId="43" xfId="0" applyFont="1" applyFill="1" applyBorder="1" applyAlignment="1">
      <alignment vertical="top" wrapText="1"/>
    </xf>
    <xf numFmtId="0" fontId="62" fillId="29" borderId="0" xfId="0" applyFont="1" applyFill="1" applyAlignment="1">
      <alignment horizontal="left" vertical="top" wrapText="1"/>
    </xf>
    <xf numFmtId="9" fontId="62" fillId="0" borderId="0" xfId="0" applyNumberFormat="1" applyFont="1" applyFill="1" applyBorder="1" applyAlignment="1" applyProtection="1">
      <alignment horizontal="center" vertical="top" wrapText="1"/>
    </xf>
    <xf numFmtId="44" fontId="62" fillId="0" borderId="0" xfId="0" applyNumberFormat="1" applyFont="1" applyFill="1" applyBorder="1" applyAlignment="1" applyProtection="1">
      <alignment vertical="top" wrapText="1"/>
      <protection locked="0"/>
    </xf>
    <xf numFmtId="3" fontId="64" fillId="0" borderId="0" xfId="4" applyNumberFormat="1" applyFont="1" applyFill="1" applyBorder="1" applyAlignment="1" applyProtection="1">
      <alignment vertical="top" wrapText="1"/>
    </xf>
    <xf numFmtId="168" fontId="62" fillId="0" borderId="0" xfId="4" applyNumberFormat="1" applyFont="1" applyFill="1" applyBorder="1" applyAlignment="1" applyProtection="1">
      <alignment horizontal="right" vertical="top" wrapText="1"/>
    </xf>
    <xf numFmtId="1" fontId="64" fillId="0" borderId="0" xfId="0" applyNumberFormat="1" applyFont="1" applyFill="1" applyBorder="1" applyAlignment="1" applyProtection="1">
      <alignment vertical="top" wrapText="1"/>
    </xf>
    <xf numFmtId="3" fontId="64" fillId="0" borderId="0" xfId="4" applyNumberFormat="1" applyFont="1" applyFill="1" applyBorder="1" applyAlignment="1" applyProtection="1">
      <alignment horizontal="left" vertical="top" wrapText="1"/>
    </xf>
    <xf numFmtId="168" fontId="62" fillId="0" borderId="0" xfId="4" applyNumberFormat="1" applyFont="1" applyFill="1" applyBorder="1" applyAlignment="1" applyProtection="1">
      <alignment horizontal="left" vertical="top" wrapText="1"/>
    </xf>
    <xf numFmtId="3" fontId="62" fillId="0" borderId="0" xfId="0" applyNumberFormat="1" applyFont="1" applyFill="1" applyBorder="1" applyAlignment="1" applyProtection="1">
      <alignment horizontal="left" vertical="top" wrapText="1"/>
    </xf>
    <xf numFmtId="168" fontId="64" fillId="0" borderId="0" xfId="4" applyNumberFormat="1" applyFont="1" applyFill="1" applyBorder="1" applyAlignment="1" applyProtection="1">
      <alignment horizontal="left" vertical="top" wrapText="1"/>
    </xf>
    <xf numFmtId="3" fontId="64" fillId="0" borderId="0" xfId="0" applyNumberFormat="1" applyFont="1" applyFill="1" applyBorder="1" applyAlignment="1" applyProtection="1">
      <alignment horizontal="left" vertical="top" wrapText="1"/>
    </xf>
    <xf numFmtId="168" fontId="62" fillId="0" borderId="0" xfId="0" applyNumberFormat="1" applyFont="1" applyFill="1" applyBorder="1" applyAlignment="1" applyProtection="1">
      <alignment horizontal="left" vertical="top" wrapText="1"/>
    </xf>
    <xf numFmtId="9" fontId="64" fillId="0" borderId="0" xfId="0" applyNumberFormat="1" applyFont="1" applyFill="1" applyBorder="1" applyAlignment="1" applyProtection="1">
      <alignment horizontal="left" vertical="top" wrapText="1"/>
    </xf>
    <xf numFmtId="1" fontId="62" fillId="0" borderId="0" xfId="0" applyNumberFormat="1" applyFont="1" applyFill="1" applyBorder="1" applyAlignment="1" applyProtection="1">
      <alignment horizontal="left" vertical="top" wrapText="1"/>
    </xf>
    <xf numFmtId="166" fontId="62" fillId="0" borderId="0" xfId="0" applyNumberFormat="1" applyFont="1" applyFill="1" applyBorder="1" applyAlignment="1" applyProtection="1">
      <alignment horizontal="left" vertical="top" wrapText="1"/>
    </xf>
    <xf numFmtId="9" fontId="64" fillId="0" borderId="0" xfId="4" applyFont="1" applyFill="1" applyBorder="1" applyAlignment="1" applyProtection="1">
      <alignment horizontal="left" vertical="top" wrapText="1"/>
    </xf>
    <xf numFmtId="166" fontId="64" fillId="0" borderId="0" xfId="0" applyNumberFormat="1" applyFont="1" applyFill="1" applyBorder="1" applyAlignment="1" applyProtection="1">
      <alignment horizontal="left" vertical="top" wrapText="1"/>
    </xf>
    <xf numFmtId="2" fontId="64" fillId="0" borderId="0" xfId="0" applyNumberFormat="1" applyFont="1" applyFill="1" applyBorder="1" applyAlignment="1" applyProtection="1">
      <alignment horizontal="left" vertical="top" wrapText="1"/>
    </xf>
    <xf numFmtId="1" fontId="64" fillId="0" borderId="0" xfId="4" applyNumberFormat="1" applyFont="1" applyFill="1" applyBorder="1" applyAlignment="1" applyProtection="1">
      <alignment horizontal="left" vertical="top" wrapText="1"/>
    </xf>
    <xf numFmtId="1" fontId="64" fillId="0" borderId="0" xfId="0" applyNumberFormat="1" applyFont="1" applyFill="1" applyBorder="1" applyAlignment="1" applyProtection="1">
      <alignment horizontal="left" vertical="top" wrapText="1"/>
    </xf>
    <xf numFmtId="1" fontId="62" fillId="0" borderId="0" xfId="4" applyNumberFormat="1" applyFont="1" applyFill="1" applyBorder="1" applyAlignment="1" applyProtection="1">
      <alignment horizontal="left" vertical="top" wrapText="1"/>
    </xf>
    <xf numFmtId="166" fontId="64" fillId="0" borderId="0" xfId="4" applyNumberFormat="1" applyFont="1" applyFill="1" applyBorder="1" applyAlignment="1" applyProtection="1">
      <alignment horizontal="left" vertical="top" wrapText="1"/>
    </xf>
    <xf numFmtId="166" fontId="62" fillId="0" borderId="0" xfId="4" applyNumberFormat="1" applyFont="1" applyFill="1" applyBorder="1" applyAlignment="1" applyProtection="1">
      <alignment horizontal="left" vertical="top" wrapText="1"/>
    </xf>
    <xf numFmtId="0" fontId="64" fillId="0" borderId="0" xfId="9" applyFont="1" applyFill="1" applyBorder="1" applyAlignment="1" applyProtection="1">
      <alignment horizontal="left" vertical="top" wrapText="1"/>
    </xf>
    <xf numFmtId="1" fontId="64" fillId="0" borderId="0" xfId="9" applyNumberFormat="1" applyFont="1" applyFill="1" applyBorder="1" applyAlignment="1" applyProtection="1">
      <alignment horizontal="left" vertical="top" wrapText="1"/>
    </xf>
    <xf numFmtId="1" fontId="62" fillId="0" borderId="0" xfId="9" applyNumberFormat="1" applyFont="1" applyFill="1" applyBorder="1" applyAlignment="1" applyProtection="1">
      <alignment horizontal="left" vertical="top" wrapText="1"/>
    </xf>
    <xf numFmtId="0" fontId="62" fillId="0" borderId="0" xfId="0" applyFont="1" applyFill="1" applyBorder="1" applyAlignment="1">
      <alignment horizontal="left" vertical="top" wrapText="1"/>
    </xf>
    <xf numFmtId="3" fontId="72" fillId="0" borderId="0" xfId="0" applyNumberFormat="1" applyFont="1" applyFill="1" applyBorder="1" applyAlignment="1" applyProtection="1">
      <alignment horizontal="left" vertical="top" wrapText="1"/>
      <protection locked="0"/>
    </xf>
    <xf numFmtId="3" fontId="72" fillId="0" borderId="0" xfId="0" applyNumberFormat="1" applyFont="1" applyFill="1" applyBorder="1" applyAlignment="1">
      <alignment horizontal="left" vertical="top" wrapText="1"/>
    </xf>
    <xf numFmtId="0" fontId="74" fillId="0" borderId="0" xfId="0" applyFont="1" applyFill="1" applyBorder="1" applyAlignment="1">
      <alignment horizontal="left" vertical="top" wrapText="1"/>
    </xf>
    <xf numFmtId="168" fontId="72" fillId="0" borderId="0" xfId="4" applyNumberFormat="1" applyFont="1" applyFill="1" applyBorder="1" applyAlignment="1" applyProtection="1">
      <alignment horizontal="left" vertical="top" wrapText="1"/>
      <protection locked="0"/>
    </xf>
    <xf numFmtId="3" fontId="72" fillId="0" borderId="0" xfId="4" applyNumberFormat="1" applyFont="1" applyFill="1" applyBorder="1" applyAlignment="1" applyProtection="1">
      <alignment horizontal="left" vertical="top" wrapText="1"/>
    </xf>
    <xf numFmtId="2" fontId="64" fillId="0" borderId="0" xfId="0" applyNumberFormat="1" applyFont="1" applyFill="1" applyBorder="1" applyAlignment="1" applyProtection="1">
      <alignment horizontal="left" vertical="top" wrapText="1"/>
      <protection locked="0"/>
    </xf>
    <xf numFmtId="11" fontId="64" fillId="0" borderId="0" xfId="0" applyNumberFormat="1" applyFont="1" applyFill="1" applyBorder="1" applyAlignment="1">
      <alignment horizontal="left" vertical="top" wrapText="1"/>
    </xf>
    <xf numFmtId="9" fontId="72" fillId="0" borderId="0" xfId="0" applyNumberFormat="1" applyFont="1" applyFill="1" applyBorder="1" applyAlignment="1">
      <alignment horizontal="left" vertical="top" wrapText="1"/>
    </xf>
    <xf numFmtId="9" fontId="64" fillId="0" borderId="0" xfId="0" applyNumberFormat="1" applyFont="1" applyFill="1" applyBorder="1" applyAlignment="1">
      <alignment horizontal="left" vertical="top" wrapText="1"/>
    </xf>
    <xf numFmtId="0" fontId="72" fillId="0" borderId="0" xfId="0" applyFont="1" applyFill="1" applyBorder="1" applyAlignment="1" applyProtection="1">
      <alignment horizontal="left" vertical="top" wrapText="1"/>
      <protection locked="0"/>
    </xf>
    <xf numFmtId="0" fontId="62" fillId="10" borderId="43" xfId="0" applyFont="1" applyFill="1" applyBorder="1" applyAlignment="1">
      <alignment vertical="top" wrapText="1"/>
    </xf>
    <xf numFmtId="0" fontId="62" fillId="29" borderId="43" xfId="0" applyFont="1" applyFill="1" applyBorder="1" applyAlignment="1">
      <alignment vertical="top" wrapText="1"/>
    </xf>
    <xf numFmtId="0" fontId="64" fillId="28" borderId="43" xfId="0" applyFont="1" applyFill="1" applyBorder="1" applyAlignment="1">
      <alignment vertical="top" wrapText="1"/>
    </xf>
    <xf numFmtId="0" fontId="62" fillId="0" borderId="0" xfId="3" applyFont="1" applyFill="1" applyBorder="1" applyAlignment="1">
      <alignment horizontal="left" vertical="top" wrapText="1"/>
    </xf>
    <xf numFmtId="0" fontId="62" fillId="0" borderId="0" xfId="3" applyFont="1" applyFill="1" applyBorder="1" applyAlignment="1">
      <alignment horizontal="center" vertical="top" wrapText="1"/>
    </xf>
    <xf numFmtId="0" fontId="64" fillId="0" borderId="0" xfId="7" applyFont="1" applyFill="1" applyBorder="1" applyAlignment="1">
      <alignment horizontal="left" vertical="top" wrapText="1"/>
    </xf>
    <xf numFmtId="0" fontId="62" fillId="0" borderId="0" xfId="3" applyFont="1" applyFill="1" applyBorder="1" applyAlignment="1" applyProtection="1">
      <alignment horizontal="right" vertical="top" wrapText="1"/>
    </xf>
    <xf numFmtId="3" fontId="62" fillId="0" borderId="0" xfId="3" applyNumberFormat="1" applyFont="1" applyFill="1" applyBorder="1" applyAlignment="1" applyProtection="1">
      <alignment horizontal="right" vertical="top" wrapText="1"/>
      <protection locked="0"/>
    </xf>
    <xf numFmtId="0" fontId="62" fillId="0" borderId="0" xfId="3" applyFont="1" applyFill="1" applyBorder="1" applyAlignment="1" applyProtection="1">
      <alignment horizontal="right" vertical="top" wrapText="1"/>
      <protection locked="0"/>
    </xf>
    <xf numFmtId="0" fontId="64" fillId="0" borderId="0" xfId="3" applyFont="1" applyFill="1" applyBorder="1" applyAlignment="1" applyProtection="1">
      <alignment horizontal="right" vertical="top" wrapText="1"/>
      <protection locked="0"/>
    </xf>
    <xf numFmtId="0" fontId="69" fillId="0" borderId="0" xfId="3" applyFont="1" applyFill="1" applyBorder="1" applyAlignment="1" applyProtection="1">
      <alignment horizontal="right" vertical="top" wrapText="1"/>
      <protection locked="0"/>
    </xf>
    <xf numFmtId="0" fontId="62" fillId="31" borderId="43" xfId="0" applyFont="1" applyFill="1" applyBorder="1" applyAlignment="1">
      <alignment horizontal="left" vertical="top" wrapText="1"/>
    </xf>
    <xf numFmtId="0" fontId="62" fillId="32" borderId="43" xfId="0" applyFont="1" applyFill="1" applyBorder="1" applyAlignment="1">
      <alignment horizontal="left" vertical="top" wrapText="1"/>
    </xf>
    <xf numFmtId="0" fontId="64" fillId="28" borderId="43" xfId="0" applyFont="1" applyFill="1" applyBorder="1" applyAlignment="1">
      <alignment horizontal="left" vertical="top" wrapText="1"/>
    </xf>
    <xf numFmtId="0" fontId="64" fillId="0" borderId="0" xfId="0" applyFont="1" applyFill="1" applyBorder="1" applyAlignment="1" applyProtection="1">
      <alignment horizontal="left" vertical="top" wrapText="1"/>
      <protection locked="0"/>
    </xf>
    <xf numFmtId="14" fontId="64" fillId="0" borderId="0" xfId="0" applyNumberFormat="1" applyFont="1" applyFill="1" applyBorder="1" applyAlignment="1" applyProtection="1">
      <alignment horizontal="left" vertical="top" wrapText="1"/>
      <protection locked="0"/>
    </xf>
    <xf numFmtId="9" fontId="64" fillId="0" borderId="0" xfId="4" applyFont="1" applyFill="1" applyBorder="1" applyAlignment="1" applyProtection="1">
      <alignment horizontal="left" vertical="top" wrapText="1"/>
      <protection locked="0"/>
    </xf>
    <xf numFmtId="44" fontId="64" fillId="0" borderId="0" xfId="0" applyNumberFormat="1" applyFont="1" applyFill="1" applyBorder="1" applyAlignment="1" applyProtection="1">
      <alignment horizontal="left" vertical="top" wrapText="1"/>
      <protection locked="0"/>
    </xf>
    <xf numFmtId="0" fontId="62" fillId="0" borderId="0" xfId="0" applyFont="1" applyFill="1" applyAlignment="1">
      <alignment vertical="top" wrapText="1"/>
    </xf>
    <xf numFmtId="0" fontId="64" fillId="0" borderId="0" xfId="0" applyFont="1" applyFill="1" applyAlignment="1">
      <alignment vertical="top" wrapText="1"/>
    </xf>
    <xf numFmtId="0" fontId="62" fillId="0" borderId="193" xfId="0" applyFont="1" applyFill="1" applyBorder="1" applyAlignment="1">
      <alignment horizontal="left" vertical="top" wrapText="1"/>
    </xf>
    <xf numFmtId="0" fontId="64" fillId="0" borderId="194" xfId="0" applyFont="1" applyFill="1" applyBorder="1" applyAlignment="1">
      <alignment horizontal="left" vertical="top" wrapText="1"/>
    </xf>
    <xf numFmtId="0" fontId="64" fillId="0" borderId="43" xfId="0" applyFont="1" applyFill="1" applyBorder="1" applyAlignment="1">
      <alignment horizontal="left" vertical="top" wrapText="1"/>
    </xf>
    <xf numFmtId="0" fontId="64" fillId="0" borderId="0" xfId="7" applyFont="1" applyFill="1" applyBorder="1" applyAlignment="1">
      <alignment vertical="top" wrapText="1"/>
    </xf>
    <xf numFmtId="0" fontId="21" fillId="0" borderId="0" xfId="0" applyFont="1" applyAlignment="1" applyProtection="1">
      <alignment horizontal="center" vertical="top"/>
    </xf>
    <xf numFmtId="0" fontId="21" fillId="0" borderId="0" xfId="0" applyFont="1" applyAlignment="1" applyProtection="1">
      <alignment vertical="top"/>
    </xf>
    <xf numFmtId="0" fontId="53" fillId="0" borderId="0" xfId="0" applyFont="1" applyFill="1" applyAlignment="1" applyProtection="1">
      <alignment vertical="top"/>
    </xf>
    <xf numFmtId="0" fontId="22" fillId="0" borderId="0" xfId="0" applyFont="1" applyAlignment="1" applyProtection="1">
      <alignment vertical="top"/>
    </xf>
    <xf numFmtId="0" fontId="0" fillId="0" borderId="0" xfId="0" applyAlignment="1" applyProtection="1">
      <alignment vertical="top"/>
    </xf>
    <xf numFmtId="0" fontId="24" fillId="0" borderId="22" xfId="0" applyFont="1" applyBorder="1" applyAlignment="1" applyProtection="1">
      <alignment vertical="top"/>
    </xf>
    <xf numFmtId="0" fontId="22" fillId="0" borderId="22" xfId="0" applyFont="1" applyBorder="1" applyAlignment="1" applyProtection="1">
      <alignment vertical="top"/>
    </xf>
    <xf numFmtId="0" fontId="22" fillId="0" borderId="0" xfId="0" applyFont="1" applyBorder="1" applyAlignment="1" applyProtection="1">
      <alignment vertical="top"/>
    </xf>
    <xf numFmtId="0" fontId="31" fillId="0" borderId="0" xfId="7" applyFont="1"/>
    <xf numFmtId="49" fontId="20" fillId="9" borderId="0" xfId="0" applyNumberFormat="1" applyFont="1" applyFill="1" applyProtection="1">
      <protection locked="0"/>
    </xf>
    <xf numFmtId="0" fontId="14" fillId="0" borderId="0" xfId="0" applyFont="1"/>
    <xf numFmtId="10" fontId="14" fillId="4" borderId="195" xfId="4" applyNumberFormat="1" applyFont="1" applyFill="1" applyBorder="1" applyAlignment="1" applyProtection="1">
      <alignment horizontal="right" indent="1"/>
      <protection locked="0"/>
    </xf>
    <xf numFmtId="0" fontId="37" fillId="0" borderId="0" xfId="0" applyFont="1" applyAlignment="1">
      <alignment horizontal="left" vertical="top"/>
    </xf>
    <xf numFmtId="0" fontId="21" fillId="0" borderId="0" xfId="9" applyFont="1" applyFill="1" applyBorder="1" applyAlignment="1">
      <alignment horizontal="left" vertical="center" wrapText="1"/>
    </xf>
    <xf numFmtId="0" fontId="21" fillId="0" borderId="0" xfId="10" applyFont="1" applyBorder="1"/>
    <xf numFmtId="0" fontId="21" fillId="0" borderId="0" xfId="10" applyFont="1" applyBorder="1" applyAlignment="1">
      <alignment horizontal="center"/>
    </xf>
    <xf numFmtId="0" fontId="32" fillId="2" borderId="196" xfId="10" applyFont="1" applyFill="1" applyBorder="1" applyAlignment="1">
      <alignment horizontal="left" indent="1"/>
    </xf>
    <xf numFmtId="0" fontId="32" fillId="2" borderId="197" xfId="10" applyFont="1" applyFill="1" applyBorder="1" applyAlignment="1">
      <alignment horizontal="left" indent="1"/>
    </xf>
    <xf numFmtId="0" fontId="32" fillId="2" borderId="198" xfId="10" applyFont="1" applyFill="1" applyBorder="1" applyAlignment="1">
      <alignment horizontal="left" indent="1"/>
    </xf>
    <xf numFmtId="0" fontId="25" fillId="2" borderId="196" xfId="10" applyFont="1" applyFill="1" applyBorder="1" applyAlignment="1">
      <alignment horizontal="left" indent="1"/>
    </xf>
    <xf numFmtId="0" fontId="25" fillId="2" borderId="197" xfId="10" applyFont="1" applyFill="1" applyBorder="1" applyAlignment="1">
      <alignment horizontal="left" indent="1"/>
    </xf>
    <xf numFmtId="0" fontId="25" fillId="2" borderId="198" xfId="10" applyFont="1" applyFill="1" applyBorder="1" applyAlignment="1">
      <alignment horizontal="left" indent="1"/>
    </xf>
    <xf numFmtId="0" fontId="22" fillId="0" borderId="0" xfId="10" applyFont="1" applyBorder="1"/>
    <xf numFmtId="0" fontId="21" fillId="0" borderId="0" xfId="11" applyFont="1" applyBorder="1"/>
    <xf numFmtId="0" fontId="21" fillId="0" borderId="0" xfId="11" applyFont="1" applyBorder="1" applyAlignment="1">
      <alignment horizontal="center"/>
    </xf>
    <xf numFmtId="0" fontId="21" fillId="0" borderId="0" xfId="11" applyFont="1" applyFill="1" applyBorder="1"/>
    <xf numFmtId="0" fontId="21" fillId="0" borderId="207" xfId="10" applyFont="1" applyFill="1" applyBorder="1" applyAlignment="1">
      <alignment horizontal="left"/>
    </xf>
    <xf numFmtId="0" fontId="21" fillId="0" borderId="59" xfId="10" applyFont="1" applyFill="1" applyBorder="1" applyAlignment="1">
      <alignment horizontal="left"/>
    </xf>
    <xf numFmtId="0" fontId="21" fillId="0" borderId="12" xfId="10" applyFont="1" applyFill="1" applyBorder="1" applyAlignment="1">
      <alignment horizontal="left"/>
    </xf>
    <xf numFmtId="0" fontId="21" fillId="0" borderId="59" xfId="10" applyFont="1" applyFill="1" applyBorder="1" applyAlignment="1">
      <alignment horizontal="center"/>
    </xf>
    <xf numFmtId="1" fontId="21" fillId="0" borderId="13" xfId="10" applyNumberFormat="1" applyFont="1" applyFill="1" applyBorder="1" applyAlignment="1">
      <alignment horizontal="center"/>
    </xf>
    <xf numFmtId="0" fontId="21" fillId="0" borderId="207" xfId="10" applyFont="1" applyFill="1" applyBorder="1" applyAlignment="1">
      <alignment horizontal="right" indent="1"/>
    </xf>
    <xf numFmtId="0" fontId="21" fillId="0" borderId="12" xfId="10" applyFont="1" applyFill="1" applyBorder="1" applyAlignment="1">
      <alignment horizontal="right" indent="1"/>
    </xf>
    <xf numFmtId="0" fontId="21" fillId="0" borderId="13" xfId="10" applyFont="1" applyFill="1" applyBorder="1" applyAlignment="1">
      <alignment horizontal="right" indent="1"/>
    </xf>
    <xf numFmtId="0" fontId="21" fillId="0" borderId="0" xfId="11" applyFont="1" applyFill="1" applyBorder="1" applyAlignment="1">
      <alignment vertical="center"/>
    </xf>
    <xf numFmtId="0" fontId="21" fillId="0" borderId="0" xfId="11" applyFont="1" applyFill="1" applyBorder="1" applyAlignment="1">
      <alignment horizontal="center" vertical="center"/>
    </xf>
    <xf numFmtId="164" fontId="21" fillId="0" borderId="0" xfId="11" applyNumberFormat="1" applyFont="1" applyFill="1" applyBorder="1" applyAlignment="1">
      <alignment horizontal="right" indent="1"/>
    </xf>
    <xf numFmtId="0" fontId="21" fillId="0" borderId="0" xfId="11" applyFont="1" applyFill="1" applyBorder="1" applyAlignment="1">
      <alignment horizontal="right" indent="1"/>
    </xf>
    <xf numFmtId="0" fontId="21" fillId="0" borderId="0" xfId="11" applyFont="1" applyFill="1" applyBorder="1" applyAlignment="1">
      <alignment horizontal="center"/>
    </xf>
    <xf numFmtId="0" fontId="21" fillId="0" borderId="0" xfId="11" applyFont="1" applyFill="1" applyBorder="1" applyAlignment="1">
      <alignment horizontal="right"/>
    </xf>
    <xf numFmtId="169" fontId="21" fillId="0" borderId="0" xfId="11" applyNumberFormat="1" applyFont="1" applyFill="1" applyBorder="1"/>
    <xf numFmtId="0" fontId="21" fillId="0" borderId="207" xfId="11" applyFont="1" applyFill="1" applyBorder="1" applyAlignment="1">
      <alignment horizontal="left"/>
    </xf>
    <xf numFmtId="0" fontId="21" fillId="0" borderId="59" xfId="11" applyFont="1" applyFill="1" applyBorder="1" applyAlignment="1">
      <alignment horizontal="left"/>
    </xf>
    <xf numFmtId="0" fontId="21" fillId="0" borderId="12" xfId="11" applyFont="1" applyFill="1" applyBorder="1" applyAlignment="1">
      <alignment horizontal="left"/>
    </xf>
    <xf numFmtId="1" fontId="21" fillId="0" borderId="13" xfId="11" applyNumberFormat="1" applyFont="1" applyFill="1" applyBorder="1" applyAlignment="1">
      <alignment horizontal="center"/>
    </xf>
    <xf numFmtId="0" fontId="21" fillId="0" borderId="125" xfId="11" applyFont="1" applyFill="1" applyBorder="1" applyAlignment="1">
      <alignment horizontal="center"/>
    </xf>
    <xf numFmtId="169" fontId="21" fillId="0" borderId="12" xfId="11" applyNumberFormat="1" applyFont="1" applyFill="1" applyBorder="1" applyAlignment="1">
      <alignment horizontal="right" indent="1"/>
    </xf>
    <xf numFmtId="169" fontId="21" fillId="0" borderId="207" xfId="11" applyNumberFormat="1" applyFont="1" applyFill="1" applyBorder="1" applyAlignment="1">
      <alignment horizontal="right" indent="1"/>
    </xf>
    <xf numFmtId="169" fontId="21" fillId="0" borderId="13" xfId="11" applyNumberFormat="1" applyFont="1" applyFill="1" applyBorder="1" applyAlignment="1">
      <alignment horizontal="right" indent="1"/>
    </xf>
    <xf numFmtId="0" fontId="21" fillId="0" borderId="0" xfId="11" applyNumberFormat="1" applyFont="1" applyBorder="1"/>
    <xf numFmtId="0" fontId="21" fillId="0" borderId="0" xfId="11" applyNumberFormat="1" applyFont="1" applyBorder="1" applyAlignment="1">
      <alignment horizontal="center"/>
    </xf>
    <xf numFmtId="0" fontId="21" fillId="0" borderId="0" xfId="0" applyFont="1" applyFill="1" applyBorder="1" applyAlignment="1">
      <alignment vertical="top" wrapText="1"/>
    </xf>
    <xf numFmtId="0" fontId="21" fillId="0" borderId="0" xfId="0" applyFont="1" applyFill="1" applyBorder="1" applyAlignment="1" applyProtection="1">
      <alignment vertical="top" wrapText="1"/>
      <protection locked="0"/>
    </xf>
    <xf numFmtId="0" fontId="21" fillId="0" borderId="0" xfId="0" applyFont="1" applyFill="1" applyBorder="1" applyAlignment="1">
      <alignment horizontal="left" vertical="top" wrapText="1"/>
    </xf>
    <xf numFmtId="3" fontId="21" fillId="0" borderId="0" xfId="7" applyNumberFormat="1" applyFont="1" applyFill="1" applyBorder="1" applyAlignment="1" applyProtection="1">
      <alignment vertical="top" wrapText="1"/>
      <protection locked="0"/>
    </xf>
    <xf numFmtId="0" fontId="36" fillId="0" borderId="126" xfId="0" applyFont="1" applyBorder="1"/>
    <xf numFmtId="0" fontId="0" fillId="0" borderId="128" xfId="0" applyBorder="1"/>
    <xf numFmtId="0" fontId="0" fillId="0" borderId="127" xfId="0" applyBorder="1"/>
    <xf numFmtId="169" fontId="21" fillId="0" borderId="0" xfId="9" applyNumberFormat="1" applyFont="1" applyFill="1" applyBorder="1"/>
    <xf numFmtId="169" fontId="21" fillId="0" borderId="0" xfId="9" applyNumberFormat="1" applyFont="1" applyFill="1" applyBorder="1" applyAlignment="1">
      <alignment horizontal="right" indent="1"/>
    </xf>
    <xf numFmtId="0" fontId="20" fillId="0" borderId="118" xfId="9" applyFont="1" applyFill="1" applyBorder="1" applyAlignment="1">
      <alignment horizontal="left"/>
    </xf>
    <xf numFmtId="0" fontId="20" fillId="0" borderId="206" xfId="9" applyFont="1" applyFill="1" applyBorder="1" applyAlignment="1">
      <alignment horizontal="left"/>
    </xf>
    <xf numFmtId="0" fontId="21" fillId="0" borderId="206" xfId="9" applyFont="1" applyFill="1" applyBorder="1" applyAlignment="1">
      <alignment horizontal="left"/>
    </xf>
    <xf numFmtId="0" fontId="21" fillId="0" borderId="206" xfId="9" applyFont="1" applyFill="1" applyBorder="1" applyAlignment="1">
      <alignment horizontal="right" indent="1"/>
    </xf>
    <xf numFmtId="167" fontId="21" fillId="0" borderId="206" xfId="9" applyNumberFormat="1" applyFont="1" applyFill="1" applyBorder="1" applyAlignment="1">
      <alignment horizontal="right" indent="1"/>
    </xf>
    <xf numFmtId="0" fontId="26" fillId="5" borderId="22" xfId="0" applyFont="1" applyFill="1" applyBorder="1" applyAlignment="1">
      <alignment horizontal="left" vertical="top" indent="1"/>
    </xf>
    <xf numFmtId="0" fontId="20" fillId="2" borderId="5" xfId="0" applyFont="1" applyFill="1" applyBorder="1" applyAlignment="1" applyProtection="1">
      <alignment horizontal="center" wrapText="1"/>
    </xf>
    <xf numFmtId="0" fontId="20" fillId="2" borderId="5" xfId="0" applyFont="1" applyFill="1" applyBorder="1" applyAlignment="1" applyProtection="1">
      <alignment horizontal="center" wrapText="1"/>
    </xf>
    <xf numFmtId="0" fontId="21" fillId="0" borderId="0" xfId="7" applyFont="1"/>
    <xf numFmtId="0" fontId="21" fillId="0" borderId="0" xfId="7" applyFont="1" applyFill="1"/>
    <xf numFmtId="0" fontId="22" fillId="0" borderId="0" xfId="7" applyFont="1" applyAlignment="1">
      <alignment horizontal="center" vertical="center"/>
    </xf>
    <xf numFmtId="0" fontId="42" fillId="0" borderId="0" xfId="7" applyFont="1" applyFill="1"/>
    <xf numFmtId="0" fontId="21" fillId="0" borderId="0" xfId="7" applyFont="1" applyProtection="1"/>
    <xf numFmtId="0" fontId="20" fillId="2" borderId="144" xfId="0" applyFont="1" applyFill="1" applyBorder="1" applyAlignment="1" applyProtection="1">
      <alignment horizontal="center" vertical="top" wrapText="1"/>
    </xf>
    <xf numFmtId="0" fontId="22" fillId="0" borderId="0" xfId="7" applyFont="1" applyAlignment="1" applyProtection="1">
      <alignment horizontal="center" vertical="center"/>
    </xf>
    <xf numFmtId="0" fontId="20" fillId="2" borderId="141" xfId="0" applyFont="1" applyFill="1" applyBorder="1" applyAlignment="1" applyProtection="1">
      <alignment vertical="top" wrapText="1"/>
    </xf>
    <xf numFmtId="0" fontId="20" fillId="34" borderId="55" xfId="0" applyFont="1" applyFill="1" applyBorder="1" applyAlignment="1" applyProtection="1">
      <alignment horizontal="center" vertical="center" wrapText="1"/>
    </xf>
    <xf numFmtId="0" fontId="20" fillId="34" borderId="0" xfId="0" applyFont="1" applyFill="1" applyBorder="1" applyAlignment="1" applyProtection="1">
      <alignment horizontal="center" vertical="center" wrapText="1"/>
    </xf>
    <xf numFmtId="0" fontId="21" fillId="0" borderId="205" xfId="0" applyFont="1" applyBorder="1" applyAlignment="1" applyProtection="1">
      <alignment horizontal="left" vertical="top" indent="1"/>
    </xf>
    <xf numFmtId="168" fontId="20" fillId="35" borderId="208" xfId="4" applyNumberFormat="1" applyFont="1" applyFill="1" applyBorder="1" applyAlignment="1" applyProtection="1">
      <alignment horizontal="left" indent="1"/>
      <protection locked="0"/>
    </xf>
    <xf numFmtId="168" fontId="20" fillId="35" borderId="100" xfId="4" applyNumberFormat="1" applyFont="1" applyFill="1" applyBorder="1" applyAlignment="1" applyProtection="1">
      <alignment horizontal="right" indent="1"/>
      <protection locked="0"/>
    </xf>
    <xf numFmtId="0" fontId="21" fillId="0" borderId="10" xfId="0" applyFont="1" applyBorder="1" applyAlignment="1" applyProtection="1">
      <alignment horizontal="left" vertical="top" indent="1"/>
    </xf>
    <xf numFmtId="0" fontId="21" fillId="0" borderId="10" xfId="0" applyFont="1" applyFill="1" applyBorder="1" applyAlignment="1" applyProtection="1">
      <alignment horizontal="left" vertical="top" indent="1"/>
    </xf>
    <xf numFmtId="0" fontId="21" fillId="0" borderId="12" xfId="0" applyFont="1" applyBorder="1" applyAlignment="1" applyProtection="1">
      <alignment horizontal="left" vertical="top" indent="1"/>
    </xf>
    <xf numFmtId="168" fontId="20" fillId="35" borderId="209" xfId="4" applyNumberFormat="1" applyFont="1" applyFill="1" applyBorder="1" applyAlignment="1" applyProtection="1">
      <alignment horizontal="left" indent="1"/>
      <protection locked="0"/>
    </xf>
    <xf numFmtId="168" fontId="20" fillId="35" borderId="210" xfId="4" applyNumberFormat="1" applyFont="1" applyFill="1" applyBorder="1" applyAlignment="1" applyProtection="1">
      <alignment horizontal="right" indent="1"/>
      <protection locked="0"/>
    </xf>
    <xf numFmtId="2" fontId="21" fillId="0" borderId="0" xfId="7" applyNumberFormat="1" applyFont="1" applyFill="1"/>
    <xf numFmtId="0" fontId="21" fillId="0" borderId="0" xfId="11" applyFont="1" applyFill="1" applyBorder="1" applyAlignment="1" applyProtection="1">
      <alignment vertical="top" wrapText="1"/>
    </xf>
    <xf numFmtId="0" fontId="21" fillId="0" borderId="0" xfId="7" applyFont="1" applyFill="1" applyBorder="1" applyAlignment="1">
      <alignment vertical="top" wrapText="1"/>
    </xf>
    <xf numFmtId="0" fontId="20" fillId="34" borderId="61" xfId="0" applyFont="1" applyFill="1" applyBorder="1" applyAlignment="1" applyProtection="1">
      <alignment horizontal="center" vertical="center" wrapText="1"/>
    </xf>
    <xf numFmtId="168" fontId="20" fillId="35" borderId="211" xfId="4" applyNumberFormat="1" applyFont="1" applyFill="1" applyBorder="1" applyAlignment="1" applyProtection="1">
      <alignment horizontal="right" indent="1"/>
      <protection locked="0"/>
    </xf>
    <xf numFmtId="168" fontId="20" fillId="35" borderId="212" xfId="4" applyNumberFormat="1" applyFont="1" applyFill="1" applyBorder="1" applyAlignment="1" applyProtection="1">
      <alignment horizontal="right" indent="1"/>
      <protection locked="0"/>
    </xf>
    <xf numFmtId="0" fontId="20" fillId="14" borderId="196" xfId="0" applyFont="1" applyFill="1" applyBorder="1" applyAlignment="1" applyProtection="1">
      <alignment horizontal="center" vertical="center"/>
    </xf>
    <xf numFmtId="0" fontId="20" fillId="14" borderId="197" xfId="0" applyFont="1" applyFill="1" applyBorder="1" applyAlignment="1" applyProtection="1">
      <alignment horizontal="center" vertical="center"/>
    </xf>
    <xf numFmtId="0" fontId="20" fillId="14" borderId="198" xfId="0" applyFont="1" applyFill="1" applyBorder="1" applyAlignment="1" applyProtection="1">
      <alignment horizontal="center" vertical="center"/>
    </xf>
    <xf numFmtId="166" fontId="21" fillId="0" borderId="134" xfId="0" applyNumberFormat="1" applyFont="1" applyBorder="1" applyAlignment="1">
      <alignment horizontal="right" vertical="top" indent="1"/>
    </xf>
    <xf numFmtId="0" fontId="20" fillId="2" borderId="146" xfId="0" applyFont="1" applyFill="1" applyBorder="1" applyAlignment="1" applyProtection="1">
      <alignment horizontal="center" vertical="top" wrapText="1"/>
    </xf>
    <xf numFmtId="0" fontId="21" fillId="0" borderId="83" xfId="0" applyFont="1" applyBorder="1" applyAlignment="1" applyProtection="1">
      <alignment horizontal="left" vertical="top" indent="1"/>
    </xf>
    <xf numFmtId="0" fontId="21" fillId="0" borderId="83" xfId="0" applyFont="1" applyFill="1" applyBorder="1" applyAlignment="1" applyProtection="1">
      <alignment horizontal="left" vertical="top" indent="1"/>
    </xf>
    <xf numFmtId="0" fontId="21" fillId="0" borderId="84" xfId="0" applyFont="1" applyBorder="1" applyAlignment="1" applyProtection="1">
      <alignment horizontal="left" vertical="top" indent="1"/>
    </xf>
    <xf numFmtId="3" fontId="21" fillId="0" borderId="23" xfId="7" applyNumberFormat="1" applyFont="1" applyBorder="1" applyProtection="1"/>
    <xf numFmtId="0" fontId="20" fillId="34" borderId="23" xfId="7" applyFont="1" applyFill="1" applyBorder="1" applyAlignment="1" applyProtection="1">
      <alignment horizontal="center" vertical="center"/>
    </xf>
    <xf numFmtId="2" fontId="21" fillId="0" borderId="213" xfId="0" applyNumberFormat="1" applyFont="1" applyBorder="1" applyAlignment="1" applyProtection="1">
      <alignment horizontal="left" vertical="top" indent="1"/>
    </xf>
    <xf numFmtId="3" fontId="30" fillId="15" borderId="124" xfId="4" applyNumberFormat="1" applyFont="1" applyFill="1" applyBorder="1" applyAlignment="1">
      <alignment horizontal="right" indent="1"/>
    </xf>
    <xf numFmtId="0" fontId="21" fillId="0" borderId="23" xfId="7" applyFont="1" applyBorder="1"/>
    <xf numFmtId="3" fontId="21" fillId="0" borderId="23" xfId="7" applyNumberFormat="1" applyFont="1" applyBorder="1"/>
    <xf numFmtId="0" fontId="20" fillId="14" borderId="23" xfId="7" applyFont="1" applyFill="1" applyBorder="1"/>
    <xf numFmtId="3" fontId="20" fillId="14" borderId="23" xfId="7" applyNumberFormat="1" applyFont="1" applyFill="1" applyBorder="1"/>
    <xf numFmtId="0" fontId="20" fillId="0" borderId="22" xfId="7" applyFont="1" applyBorder="1"/>
    <xf numFmtId="0" fontId="21" fillId="0" borderId="22" xfId="7" applyFont="1" applyBorder="1"/>
    <xf numFmtId="9" fontId="21" fillId="0" borderId="23" xfId="4" applyFont="1" applyBorder="1"/>
    <xf numFmtId="9" fontId="21" fillId="0" borderId="0" xfId="4" applyFont="1"/>
    <xf numFmtId="9" fontId="21" fillId="0" borderId="22" xfId="4" applyFont="1" applyBorder="1"/>
    <xf numFmtId="9" fontId="20" fillId="14" borderId="23" xfId="4" applyFont="1" applyFill="1" applyBorder="1"/>
    <xf numFmtId="0" fontId="21" fillId="0" borderId="23" xfId="4" applyNumberFormat="1" applyFont="1" applyBorder="1"/>
    <xf numFmtId="1" fontId="21" fillId="23" borderId="15" xfId="4" applyNumberFormat="1" applyFont="1" applyFill="1" applyBorder="1" applyAlignment="1" applyProtection="1">
      <alignment horizontal="right" indent="1"/>
    </xf>
    <xf numFmtId="1" fontId="21" fillId="23" borderId="16" xfId="4" applyNumberFormat="1" applyFont="1" applyFill="1" applyBorder="1" applyAlignment="1" applyProtection="1">
      <alignment horizontal="right" vertical="top" indent="1"/>
    </xf>
    <xf numFmtId="1" fontId="30" fillId="15" borderId="124" xfId="0" applyNumberFormat="1" applyFont="1" applyFill="1" applyBorder="1" applyAlignment="1">
      <alignment horizontal="right" indent="1"/>
    </xf>
    <xf numFmtId="0" fontId="21" fillId="0" borderId="0" xfId="0" applyFont="1" applyFill="1" applyBorder="1" applyAlignment="1">
      <alignment vertical="top"/>
    </xf>
    <xf numFmtId="166" fontId="21" fillId="0" borderId="0" xfId="0" applyNumberFormat="1" applyFont="1" applyBorder="1" applyAlignment="1" applyProtection="1">
      <alignment horizontal="right" indent="1"/>
    </xf>
    <xf numFmtId="0" fontId="21" fillId="0" borderId="214" xfId="0" applyFont="1" applyFill="1" applyBorder="1"/>
    <xf numFmtId="166" fontId="21" fillId="0" borderId="195" xfId="0" applyNumberFormat="1" applyFont="1" applyBorder="1" applyAlignment="1" applyProtection="1">
      <alignment horizontal="right" vertical="top" indent="1"/>
    </xf>
    <xf numFmtId="168" fontId="21" fillId="0" borderId="195" xfId="4" applyNumberFormat="1" applyFont="1" applyBorder="1" applyAlignment="1" applyProtection="1">
      <alignment horizontal="right" vertical="top" indent="1"/>
    </xf>
    <xf numFmtId="166" fontId="29" fillId="3" borderId="195" xfId="0" applyNumberFormat="1" applyFont="1" applyFill="1" applyBorder="1" applyAlignment="1" applyProtection="1">
      <alignment horizontal="right" indent="1"/>
    </xf>
    <xf numFmtId="166" fontId="29" fillId="3" borderId="215" xfId="0" applyNumberFormat="1" applyFont="1" applyFill="1" applyBorder="1" applyAlignment="1" applyProtection="1">
      <alignment horizontal="right" indent="1"/>
    </xf>
    <xf numFmtId="0" fontId="21" fillId="0" borderId="92" xfId="0" applyFont="1" applyFill="1" applyBorder="1"/>
    <xf numFmtId="0" fontId="21" fillId="0" borderId="92" xfId="0" applyFont="1" applyFill="1" applyBorder="1" applyAlignment="1">
      <alignment vertical="top"/>
    </xf>
    <xf numFmtId="0" fontId="21" fillId="0" borderId="74" xfId="0" applyFont="1" applyFill="1" applyBorder="1" applyAlignment="1">
      <alignment vertical="top"/>
    </xf>
    <xf numFmtId="166" fontId="21" fillId="0" borderId="125" xfId="0" applyNumberFormat="1" applyFont="1" applyBorder="1" applyAlignment="1" applyProtection="1">
      <alignment horizontal="right" vertical="top" indent="1"/>
    </xf>
    <xf numFmtId="168" fontId="21" fillId="0" borderId="125" xfId="4" applyNumberFormat="1" applyFont="1" applyBorder="1" applyAlignment="1" applyProtection="1">
      <alignment horizontal="right" vertical="top" indent="1"/>
    </xf>
    <xf numFmtId="166" fontId="29" fillId="3" borderId="125" xfId="0" applyNumberFormat="1" applyFont="1" applyFill="1" applyBorder="1" applyAlignment="1" applyProtection="1">
      <alignment horizontal="right" indent="1"/>
    </xf>
    <xf numFmtId="166" fontId="29" fillId="3" borderId="39" xfId="0" applyNumberFormat="1" applyFont="1" applyFill="1" applyBorder="1" applyAlignment="1" applyProtection="1">
      <alignment horizontal="right" indent="1"/>
    </xf>
    <xf numFmtId="166" fontId="21" fillId="0" borderId="125" xfId="0" applyNumberFormat="1" applyFont="1" applyBorder="1" applyAlignment="1" applyProtection="1">
      <alignment horizontal="right" indent="1"/>
    </xf>
    <xf numFmtId="2" fontId="21" fillId="0" borderId="125" xfId="0" applyNumberFormat="1" applyFont="1" applyBorder="1" applyAlignment="1" applyProtection="1">
      <alignment horizontal="right" indent="1"/>
    </xf>
    <xf numFmtId="168" fontId="21" fillId="0" borderId="125" xfId="4" applyNumberFormat="1" applyFont="1" applyBorder="1" applyAlignment="1" applyProtection="1">
      <alignment horizontal="right" indent="1"/>
    </xf>
    <xf numFmtId="1" fontId="21" fillId="0" borderId="61" xfId="0" applyNumberFormat="1" applyFont="1" applyBorder="1" applyAlignment="1" applyProtection="1">
      <alignment horizontal="right" indent="1"/>
    </xf>
    <xf numFmtId="3" fontId="20" fillId="0" borderId="16" xfId="4" applyNumberFormat="1" applyFont="1" applyFill="1" applyBorder="1" applyAlignment="1" applyProtection="1">
      <alignment horizontal="right" vertical="top" indent="1"/>
    </xf>
    <xf numFmtId="3" fontId="20" fillId="0" borderId="0" xfId="4" applyNumberFormat="1" applyFont="1" applyFill="1" applyBorder="1" applyAlignment="1" applyProtection="1">
      <alignment horizontal="right" vertical="top" indent="1"/>
    </xf>
    <xf numFmtId="0" fontId="20" fillId="13" borderId="15" xfId="0" applyFont="1" applyFill="1" applyBorder="1" applyAlignment="1" applyProtection="1">
      <alignment vertical="top"/>
      <protection locked="0"/>
    </xf>
    <xf numFmtId="0" fontId="20" fillId="13" borderId="16" xfId="0" applyFont="1" applyFill="1" applyBorder="1" applyAlignment="1" applyProtection="1">
      <alignment vertical="top"/>
      <protection locked="0"/>
    </xf>
    <xf numFmtId="0" fontId="20" fillId="13" borderId="16" xfId="0" applyFont="1" applyFill="1" applyBorder="1" applyProtection="1">
      <protection locked="0"/>
    </xf>
    <xf numFmtId="0" fontId="20" fillId="13" borderId="99" xfId="0" applyFont="1" applyFill="1" applyBorder="1" applyAlignment="1" applyProtection="1">
      <alignment vertical="top"/>
      <protection locked="0"/>
    </xf>
    <xf numFmtId="0" fontId="20" fillId="13" borderId="98" xfId="0" applyFont="1" applyFill="1" applyBorder="1" applyProtection="1">
      <protection locked="0"/>
    </xf>
    <xf numFmtId="0" fontId="20" fillId="13" borderId="14" xfId="0" applyFont="1" applyFill="1" applyBorder="1" applyAlignment="1" applyProtection="1">
      <alignment vertical="top"/>
      <protection locked="0"/>
    </xf>
    <xf numFmtId="0" fontId="20" fillId="13" borderId="17" xfId="0" applyFont="1" applyFill="1" applyBorder="1" applyProtection="1">
      <protection locked="0"/>
    </xf>
    <xf numFmtId="0" fontId="40" fillId="0" borderId="0" xfId="0" applyFont="1" applyFill="1" applyBorder="1" applyAlignment="1">
      <alignment horizontal="left" vertical="center" wrapText="1"/>
    </xf>
    <xf numFmtId="44" fontId="20" fillId="23" borderId="116" xfId="0" applyNumberFormat="1" applyFont="1" applyFill="1" applyBorder="1" applyProtection="1"/>
    <xf numFmtId="0" fontId="20" fillId="13" borderId="15" xfId="0" applyFont="1" applyFill="1" applyBorder="1" applyProtection="1">
      <protection locked="0"/>
    </xf>
    <xf numFmtId="0" fontId="20" fillId="13" borderId="108" xfId="0" applyFont="1" applyFill="1" applyBorder="1" applyProtection="1">
      <protection locked="0"/>
    </xf>
    <xf numFmtId="0" fontId="20" fillId="13" borderId="85" xfId="0" applyFont="1" applyFill="1" applyBorder="1" applyProtection="1">
      <protection locked="0"/>
    </xf>
    <xf numFmtId="0" fontId="20" fillId="13" borderId="19" xfId="0" applyFont="1" applyFill="1" applyBorder="1" applyProtection="1">
      <protection locked="0"/>
    </xf>
    <xf numFmtId="0" fontId="20" fillId="0" borderId="42" xfId="5" applyFont="1" applyBorder="1"/>
    <xf numFmtId="11" fontId="20" fillId="13" borderId="43" xfId="5" applyNumberFormat="1" applyFont="1" applyFill="1" applyBorder="1" applyAlignment="1" applyProtection="1">
      <alignment horizontal="center" vertical="center"/>
      <protection locked="0"/>
    </xf>
    <xf numFmtId="11" fontId="20" fillId="13" borderId="44" xfId="5" applyNumberFormat="1" applyFont="1" applyFill="1" applyBorder="1" applyAlignment="1" applyProtection="1">
      <alignment horizontal="center" vertical="center"/>
      <protection locked="0"/>
    </xf>
    <xf numFmtId="11" fontId="20" fillId="13" borderId="42" xfId="5" applyNumberFormat="1" applyFont="1" applyFill="1" applyBorder="1" applyAlignment="1" applyProtection="1">
      <alignment horizontal="center" vertical="center"/>
      <protection locked="0"/>
    </xf>
    <xf numFmtId="0" fontId="1" fillId="0" borderId="216" xfId="5" applyFont="1" applyBorder="1"/>
    <xf numFmtId="0" fontId="20" fillId="0" borderId="121" xfId="0" applyFont="1" applyBorder="1" applyAlignment="1" applyProtection="1">
      <alignment horizontal="left" vertical="center" indent="1"/>
    </xf>
    <xf numFmtId="168" fontId="21" fillId="0" borderId="108" xfId="4" applyNumberFormat="1" applyFont="1" applyBorder="1" applyAlignment="1" applyProtection="1">
      <alignment horizontal="right" indent="1"/>
    </xf>
    <xf numFmtId="0" fontId="20" fillId="0" borderId="98" xfId="0" applyFont="1" applyBorder="1"/>
    <xf numFmtId="168" fontId="21" fillId="0" borderId="98" xfId="4" applyNumberFormat="1" applyFont="1" applyBorder="1" applyAlignment="1" applyProtection="1">
      <alignment horizontal="right" indent="1"/>
    </xf>
    <xf numFmtId="0" fontId="20" fillId="0" borderId="218" xfId="5" applyFont="1" applyBorder="1"/>
    <xf numFmtId="9" fontId="21" fillId="8" borderId="219" xfId="4" applyFont="1" applyFill="1" applyBorder="1" applyAlignment="1" applyProtection="1">
      <alignment vertical="top"/>
    </xf>
    <xf numFmtId="166" fontId="21" fillId="0" borderId="219" xfId="0" applyNumberFormat="1" applyFont="1" applyBorder="1" applyAlignment="1" applyProtection="1">
      <alignment horizontal="right" vertical="top" indent="1"/>
    </xf>
    <xf numFmtId="0" fontId="29" fillId="3" borderId="219" xfId="0" applyFont="1" applyFill="1" applyBorder="1" applyAlignment="1" applyProtection="1">
      <alignment horizontal="center"/>
    </xf>
    <xf numFmtId="0" fontId="29" fillId="3" borderId="220" xfId="0" applyFont="1" applyFill="1" applyBorder="1" applyAlignment="1" applyProtection="1">
      <alignment horizontal="center"/>
    </xf>
    <xf numFmtId="0" fontId="20" fillId="0" borderId="92" xfId="5" applyFont="1" applyBorder="1"/>
    <xf numFmtId="9" fontId="21" fillId="8" borderId="16" xfId="4" applyFont="1" applyFill="1" applyBorder="1" applyAlignment="1" applyProtection="1">
      <alignment vertical="top"/>
    </xf>
    <xf numFmtId="0" fontId="29" fillId="3" borderId="38" xfId="0" applyFont="1" applyFill="1" applyBorder="1" applyAlignment="1" applyProtection="1">
      <alignment horizontal="center"/>
    </xf>
    <xf numFmtId="0" fontId="20" fillId="0" borderId="174" xfId="5" applyFont="1" applyBorder="1"/>
    <xf numFmtId="0" fontId="29" fillId="3" borderId="133" xfId="0" applyFont="1" applyFill="1" applyBorder="1" applyAlignment="1" applyProtection="1">
      <alignment horizontal="center"/>
    </xf>
    <xf numFmtId="0" fontId="21" fillId="0" borderId="219" xfId="0" applyFont="1" applyFill="1" applyBorder="1" applyAlignment="1">
      <alignment vertical="top"/>
    </xf>
    <xf numFmtId="9" fontId="20" fillId="13" borderId="219" xfId="4" applyFont="1" applyFill="1" applyBorder="1" applyAlignment="1" applyProtection="1">
      <alignment horizontal="right" vertical="top" indent="2"/>
      <protection locked="0"/>
    </xf>
    <xf numFmtId="9" fontId="20" fillId="13" borderId="16" xfId="4" applyFont="1" applyFill="1" applyBorder="1" applyAlignment="1" applyProtection="1">
      <alignment horizontal="right" vertical="top" indent="2"/>
      <protection locked="0"/>
    </xf>
    <xf numFmtId="166" fontId="21" fillId="0" borderId="206" xfId="0" applyNumberFormat="1" applyFont="1" applyBorder="1" applyAlignment="1" applyProtection="1">
      <alignment horizontal="right" indent="1"/>
    </xf>
    <xf numFmtId="0" fontId="20" fillId="0" borderId="177" xfId="0" applyFont="1" applyBorder="1" applyAlignment="1" applyProtection="1">
      <alignment horizontal="left" vertical="center" wrapText="1"/>
    </xf>
    <xf numFmtId="0" fontId="20" fillId="0" borderId="189" xfId="0" applyFont="1" applyBorder="1" applyAlignment="1" applyProtection="1">
      <alignment horizontal="left" vertical="center" wrapText="1"/>
    </xf>
    <xf numFmtId="0" fontId="20" fillId="0" borderId="177" xfId="0" applyFont="1" applyBorder="1" applyAlignment="1" applyProtection="1">
      <alignment horizontal="center" vertical="center" wrapText="1"/>
    </xf>
    <xf numFmtId="0" fontId="20" fillId="0" borderId="178" xfId="0" applyFont="1" applyBorder="1" applyAlignment="1" applyProtection="1">
      <alignment horizontal="center" vertical="center" wrapText="1"/>
    </xf>
    <xf numFmtId="0" fontId="20" fillId="0" borderId="175" xfId="0" applyFont="1" applyBorder="1" applyAlignment="1" applyProtection="1">
      <alignment horizontal="center" vertical="center" wrapText="1"/>
    </xf>
    <xf numFmtId="0" fontId="20" fillId="0" borderId="188" xfId="0" applyFont="1" applyBorder="1" applyAlignment="1" applyProtection="1">
      <alignment horizontal="center" vertical="center" wrapText="1"/>
    </xf>
    <xf numFmtId="0" fontId="20" fillId="0" borderId="217" xfId="0" applyFont="1" applyBorder="1" applyAlignment="1" applyProtection="1">
      <alignment horizontal="center" vertical="center" wrapText="1"/>
    </xf>
    <xf numFmtId="0" fontId="20" fillId="0" borderId="189" xfId="0" applyFont="1" applyBorder="1" applyAlignment="1" applyProtection="1">
      <alignment horizontal="center" vertical="center" wrapText="1"/>
    </xf>
    <xf numFmtId="0" fontId="20" fillId="0" borderId="23" xfId="0" applyFont="1" applyBorder="1" applyAlignment="1" applyProtection="1">
      <alignment horizontal="center" vertical="center" wrapText="1"/>
    </xf>
    <xf numFmtId="0" fontId="20" fillId="0" borderId="41" xfId="0" applyFont="1" applyBorder="1" applyAlignment="1" applyProtection="1">
      <alignment horizontal="center" vertical="center" wrapText="1"/>
    </xf>
    <xf numFmtId="0" fontId="20" fillId="0" borderId="40" xfId="0" applyFont="1" applyBorder="1" applyAlignment="1" applyProtection="1">
      <alignment horizontal="center" vertical="center" wrapText="1"/>
    </xf>
    <xf numFmtId="0" fontId="20" fillId="0" borderId="23" xfId="0" applyFont="1" applyBorder="1" applyAlignment="1" applyProtection="1">
      <alignment vertical="center" wrapText="1"/>
    </xf>
    <xf numFmtId="0" fontId="20" fillId="0" borderId="41" xfId="0" applyFont="1" applyBorder="1" applyAlignment="1" applyProtection="1">
      <alignment vertical="center" wrapText="1"/>
    </xf>
    <xf numFmtId="0" fontId="20" fillId="0" borderId="121" xfId="0" applyFont="1" applyBorder="1" applyAlignment="1" applyProtection="1">
      <alignment horizontal="left" vertical="center" wrapText="1"/>
    </xf>
    <xf numFmtId="0" fontId="21" fillId="0" borderId="6" xfId="0" applyFont="1" applyBorder="1" applyAlignment="1" applyProtection="1">
      <alignment horizontal="left" vertical="center"/>
    </xf>
    <xf numFmtId="0" fontId="21" fillId="0" borderId="32" xfId="0" applyFont="1" applyBorder="1" applyAlignment="1" applyProtection="1">
      <alignment horizontal="left" vertical="center"/>
    </xf>
    <xf numFmtId="0" fontId="21" fillId="0" borderId="9" xfId="0" applyFont="1" applyBorder="1" applyAlignment="1" applyProtection="1">
      <alignment horizontal="left" vertical="center"/>
    </xf>
    <xf numFmtId="0" fontId="20" fillId="13" borderId="43" xfId="0" applyFont="1" applyFill="1" applyBorder="1" applyAlignment="1" applyProtection="1">
      <alignment horizontal="right" indent="1"/>
      <protection locked="0"/>
    </xf>
    <xf numFmtId="0" fontId="20" fillId="13" borderId="44" xfId="0" applyFont="1" applyFill="1" applyBorder="1" applyAlignment="1" applyProtection="1">
      <alignment horizontal="right" indent="1"/>
      <protection locked="0"/>
    </xf>
    <xf numFmtId="0" fontId="20" fillId="13" borderId="221" xfId="0" applyFont="1" applyFill="1" applyBorder="1" applyAlignment="1" applyProtection="1">
      <alignment vertical="top"/>
      <protection locked="0"/>
    </xf>
    <xf numFmtId="168" fontId="20" fillId="13" borderId="219" xfId="4" applyNumberFormat="1" applyFont="1" applyFill="1" applyBorder="1" applyAlignment="1" applyProtection="1">
      <alignment horizontal="right" indent="1"/>
      <protection locked="0"/>
    </xf>
    <xf numFmtId="168" fontId="20" fillId="13" borderId="221" xfId="4" applyNumberFormat="1" applyFont="1" applyFill="1" applyBorder="1" applyAlignment="1" applyProtection="1">
      <alignment horizontal="right" vertical="top" indent="1"/>
      <protection locked="0"/>
    </xf>
    <xf numFmtId="0" fontId="20" fillId="13" borderId="222" xfId="0" applyFont="1" applyFill="1" applyBorder="1" applyAlignment="1" applyProtection="1">
      <alignment horizontal="center" vertical="center"/>
      <protection locked="0"/>
    </xf>
    <xf numFmtId="0" fontId="20" fillId="13" borderId="223" xfId="0" applyFont="1" applyFill="1" applyBorder="1" applyAlignment="1" applyProtection="1">
      <alignment horizontal="center" vertical="center"/>
      <protection locked="0"/>
    </xf>
    <xf numFmtId="9" fontId="20" fillId="13" borderId="221" xfId="4" applyFont="1" applyFill="1" applyBorder="1" applyAlignment="1" applyProtection="1">
      <alignment horizontal="right" vertical="top" indent="1"/>
      <protection locked="0"/>
    </xf>
    <xf numFmtId="0" fontId="75" fillId="0" borderId="0" xfId="0" applyFont="1"/>
    <xf numFmtId="0" fontId="20" fillId="34" borderId="196" xfId="7" applyFont="1" applyFill="1" applyBorder="1" applyAlignment="1">
      <alignment horizontal="center" vertical="center" wrapText="1"/>
    </xf>
    <xf numFmtId="0" fontId="20" fillId="34" borderId="204" xfId="7" applyFont="1" applyFill="1" applyBorder="1" applyAlignment="1">
      <alignment horizontal="center" vertical="center" wrapText="1"/>
    </xf>
    <xf numFmtId="0" fontId="20" fillId="34" borderId="203" xfId="7" applyFont="1" applyFill="1" applyBorder="1" applyAlignment="1">
      <alignment horizontal="center" vertical="center" wrapText="1"/>
    </xf>
    <xf numFmtId="0" fontId="20" fillId="34" borderId="202" xfId="7" applyFont="1" applyFill="1" applyBorder="1" applyAlignment="1">
      <alignment horizontal="center" vertical="center" wrapText="1"/>
    </xf>
    <xf numFmtId="0" fontId="20" fillId="34" borderId="216" xfId="7" applyFont="1" applyFill="1" applyBorder="1" applyAlignment="1">
      <alignment horizontal="center" vertical="center" wrapText="1"/>
    </xf>
    <xf numFmtId="0" fontId="20" fillId="34" borderId="200" xfId="7" applyFont="1" applyFill="1" applyBorder="1" applyAlignment="1">
      <alignment horizontal="center" vertical="center" wrapText="1"/>
    </xf>
    <xf numFmtId="0" fontId="20" fillId="2" borderId="204" xfId="7" applyFont="1" applyFill="1" applyBorder="1" applyAlignment="1">
      <alignment horizontal="center" vertical="center" wrapText="1"/>
    </xf>
    <xf numFmtId="0" fontId="20" fillId="2" borderId="203" xfId="7" applyFont="1" applyFill="1" applyBorder="1" applyAlignment="1">
      <alignment horizontal="center" vertical="center" wrapText="1"/>
    </xf>
    <xf numFmtId="0" fontId="20" fillId="2" borderId="201" xfId="7" applyFont="1" applyFill="1" applyBorder="1" applyAlignment="1">
      <alignment horizontal="center" vertical="center" wrapText="1"/>
    </xf>
    <xf numFmtId="0" fontId="20" fillId="2" borderId="196" xfId="7" applyFont="1" applyFill="1" applyBorder="1" applyAlignment="1">
      <alignment horizontal="center" vertical="center" wrapText="1"/>
    </xf>
    <xf numFmtId="0" fontId="20" fillId="2" borderId="202" xfId="7" applyFont="1" applyFill="1" applyBorder="1" applyAlignment="1">
      <alignment horizontal="center" vertical="center" wrapText="1"/>
    </xf>
    <xf numFmtId="0" fontId="20" fillId="2" borderId="216" xfId="7" applyFont="1" applyFill="1" applyBorder="1" applyAlignment="1">
      <alignment horizontal="center" vertical="center" wrapText="1"/>
    </xf>
    <xf numFmtId="0" fontId="20" fillId="2" borderId="200" xfId="7" applyFont="1" applyFill="1" applyBorder="1" applyAlignment="1">
      <alignment horizontal="center" vertical="center" wrapText="1"/>
    </xf>
    <xf numFmtId="0" fontId="75" fillId="0" borderId="121" xfId="0" applyFont="1" applyBorder="1" applyAlignment="1">
      <alignment horizontal="left" vertical="center" wrapText="1" indent="1"/>
    </xf>
    <xf numFmtId="0" fontId="75" fillId="0" borderId="224" xfId="0" applyFont="1" applyBorder="1" applyAlignment="1">
      <alignment horizontal="left" vertical="center" wrapText="1" indent="1"/>
    </xf>
    <xf numFmtId="169" fontId="75" fillId="16" borderId="225" xfId="0" applyNumberFormat="1" applyFont="1" applyFill="1" applyBorder="1" applyAlignment="1" applyProtection="1">
      <alignment horizontal="left" vertical="center" wrapText="1" indent="1"/>
      <protection locked="0"/>
    </xf>
    <xf numFmtId="169" fontId="75" fillId="36" borderId="226" xfId="0" applyNumberFormat="1" applyFont="1" applyFill="1" applyBorder="1" applyAlignment="1" applyProtection="1">
      <alignment horizontal="left" vertical="center" wrapText="1" indent="1"/>
      <protection locked="0"/>
    </xf>
    <xf numFmtId="169" fontId="75" fillId="36" borderId="227" xfId="0" applyNumberFormat="1" applyFont="1" applyFill="1" applyBorder="1" applyAlignment="1" applyProtection="1">
      <alignment horizontal="left" vertical="center" wrapText="1" indent="1"/>
      <protection locked="0"/>
    </xf>
    <xf numFmtId="169" fontId="75" fillId="36" borderId="228" xfId="0" applyNumberFormat="1" applyFont="1" applyFill="1" applyBorder="1" applyAlignment="1" applyProtection="1">
      <alignment horizontal="left" vertical="center" wrapText="1" indent="1"/>
      <protection locked="0"/>
    </xf>
    <xf numFmtId="169" fontId="75" fillId="36" borderId="229" xfId="0" applyNumberFormat="1" applyFont="1" applyFill="1" applyBorder="1" applyAlignment="1" applyProtection="1">
      <alignment horizontal="left" vertical="center" wrapText="1" indent="1"/>
      <protection locked="0"/>
    </xf>
    <xf numFmtId="0" fontId="75" fillId="0" borderId="23" xfId="0" applyFont="1" applyBorder="1" applyAlignment="1">
      <alignment horizontal="left" vertical="center" wrapText="1" indent="1"/>
    </xf>
    <xf numFmtId="0" fontId="75" fillId="0" borderId="50" xfId="0" applyFont="1" applyBorder="1" applyAlignment="1">
      <alignment horizontal="left" vertical="center" wrapText="1" indent="1"/>
    </xf>
    <xf numFmtId="169" fontId="75" fillId="16" borderId="230" xfId="0" applyNumberFormat="1" applyFont="1" applyFill="1" applyBorder="1" applyAlignment="1" applyProtection="1">
      <alignment horizontal="left" vertical="center" wrapText="1" indent="1"/>
      <protection locked="0"/>
    </xf>
    <xf numFmtId="169" fontId="75" fillId="36" borderId="231" xfId="0" applyNumberFormat="1" applyFont="1" applyFill="1" applyBorder="1" applyAlignment="1" applyProtection="1">
      <alignment horizontal="left" vertical="center" wrapText="1" indent="1"/>
      <protection locked="0"/>
    </xf>
    <xf numFmtId="169" fontId="75" fillId="36" borderId="232" xfId="0" applyNumberFormat="1" applyFont="1" applyFill="1" applyBorder="1" applyAlignment="1" applyProtection="1">
      <alignment horizontal="left" vertical="center" wrapText="1" indent="1"/>
      <protection locked="0"/>
    </xf>
    <xf numFmtId="169" fontId="75" fillId="36" borderId="233" xfId="0" applyNumberFormat="1" applyFont="1" applyFill="1" applyBorder="1" applyAlignment="1" applyProtection="1">
      <alignment horizontal="left" vertical="center" wrapText="1" indent="1"/>
      <protection locked="0"/>
    </xf>
    <xf numFmtId="169" fontId="75" fillId="36" borderId="234" xfId="0" applyNumberFormat="1" applyFont="1" applyFill="1" applyBorder="1" applyAlignment="1" applyProtection="1">
      <alignment horizontal="left" vertical="center" wrapText="1" indent="1"/>
      <protection locked="0"/>
    </xf>
    <xf numFmtId="0" fontId="0" fillId="0" borderId="23" xfId="0" applyBorder="1" applyAlignment="1">
      <alignment horizontal="left" vertical="center" wrapText="1" indent="1"/>
    </xf>
    <xf numFmtId="0" fontId="75" fillId="0" borderId="31" xfId="0" applyFont="1" applyBorder="1" applyAlignment="1">
      <alignment horizontal="left" vertical="center" wrapText="1" indent="1"/>
    </xf>
    <xf numFmtId="0" fontId="75" fillId="0" borderId="145" xfId="0" applyFont="1" applyBorder="1" applyAlignment="1">
      <alignment horizontal="left" vertical="center" wrapText="1" indent="1"/>
    </xf>
    <xf numFmtId="169" fontId="75" fillId="16" borderId="235" xfId="0" applyNumberFormat="1" applyFont="1" applyFill="1" applyBorder="1" applyAlignment="1" applyProtection="1">
      <alignment horizontal="left" vertical="center" wrapText="1" indent="1"/>
      <protection locked="0"/>
    </xf>
    <xf numFmtId="169" fontId="75" fillId="36" borderId="236" xfId="0" applyNumberFormat="1" applyFont="1" applyFill="1" applyBorder="1" applyAlignment="1" applyProtection="1">
      <alignment horizontal="left" vertical="center" wrapText="1" indent="1"/>
      <protection locked="0"/>
    </xf>
    <xf numFmtId="169" fontId="75" fillId="36" borderId="237" xfId="0" applyNumberFormat="1" applyFont="1" applyFill="1" applyBorder="1" applyAlignment="1" applyProtection="1">
      <alignment horizontal="left" vertical="center" wrapText="1" indent="1"/>
      <protection locked="0"/>
    </xf>
    <xf numFmtId="169" fontId="75" fillId="36" borderId="238" xfId="0" applyNumberFormat="1" applyFont="1" applyFill="1" applyBorder="1" applyAlignment="1" applyProtection="1">
      <alignment horizontal="left" vertical="center" wrapText="1" indent="1"/>
      <protection locked="0"/>
    </xf>
    <xf numFmtId="169" fontId="75" fillId="36" borderId="239" xfId="0" applyNumberFormat="1" applyFont="1" applyFill="1" applyBorder="1" applyAlignment="1" applyProtection="1">
      <alignment horizontal="left" vertical="center" wrapText="1" indent="1"/>
      <protection locked="0"/>
    </xf>
    <xf numFmtId="169" fontId="75" fillId="16" borderId="226" xfId="0" applyNumberFormat="1" applyFont="1" applyFill="1" applyBorder="1" applyAlignment="1" applyProtection="1">
      <alignment horizontal="left" vertical="center" wrapText="1" indent="1"/>
      <protection locked="0"/>
    </xf>
    <xf numFmtId="169" fontId="75" fillId="16" borderId="228" xfId="0" applyNumberFormat="1" applyFont="1" applyFill="1" applyBorder="1" applyAlignment="1" applyProtection="1">
      <alignment horizontal="left" vertical="center" wrapText="1" indent="1"/>
      <protection locked="0"/>
    </xf>
    <xf numFmtId="169" fontId="75" fillId="16" borderId="231" xfId="0" applyNumberFormat="1" applyFont="1" applyFill="1" applyBorder="1" applyAlignment="1" applyProtection="1">
      <alignment horizontal="left" vertical="center" wrapText="1" indent="1"/>
      <protection locked="0"/>
    </xf>
    <xf numFmtId="169" fontId="75" fillId="16" borderId="233" xfId="0" applyNumberFormat="1" applyFont="1" applyFill="1" applyBorder="1" applyAlignment="1" applyProtection="1">
      <alignment horizontal="left" vertical="center" wrapText="1" indent="1"/>
      <protection locked="0"/>
    </xf>
    <xf numFmtId="169" fontId="75" fillId="16" borderId="236" xfId="0" applyNumberFormat="1" applyFont="1" applyFill="1" applyBorder="1" applyAlignment="1" applyProtection="1">
      <alignment horizontal="left" vertical="center" wrapText="1" indent="1"/>
      <protection locked="0"/>
    </xf>
    <xf numFmtId="169" fontId="75" fillId="16" borderId="238" xfId="0" applyNumberFormat="1" applyFont="1" applyFill="1" applyBorder="1" applyAlignment="1" applyProtection="1">
      <alignment horizontal="left" vertical="center" wrapText="1" indent="1"/>
      <protection locked="0"/>
    </xf>
    <xf numFmtId="169" fontId="75" fillId="16" borderId="229" xfId="0" applyNumberFormat="1" applyFont="1" applyFill="1" applyBorder="1" applyAlignment="1" applyProtection="1">
      <alignment horizontal="left" vertical="center" wrapText="1" indent="1"/>
      <protection locked="0"/>
    </xf>
    <xf numFmtId="169" fontId="75" fillId="16" borderId="234" xfId="0" applyNumberFormat="1" applyFont="1" applyFill="1" applyBorder="1" applyAlignment="1" applyProtection="1">
      <alignment horizontal="left" vertical="center" wrapText="1" indent="1"/>
      <protection locked="0"/>
    </xf>
    <xf numFmtId="169" fontId="75" fillId="16" borderId="239" xfId="0" applyNumberFormat="1" applyFont="1" applyFill="1" applyBorder="1" applyAlignment="1" applyProtection="1">
      <alignment horizontal="left" vertical="center" wrapText="1" indent="1"/>
      <protection locked="0"/>
    </xf>
    <xf numFmtId="169" fontId="21" fillId="0" borderId="0" xfId="11" applyNumberFormat="1" applyFont="1" applyFill="1" applyBorder="1" applyAlignment="1">
      <alignment horizontal="right" indent="1"/>
    </xf>
    <xf numFmtId="0" fontId="20" fillId="2" borderId="199" xfId="7" applyFont="1" applyFill="1" applyBorder="1" applyAlignment="1">
      <alignment horizontal="center" vertical="center" wrapText="1"/>
    </xf>
    <xf numFmtId="0" fontId="14" fillId="0" borderId="0" xfId="0" applyFont="1" applyAlignment="1">
      <alignment wrapText="1"/>
    </xf>
    <xf numFmtId="0" fontId="15" fillId="0" borderId="0" xfId="0" applyFont="1"/>
    <xf numFmtId="0" fontId="20" fillId="25" borderId="116" xfId="0" applyFont="1" applyFill="1" applyBorder="1" applyAlignment="1" applyProtection="1">
      <alignment horizontal="center" vertical="center"/>
    </xf>
    <xf numFmtId="0" fontId="20" fillId="37" borderId="240" xfId="11" applyNumberFormat="1" applyFont="1" applyFill="1" applyBorder="1" applyAlignment="1">
      <alignment horizontal="right" indent="1"/>
    </xf>
    <xf numFmtId="0" fontId="20" fillId="37" borderId="184" xfId="11" applyNumberFormat="1" applyFont="1" applyFill="1" applyBorder="1" applyAlignment="1">
      <alignment horizontal="right" indent="1"/>
    </xf>
    <xf numFmtId="0" fontId="20" fillId="37" borderId="182" xfId="11" applyNumberFormat="1" applyFont="1" applyFill="1" applyBorder="1" applyAlignment="1">
      <alignment horizontal="right" indent="1"/>
    </xf>
    <xf numFmtId="0" fontId="21" fillId="0" borderId="196" xfId="11" applyFont="1" applyFill="1" applyBorder="1" applyAlignment="1">
      <alignment vertical="center"/>
    </xf>
    <xf numFmtId="0" fontId="21" fillId="0" borderId="216" xfId="11" applyFont="1" applyFill="1" applyBorder="1" applyAlignment="1">
      <alignment vertical="center"/>
    </xf>
    <xf numFmtId="0" fontId="20" fillId="0" borderId="198" xfId="11" applyFont="1" applyFill="1" applyBorder="1" applyAlignment="1">
      <alignment horizontal="center" vertical="center"/>
    </xf>
    <xf numFmtId="169" fontId="75" fillId="0" borderId="184" xfId="0" applyNumberFormat="1" applyFont="1" applyFill="1" applyBorder="1" applyAlignment="1" applyProtection="1">
      <alignment horizontal="left" vertical="center" wrapText="1" indent="1"/>
    </xf>
    <xf numFmtId="169" fontId="75" fillId="0" borderId="240" xfId="0" applyNumberFormat="1" applyFont="1" applyFill="1" applyBorder="1" applyAlignment="1" applyProtection="1">
      <alignment horizontal="left" vertical="center" wrapText="1" indent="1"/>
    </xf>
    <xf numFmtId="0" fontId="20" fillId="37" borderId="241" xfId="11" applyNumberFormat="1" applyFont="1" applyFill="1" applyBorder="1" applyAlignment="1">
      <alignment horizontal="right" indent="1"/>
    </xf>
    <xf numFmtId="0" fontId="15" fillId="0" borderId="23" xfId="3" applyFont="1" applyFill="1" applyBorder="1" applyAlignment="1" applyProtection="1">
      <alignment horizontal="left" vertical="center" wrapText="1"/>
    </xf>
    <xf numFmtId="0" fontId="15" fillId="0" borderId="23" xfId="3" applyFont="1" applyBorder="1" applyAlignment="1" applyProtection="1">
      <alignment vertical="center"/>
    </xf>
    <xf numFmtId="0" fontId="15" fillId="0" borderId="23" xfId="3" applyFont="1" applyBorder="1" applyAlignment="1" applyProtection="1">
      <alignment horizontal="left" vertical="center" wrapText="1"/>
    </xf>
    <xf numFmtId="0" fontId="21" fillId="0" borderId="23" xfId="11" applyFont="1" applyFill="1" applyBorder="1" applyAlignment="1">
      <alignment vertical="center"/>
    </xf>
    <xf numFmtId="0" fontId="14" fillId="0" borderId="23" xfId="3" applyFont="1" applyBorder="1" applyAlignment="1" applyProtection="1">
      <alignment horizontal="left" vertical="center"/>
    </xf>
    <xf numFmtId="0" fontId="20" fillId="23" borderId="23" xfId="0" applyFont="1" applyFill="1" applyBorder="1" applyAlignment="1" applyProtection="1">
      <alignment horizontal="right" vertical="center"/>
    </xf>
    <xf numFmtId="169" fontId="21" fillId="23" borderId="23" xfId="1" applyNumberFormat="1" applyFont="1" applyFill="1" applyBorder="1" applyAlignment="1" applyProtection="1">
      <alignment vertical="center"/>
    </xf>
    <xf numFmtId="0" fontId="20" fillId="0" borderId="23" xfId="0" applyFont="1" applyBorder="1" applyAlignment="1" applyProtection="1">
      <alignment horizontal="left" vertical="center"/>
    </xf>
    <xf numFmtId="0" fontId="21" fillId="0" borderId="23" xfId="0" applyFont="1" applyFill="1" applyBorder="1" applyAlignment="1" applyProtection="1">
      <alignment vertical="center"/>
    </xf>
    <xf numFmtId="0" fontId="21" fillId="0" borderId="23" xfId="0" applyFont="1" applyBorder="1" applyAlignment="1" applyProtection="1">
      <alignment horizontal="left" vertical="center" wrapText="1"/>
    </xf>
    <xf numFmtId="0" fontId="21" fillId="0" borderId="23" xfId="0" applyFont="1" applyBorder="1" applyAlignment="1" applyProtection="1">
      <alignment vertical="center"/>
    </xf>
    <xf numFmtId="0" fontId="21" fillId="23" borderId="23" xfId="0" applyFont="1" applyFill="1" applyBorder="1" applyAlignment="1" applyProtection="1">
      <alignment horizontal="right" vertical="center"/>
    </xf>
    <xf numFmtId="0" fontId="21" fillId="0" borderId="23" xfId="11" applyFont="1" applyFill="1" applyBorder="1" applyAlignment="1">
      <alignment horizontal="right" vertical="center"/>
    </xf>
    <xf numFmtId="0" fontId="21" fillId="0" borderId="23" xfId="0" applyFont="1" applyBorder="1" applyAlignment="1" applyProtection="1">
      <alignment horizontal="left" vertical="center"/>
    </xf>
    <xf numFmtId="1" fontId="20" fillId="0" borderId="15" xfId="0" applyNumberFormat="1" applyFont="1" applyBorder="1" applyAlignment="1">
      <alignment horizontal="right" indent="1"/>
    </xf>
    <xf numFmtId="1" fontId="20" fillId="0" borderId="16" xfId="0" applyNumberFormat="1" applyFont="1" applyBorder="1" applyAlignment="1">
      <alignment horizontal="right" indent="1"/>
    </xf>
    <xf numFmtId="1" fontId="20" fillId="0" borderId="108" xfId="0" applyNumberFormat="1" applyFont="1" applyBorder="1" applyAlignment="1">
      <alignment horizontal="right" indent="1"/>
    </xf>
    <xf numFmtId="1" fontId="20" fillId="0" borderId="98" xfId="0" applyNumberFormat="1" applyFont="1" applyBorder="1" applyAlignment="1">
      <alignment horizontal="right" indent="1"/>
    </xf>
    <xf numFmtId="1" fontId="20" fillId="0" borderId="19" xfId="0" applyNumberFormat="1" applyFont="1" applyBorder="1" applyAlignment="1">
      <alignment horizontal="right" indent="1"/>
    </xf>
    <xf numFmtId="1" fontId="21" fillId="0" borderId="174" xfId="4" applyNumberFormat="1" applyFont="1" applyBorder="1" applyAlignment="1" applyProtection="1">
      <alignment horizontal="right" indent="1"/>
    </xf>
    <xf numFmtId="168" fontId="21" fillId="0" borderId="133" xfId="4" applyNumberFormat="1" applyFont="1" applyBorder="1" applyAlignment="1" applyProtection="1">
      <alignment horizontal="right" indent="1"/>
    </xf>
    <xf numFmtId="0" fontId="21" fillId="0" borderId="0" xfId="0" applyFont="1" applyAlignment="1" applyProtection="1">
      <alignment horizontal="center" vertical="center" wrapText="1"/>
    </xf>
    <xf numFmtId="0" fontId="21" fillId="0" borderId="93" xfId="0" applyFont="1" applyBorder="1" applyAlignment="1" applyProtection="1">
      <alignment horizontal="center" vertical="center" wrapText="1"/>
    </xf>
    <xf numFmtId="0" fontId="21" fillId="0" borderId="35" xfId="0" applyFont="1" applyBorder="1" applyAlignment="1" applyProtection="1">
      <alignment horizontal="center" vertical="center" wrapText="1"/>
    </xf>
    <xf numFmtId="0" fontId="21" fillId="14" borderId="93" xfId="0" applyFont="1" applyFill="1" applyBorder="1" applyAlignment="1" applyProtection="1">
      <alignment horizontal="center" vertical="center" wrapText="1"/>
    </xf>
    <xf numFmtId="0" fontId="21" fillId="14" borderId="35" xfId="0" applyFont="1" applyFill="1" applyBorder="1" applyAlignment="1" applyProtection="1">
      <alignment horizontal="center" vertical="center" wrapText="1"/>
    </xf>
    <xf numFmtId="0" fontId="21" fillId="14" borderId="55" xfId="0" applyFont="1" applyFill="1" applyBorder="1" applyAlignment="1" applyProtection="1">
      <alignment horizontal="center" vertical="center"/>
    </xf>
    <xf numFmtId="0" fontId="20" fillId="14" borderId="27"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0" fillId="2" borderId="102" xfId="0" applyFont="1" applyFill="1" applyBorder="1" applyAlignment="1" applyProtection="1">
      <alignment horizontal="center" vertical="center" wrapText="1"/>
    </xf>
    <xf numFmtId="0" fontId="22" fillId="0" borderId="0" xfId="11" applyFont="1" applyFill="1" applyBorder="1" applyAlignment="1">
      <alignment vertical="center"/>
    </xf>
    <xf numFmtId="0" fontId="20" fillId="2" borderId="23" xfId="0" applyFont="1" applyFill="1" applyBorder="1" applyAlignment="1" applyProtection="1">
      <alignment horizontal="left" vertical="center" wrapText="1"/>
    </xf>
    <xf numFmtId="0" fontId="22" fillId="0" borderId="0" xfId="11" applyFont="1" applyFill="1" applyBorder="1"/>
    <xf numFmtId="0" fontId="24" fillId="0" borderId="0" xfId="11" applyFont="1" applyFill="1" applyBorder="1" applyAlignment="1">
      <alignment vertical="center"/>
    </xf>
    <xf numFmtId="44" fontId="0" fillId="0" borderId="0" xfId="0" applyNumberFormat="1" applyProtection="1"/>
    <xf numFmtId="0" fontId="21" fillId="0" borderId="0" xfId="0" applyFont="1" applyBorder="1" applyAlignment="1" applyProtection="1">
      <alignment horizontal="right" vertical="top" indent="1"/>
    </xf>
    <xf numFmtId="0" fontId="29" fillId="3" borderId="0" xfId="0" applyFont="1" applyFill="1" applyBorder="1" applyAlignment="1" applyProtection="1">
      <alignment horizontal="right" indent="1"/>
    </xf>
    <xf numFmtId="0" fontId="29" fillId="3" borderId="61" xfId="0" applyFont="1" applyFill="1" applyBorder="1" applyAlignment="1" applyProtection="1">
      <alignment horizontal="right" indent="1"/>
    </xf>
    <xf numFmtId="0" fontId="20" fillId="2" borderId="137" xfId="0" applyFont="1" applyFill="1" applyBorder="1" applyAlignment="1" applyProtection="1">
      <alignment horizontal="center" vertical="top" wrapText="1"/>
    </xf>
    <xf numFmtId="1" fontId="20" fillId="2" borderId="137" xfId="0" applyNumberFormat="1" applyFont="1" applyFill="1" applyBorder="1" applyAlignment="1" applyProtection="1">
      <alignment horizontal="center" vertical="top" wrapText="1"/>
    </xf>
    <xf numFmtId="3" fontId="21" fillId="0" borderId="0" xfId="7" applyNumberFormat="1" applyFont="1"/>
    <xf numFmtId="0" fontId="20" fillId="0" borderId="0" xfId="7" applyFont="1" applyBorder="1"/>
    <xf numFmtId="0" fontId="21" fillId="0" borderId="0" xfId="7" applyFont="1" applyBorder="1"/>
    <xf numFmtId="0" fontId="21" fillId="0" borderId="0" xfId="0" applyFont="1" applyFill="1" applyAlignment="1">
      <alignment horizontal="left" wrapText="1"/>
    </xf>
    <xf numFmtId="0" fontId="13" fillId="7" borderId="0" xfId="0" applyFont="1" applyFill="1" applyAlignment="1">
      <alignment horizontal="center" vertical="center"/>
    </xf>
    <xf numFmtId="0" fontId="4" fillId="2" borderId="20" xfId="0" applyFont="1" applyFill="1" applyBorder="1" applyAlignment="1">
      <alignment horizontal="left" indent="1"/>
    </xf>
    <xf numFmtId="0" fontId="26" fillId="5" borderId="22" xfId="0" applyFont="1" applyFill="1" applyBorder="1" applyAlignment="1">
      <alignment horizontal="left" vertical="top" indent="1"/>
    </xf>
    <xf numFmtId="0" fontId="40" fillId="0" borderId="137" xfId="0" applyFont="1" applyFill="1" applyBorder="1" applyAlignment="1">
      <alignment horizontal="left" vertical="center" wrapText="1"/>
    </xf>
    <xf numFmtId="0" fontId="22" fillId="0" borderId="0" xfId="0" applyFont="1" applyAlignment="1">
      <alignment wrapText="1"/>
    </xf>
    <xf numFmtId="0" fontId="22" fillId="0" borderId="0" xfId="0" applyFont="1" applyAlignment="1">
      <alignment vertical="center" wrapText="1"/>
    </xf>
    <xf numFmtId="0" fontId="20" fillId="0" borderId="0" xfId="0" applyFont="1" applyAlignment="1">
      <alignment horizontal="left" vertical="center" wrapText="1"/>
    </xf>
    <xf numFmtId="0" fontId="26" fillId="5" borderId="22" xfId="0" applyFont="1" applyFill="1" applyBorder="1" applyAlignment="1">
      <alignment horizontal="left" vertical="top"/>
    </xf>
    <xf numFmtId="2" fontId="20" fillId="0" borderId="52" xfId="0" applyNumberFormat="1" applyFont="1" applyBorder="1" applyAlignment="1">
      <alignment horizontal="left"/>
    </xf>
    <xf numFmtId="2" fontId="20" fillId="0" borderId="5" xfId="0" applyNumberFormat="1" applyFont="1" applyBorder="1" applyAlignment="1">
      <alignment horizontal="left"/>
    </xf>
    <xf numFmtId="2" fontId="20" fillId="0" borderId="25" xfId="0" applyNumberFormat="1" applyFont="1" applyBorder="1" applyAlignment="1">
      <alignment horizontal="left"/>
    </xf>
    <xf numFmtId="0" fontId="20" fillId="2" borderId="73" xfId="0" applyFont="1" applyFill="1" applyBorder="1" applyAlignment="1">
      <alignment horizontal="center"/>
    </xf>
    <xf numFmtId="2" fontId="22" fillId="0" borderId="0" xfId="0" applyNumberFormat="1" applyFont="1" applyFill="1" applyBorder="1" applyAlignment="1">
      <alignment horizontal="left" wrapText="1"/>
    </xf>
    <xf numFmtId="0" fontId="26" fillId="5" borderId="0" xfId="0" applyFont="1" applyFill="1" applyBorder="1" applyAlignment="1">
      <alignment horizontal="left" vertical="top"/>
    </xf>
    <xf numFmtId="0" fontId="31" fillId="0" borderId="0" xfId="0" applyFont="1" applyAlignment="1">
      <alignment horizontal="center" vertical="center" wrapText="1"/>
    </xf>
    <xf numFmtId="0" fontId="20" fillId="0" borderId="52"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25" xfId="0" applyFont="1" applyBorder="1" applyAlignment="1">
      <alignment horizontal="center" vertical="center" wrapText="1"/>
    </xf>
    <xf numFmtId="2" fontId="22" fillId="0" borderId="0" xfId="0" applyNumberFormat="1" applyFont="1" applyBorder="1" applyAlignment="1">
      <alignment horizontal="left" vertical="top" wrapText="1"/>
    </xf>
    <xf numFmtId="0" fontId="22" fillId="0" borderId="0" xfId="0" applyFont="1" applyBorder="1"/>
    <xf numFmtId="0" fontId="22" fillId="0" borderId="0" xfId="0" applyFont="1" applyBorder="1" applyAlignment="1">
      <alignment wrapText="1"/>
    </xf>
    <xf numFmtId="0" fontId="37" fillId="0" borderId="0" xfId="0" applyFont="1" applyAlignment="1">
      <alignment wrapText="1"/>
    </xf>
    <xf numFmtId="0" fontId="20" fillId="2" borderId="85" xfId="0" applyFont="1" applyFill="1" applyBorder="1" applyAlignment="1">
      <alignment horizontal="center"/>
    </xf>
    <xf numFmtId="0" fontId="31" fillId="0" borderId="129" xfId="0" applyFont="1" applyBorder="1" applyAlignment="1">
      <alignment horizontal="center" wrapText="1"/>
    </xf>
    <xf numFmtId="0" fontId="31" fillId="0" borderId="159" xfId="0" applyFont="1" applyBorder="1" applyAlignment="1">
      <alignment horizontal="center" wrapText="1"/>
    </xf>
    <xf numFmtId="0" fontId="31" fillId="0" borderId="130" xfId="0" applyFont="1" applyBorder="1" applyAlignment="1">
      <alignment horizontal="center" wrapText="1"/>
    </xf>
    <xf numFmtId="0" fontId="31" fillId="0" borderId="160" xfId="0" applyFont="1" applyBorder="1" applyAlignment="1">
      <alignment horizontal="center" wrapText="1"/>
    </xf>
    <xf numFmtId="0" fontId="31" fillId="0" borderId="161" xfId="0" applyFont="1" applyBorder="1" applyAlignment="1">
      <alignment horizontal="center" wrapText="1"/>
    </xf>
    <xf numFmtId="0" fontId="31" fillId="0" borderId="162" xfId="0" applyFont="1" applyBorder="1" applyAlignment="1">
      <alignment horizontal="center" wrapText="1"/>
    </xf>
    <xf numFmtId="0" fontId="22" fillId="0" borderId="0" xfId="0" applyFont="1" applyAlignment="1">
      <alignment horizontal="left" vertical="top" wrapText="1"/>
    </xf>
    <xf numFmtId="0" fontId="42" fillId="0" borderId="0" xfId="0" applyFont="1" applyAlignment="1">
      <alignment horizontal="left" vertical="top" wrapText="1"/>
    </xf>
    <xf numFmtId="0" fontId="42" fillId="0" borderId="0" xfId="0" applyFont="1" applyFill="1" applyAlignment="1">
      <alignment horizontal="left" vertical="top" wrapText="1"/>
    </xf>
    <xf numFmtId="0" fontId="20" fillId="2" borderId="145" xfId="0" applyFont="1" applyFill="1" applyBorder="1" applyAlignment="1">
      <alignment horizontal="center" vertical="top" wrapText="1"/>
    </xf>
    <xf numFmtId="0" fontId="20" fillId="2" borderId="146" xfId="0" applyFont="1" applyFill="1" applyBorder="1" applyAlignment="1">
      <alignment horizontal="center" vertical="top" wrapText="1"/>
    </xf>
    <xf numFmtId="0" fontId="20" fillId="2" borderId="144" xfId="0" applyFont="1" applyFill="1" applyBorder="1" applyAlignment="1">
      <alignment horizontal="center" vertical="top" wrapText="1"/>
    </xf>
    <xf numFmtId="0" fontId="21" fillId="0" borderId="158" xfId="0" applyFont="1" applyFill="1" applyBorder="1" applyAlignment="1">
      <alignment horizontal="left" vertical="top" wrapText="1"/>
    </xf>
    <xf numFmtId="0" fontId="21" fillId="0" borderId="21" xfId="0" applyFont="1" applyFill="1" applyBorder="1" applyAlignment="1">
      <alignment horizontal="left" vertical="top" wrapText="1"/>
    </xf>
    <xf numFmtId="0" fontId="21" fillId="0" borderId="76" xfId="0" applyFont="1" applyFill="1" applyBorder="1" applyAlignment="1">
      <alignment horizontal="left" vertical="top" wrapText="1"/>
    </xf>
    <xf numFmtId="0" fontId="21" fillId="0" borderId="157" xfId="0" applyFont="1" applyFill="1" applyBorder="1" applyAlignment="1">
      <alignment horizontal="left" vertical="top" wrapText="1"/>
    </xf>
    <xf numFmtId="0" fontId="21" fillId="0" borderId="20" xfId="0" applyFont="1" applyFill="1" applyBorder="1" applyAlignment="1">
      <alignment horizontal="left" vertical="top" wrapText="1"/>
    </xf>
    <xf numFmtId="0" fontId="21" fillId="0" borderId="27" xfId="0" applyFont="1" applyFill="1" applyBorder="1" applyAlignment="1">
      <alignment horizontal="left" vertical="top" wrapText="1"/>
    </xf>
    <xf numFmtId="0" fontId="21" fillId="0" borderId="82" xfId="0" applyFont="1" applyFill="1" applyBorder="1" applyAlignment="1">
      <alignment horizontal="left" vertical="top" wrapText="1"/>
    </xf>
    <xf numFmtId="0" fontId="21" fillId="0" borderId="14" xfId="0" applyFont="1" applyFill="1" applyBorder="1" applyAlignment="1">
      <alignment horizontal="left" vertical="top" wrapText="1"/>
    </xf>
    <xf numFmtId="0" fontId="21" fillId="0" borderId="60" xfId="0" applyFont="1" applyFill="1" applyBorder="1" applyAlignment="1">
      <alignment horizontal="left" vertical="top" wrapText="1"/>
    </xf>
    <xf numFmtId="0" fontId="21" fillId="0" borderId="84" xfId="0" applyFont="1" applyFill="1" applyBorder="1" applyAlignment="1">
      <alignment horizontal="left" vertical="top" wrapText="1"/>
    </xf>
    <xf numFmtId="0" fontId="21" fillId="0" borderId="125" xfId="0" applyFont="1" applyFill="1" applyBorder="1" applyAlignment="1">
      <alignment horizontal="left" vertical="top" wrapText="1"/>
    </xf>
    <xf numFmtId="0" fontId="21" fillId="0" borderId="59" xfId="0" applyFont="1" applyFill="1" applyBorder="1" applyAlignment="1">
      <alignment horizontal="left" vertical="top" wrapText="1"/>
    </xf>
    <xf numFmtId="0" fontId="20" fillId="34" borderId="145" xfId="7" applyFont="1" applyFill="1" applyBorder="1" applyAlignment="1" applyProtection="1">
      <alignment horizontal="center" vertical="center"/>
    </xf>
    <xf numFmtId="0" fontId="20" fillId="34" borderId="144" xfId="7" applyFont="1" applyFill="1" applyBorder="1" applyAlignment="1" applyProtection="1">
      <alignment horizontal="center" vertical="center"/>
    </xf>
    <xf numFmtId="0" fontId="20" fillId="0" borderId="52" xfId="0" applyFont="1" applyBorder="1" applyAlignment="1" applyProtection="1">
      <alignment horizontal="center"/>
    </xf>
    <xf numFmtId="0" fontId="20" fillId="0" borderId="5" xfId="0" applyFont="1" applyBorder="1" applyAlignment="1" applyProtection="1">
      <alignment horizontal="center"/>
    </xf>
    <xf numFmtId="0" fontId="26" fillId="5" borderId="0" xfId="0" applyFont="1" applyFill="1" applyBorder="1" applyAlignment="1" applyProtection="1">
      <alignment horizontal="left" vertical="top"/>
    </xf>
    <xf numFmtId="0" fontId="25" fillId="2" borderId="20" xfId="0" applyFont="1" applyFill="1" applyBorder="1" applyAlignment="1" applyProtection="1">
      <alignment horizontal="left" indent="1"/>
    </xf>
    <xf numFmtId="0" fontId="21" fillId="0" borderId="0" xfId="0" applyFont="1" applyAlignment="1" applyProtection="1">
      <alignment wrapText="1"/>
    </xf>
    <xf numFmtId="0" fontId="21" fillId="0" borderId="85" xfId="0" applyFont="1" applyBorder="1" applyAlignment="1" applyProtection="1">
      <alignment horizontal="left" wrapText="1"/>
    </xf>
    <xf numFmtId="0" fontId="20" fillId="0" borderId="129" xfId="0" applyFont="1" applyBorder="1" applyAlignment="1" applyProtection="1">
      <alignment horizontal="center" vertical="center" wrapText="1"/>
    </xf>
    <xf numFmtId="0" fontId="20" fillId="0" borderId="130" xfId="0" applyFont="1" applyBorder="1" applyAlignment="1" applyProtection="1">
      <alignment horizontal="center" vertical="center" wrapText="1"/>
    </xf>
    <xf numFmtId="0" fontId="58" fillId="0" borderId="176" xfId="0" applyFont="1" applyBorder="1" applyAlignment="1">
      <alignment horizontal="center" vertical="center" wrapText="1"/>
    </xf>
    <xf numFmtId="0" fontId="58" fillId="0" borderId="55" xfId="0" applyFont="1" applyBorder="1" applyAlignment="1">
      <alignment horizontal="center" vertical="center" wrapText="1"/>
    </xf>
    <xf numFmtId="0" fontId="58" fillId="0" borderId="74" xfId="0" applyFont="1" applyBorder="1" applyAlignment="1">
      <alignment horizontal="center" vertical="center" wrapText="1"/>
    </xf>
    <xf numFmtId="0" fontId="58" fillId="0" borderId="176" xfId="0" applyFont="1" applyBorder="1" applyAlignment="1">
      <alignment horizontal="center" wrapText="1"/>
    </xf>
    <xf numFmtId="0" fontId="58" fillId="0" borderId="55" xfId="0" applyFont="1" applyBorder="1" applyAlignment="1">
      <alignment horizontal="center" wrapText="1"/>
    </xf>
    <xf numFmtId="0" fontId="62" fillId="0" borderId="0" xfId="0" applyFont="1" applyFill="1" applyBorder="1" applyAlignment="1" applyProtection="1">
      <alignment horizontal="left" vertical="top" wrapText="1"/>
    </xf>
    <xf numFmtId="0" fontId="31" fillId="0" borderId="52" xfId="0" applyFont="1" applyBorder="1" applyAlignment="1" applyProtection="1">
      <alignment horizontal="center"/>
    </xf>
    <xf numFmtId="0" fontId="31" fillId="0" borderId="25" xfId="0" applyFont="1" applyBorder="1" applyAlignment="1" applyProtection="1">
      <alignment horizontal="center"/>
    </xf>
    <xf numFmtId="0" fontId="58" fillId="0" borderId="180" xfId="0" applyFont="1" applyBorder="1" applyAlignment="1">
      <alignment horizontal="center" wrapText="1"/>
    </xf>
    <xf numFmtId="0" fontId="58" fillId="0" borderId="118" xfId="0" applyFont="1" applyBorder="1" applyAlignment="1">
      <alignment horizontal="center" wrapText="1"/>
    </xf>
    <xf numFmtId="0" fontId="20" fillId="2" borderId="190" xfId="0" applyFont="1" applyFill="1" applyBorder="1" applyAlignment="1" applyProtection="1">
      <alignment horizontal="center" vertical="center" wrapText="1"/>
    </xf>
    <xf numFmtId="0" fontId="20" fillId="2" borderId="191" xfId="0" applyFont="1" applyFill="1" applyBorder="1" applyAlignment="1" applyProtection="1">
      <alignment horizontal="center" vertical="center" wrapText="1"/>
    </xf>
    <xf numFmtId="0" fontId="26" fillId="5" borderId="0" xfId="0" applyFont="1" applyFill="1" applyBorder="1" applyAlignment="1">
      <alignment horizontal="left" vertical="top" indent="1"/>
    </xf>
    <xf numFmtId="9" fontId="22" fillId="0" borderId="0" xfId="0" applyNumberFormat="1" applyFont="1" applyBorder="1" applyAlignment="1">
      <alignment horizontal="left" wrapText="1"/>
    </xf>
    <xf numFmtId="9" fontId="21" fillId="0" borderId="80" xfId="0" applyNumberFormat="1" applyFont="1" applyBorder="1" applyAlignment="1">
      <alignment horizontal="center"/>
    </xf>
    <xf numFmtId="0" fontId="26" fillId="5" borderId="0" xfId="0" applyFont="1" applyFill="1" applyBorder="1" applyAlignment="1">
      <alignment horizontal="left" vertical="top" wrapText="1" indent="1"/>
    </xf>
    <xf numFmtId="2" fontId="11" fillId="0" borderId="52" xfId="5" applyNumberFormat="1" applyFont="1" applyBorder="1" applyAlignment="1" applyProtection="1">
      <alignment horizontal="left" indent="1"/>
    </xf>
    <xf numFmtId="2" fontId="11" fillId="0" borderId="5" xfId="5" applyNumberFormat="1" applyFont="1" applyBorder="1" applyAlignment="1" applyProtection="1">
      <alignment horizontal="left" indent="1"/>
    </xf>
    <xf numFmtId="2" fontId="11" fillId="0" borderId="25" xfId="5" applyNumberFormat="1" applyFont="1" applyBorder="1" applyAlignment="1" applyProtection="1">
      <alignment horizontal="left" indent="1"/>
    </xf>
    <xf numFmtId="0" fontId="20" fillId="0" borderId="20" xfId="0" applyFont="1" applyBorder="1" applyAlignment="1" applyProtection="1">
      <alignment horizontal="center"/>
    </xf>
    <xf numFmtId="2" fontId="20" fillId="0" borderId="52" xfId="0" applyNumberFormat="1" applyFont="1" applyBorder="1" applyAlignment="1">
      <alignment horizontal="left" indent="1"/>
    </xf>
    <xf numFmtId="2" fontId="20" fillId="0" borderId="5" xfId="0" applyNumberFormat="1" applyFont="1" applyBorder="1" applyAlignment="1">
      <alignment horizontal="left" indent="1"/>
    </xf>
    <xf numFmtId="2" fontId="20" fillId="0" borderId="25" xfId="0" applyNumberFormat="1" applyFont="1" applyBorder="1" applyAlignment="1">
      <alignment horizontal="left" indent="1"/>
    </xf>
    <xf numFmtId="2" fontId="11" fillId="0" borderId="22" xfId="5" applyNumberFormat="1" applyFont="1" applyBorder="1" applyAlignment="1" applyProtection="1">
      <alignment horizontal="left" indent="1"/>
    </xf>
    <xf numFmtId="0" fontId="4" fillId="17" borderId="20" xfId="3" applyFont="1" applyFill="1" applyBorder="1" applyAlignment="1">
      <alignment horizontal="left" indent="1"/>
    </xf>
    <xf numFmtId="0" fontId="16" fillId="0" borderId="0" xfId="0" applyFont="1" applyBorder="1" applyAlignment="1">
      <alignment horizontal="left" vertical="top" wrapText="1"/>
    </xf>
    <xf numFmtId="0" fontId="20" fillId="0" borderId="5" xfId="0" applyFont="1" applyBorder="1" applyAlignment="1" applyProtection="1">
      <alignment horizontal="center" wrapText="1"/>
    </xf>
    <xf numFmtId="0" fontId="20" fillId="0" borderId="25" xfId="0" applyFont="1" applyBorder="1" applyAlignment="1" applyProtection="1">
      <alignment horizontal="center" wrapText="1"/>
    </xf>
    <xf numFmtId="0" fontId="4" fillId="2" borderId="20" xfId="0" applyFont="1" applyFill="1" applyBorder="1" applyAlignment="1" applyProtection="1">
      <alignment horizontal="left" indent="1"/>
    </xf>
    <xf numFmtId="0" fontId="20" fillId="0" borderId="52" xfId="0" applyFont="1" applyBorder="1" applyAlignment="1" applyProtection="1">
      <alignment horizontal="center" vertical="top" wrapText="1"/>
    </xf>
    <xf numFmtId="0" fontId="20" fillId="0" borderId="25" xfId="0" applyFont="1" applyBorder="1" applyAlignment="1" applyProtection="1">
      <alignment horizontal="center" vertical="top" wrapText="1"/>
    </xf>
    <xf numFmtId="0" fontId="20" fillId="0" borderId="20" xfId="5" applyFont="1" applyBorder="1" applyAlignment="1">
      <alignment horizontal="center"/>
    </xf>
    <xf numFmtId="0" fontId="20" fillId="2" borderId="52"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20" fillId="2" borderId="25" xfId="0" applyFont="1" applyFill="1" applyBorder="1" applyAlignment="1" applyProtection="1">
      <alignment horizontal="center" vertical="center" wrapText="1"/>
    </xf>
    <xf numFmtId="2" fontId="20" fillId="0" borderId="52" xfId="0" applyNumberFormat="1" applyFont="1" applyBorder="1" applyAlignment="1" applyProtection="1">
      <alignment horizontal="left" indent="1"/>
    </xf>
    <xf numFmtId="2" fontId="20" fillId="0" borderId="5" xfId="0" applyNumberFormat="1" applyFont="1" applyBorder="1" applyAlignment="1" applyProtection="1">
      <alignment horizontal="left" indent="1"/>
    </xf>
    <xf numFmtId="2" fontId="20" fillId="0" borderId="25" xfId="0" applyNumberFormat="1" applyFont="1" applyBorder="1" applyAlignment="1" applyProtection="1">
      <alignment horizontal="left" indent="1"/>
    </xf>
    <xf numFmtId="0" fontId="20" fillId="0" borderId="62" xfId="0" applyFont="1" applyBorder="1" applyAlignment="1" applyProtection="1">
      <alignment horizontal="center" wrapText="1"/>
    </xf>
    <xf numFmtId="0" fontId="20" fillId="0" borderId="28" xfId="0" applyFont="1" applyBorder="1" applyAlignment="1" applyProtection="1">
      <alignment horizontal="center" wrapText="1"/>
    </xf>
    <xf numFmtId="0" fontId="20" fillId="2" borderId="5" xfId="0" applyFont="1" applyFill="1" applyBorder="1" applyAlignment="1" applyProtection="1">
      <alignment horizontal="center" wrapText="1"/>
    </xf>
    <xf numFmtId="0" fontId="20" fillId="0" borderId="97" xfId="0" applyFont="1" applyBorder="1" applyAlignment="1" applyProtection="1">
      <alignment horizontal="center"/>
    </xf>
    <xf numFmtId="0" fontId="26" fillId="5" borderId="0" xfId="0" applyFont="1" applyFill="1" applyBorder="1" applyAlignment="1" applyProtection="1">
      <alignment horizontal="left" vertical="top" indent="1"/>
    </xf>
    <xf numFmtId="0" fontId="20" fillId="0" borderId="25" xfId="0" applyFont="1" applyBorder="1" applyAlignment="1" applyProtection="1">
      <alignment horizontal="center"/>
    </xf>
    <xf numFmtId="0" fontId="20" fillId="2" borderId="52" xfId="5" applyFont="1" applyFill="1" applyBorder="1" applyAlignment="1">
      <alignment horizontal="center" vertical="center" wrapText="1"/>
    </xf>
    <xf numFmtId="0" fontId="20" fillId="2" borderId="5" xfId="5" applyFont="1" applyFill="1" applyBorder="1" applyAlignment="1">
      <alignment horizontal="center" vertical="center" wrapText="1"/>
    </xf>
    <xf numFmtId="0" fontId="20" fillId="2" borderId="25" xfId="5" applyFont="1" applyFill="1" applyBorder="1" applyAlignment="1">
      <alignment horizontal="center" vertical="center" wrapText="1"/>
    </xf>
    <xf numFmtId="0" fontId="4" fillId="2" borderId="20" xfId="0" applyFont="1" applyFill="1" applyBorder="1" applyAlignment="1" applyProtection="1">
      <alignment horizontal="left" vertical="top" indent="1"/>
    </xf>
    <xf numFmtId="0" fontId="20" fillId="0" borderId="20" xfId="0" applyFont="1" applyBorder="1" applyAlignment="1" applyProtection="1">
      <alignment horizontal="center" wrapText="1"/>
    </xf>
    <xf numFmtId="0" fontId="20" fillId="0" borderId="27" xfId="0" applyFont="1" applyBorder="1" applyAlignment="1" applyProtection="1">
      <alignment horizontal="center" wrapText="1"/>
    </xf>
    <xf numFmtId="0" fontId="20" fillId="0" borderId="35" xfId="0" applyFont="1" applyBorder="1" applyAlignment="1" applyProtection="1">
      <alignment horizontal="center" vertical="top" wrapText="1"/>
    </xf>
    <xf numFmtId="0" fontId="20" fillId="0" borderId="61" xfId="0" applyFont="1" applyBorder="1" applyAlignment="1" applyProtection="1">
      <alignment horizontal="center" vertical="top" wrapText="1"/>
    </xf>
    <xf numFmtId="0" fontId="20" fillId="0" borderId="27" xfId="0" applyFont="1" applyBorder="1" applyAlignment="1" applyProtection="1">
      <alignment horizontal="center" vertical="top" wrapText="1"/>
    </xf>
    <xf numFmtId="2" fontId="20" fillId="0" borderId="52" xfId="0" applyNumberFormat="1" applyFont="1" applyBorder="1" applyAlignment="1" applyProtection="1">
      <alignment horizontal="left"/>
    </xf>
    <xf numFmtId="2" fontId="20" fillId="0" borderId="5" xfId="0" applyNumberFormat="1" applyFont="1" applyBorder="1" applyAlignment="1" applyProtection="1">
      <alignment horizontal="left"/>
    </xf>
    <xf numFmtId="2" fontId="20" fillId="0" borderId="25" xfId="0" applyNumberFormat="1" applyFont="1" applyBorder="1" applyAlignment="1" applyProtection="1">
      <alignment horizontal="left"/>
    </xf>
    <xf numFmtId="0" fontId="20" fillId="0" borderId="80" xfId="0" applyFont="1" applyBorder="1" applyAlignment="1" applyProtection="1">
      <alignment horizontal="center" wrapText="1"/>
    </xf>
    <xf numFmtId="0" fontId="20" fillId="0" borderId="35" xfId="0" applyFont="1" applyBorder="1" applyAlignment="1" applyProtection="1">
      <alignment horizontal="center" wrapText="1"/>
    </xf>
    <xf numFmtId="0" fontId="20" fillId="0" borderId="0" xfId="0" applyFont="1" applyBorder="1" applyAlignment="1" applyProtection="1">
      <alignment horizontal="center" wrapText="1"/>
    </xf>
    <xf numFmtId="0" fontId="20" fillId="0" borderId="61" xfId="0" applyFont="1" applyBorder="1" applyAlignment="1" applyProtection="1">
      <alignment horizontal="center" wrapText="1"/>
    </xf>
    <xf numFmtId="0" fontId="62" fillId="0" borderId="0" xfId="0" applyFont="1" applyFill="1" applyBorder="1" applyAlignment="1" applyProtection="1">
      <alignment horizontal="center" vertical="top" wrapText="1"/>
    </xf>
    <xf numFmtId="0" fontId="62" fillId="0" borderId="0" xfId="5" applyFont="1" applyFill="1" applyBorder="1" applyAlignment="1">
      <alignment horizontal="center" vertical="top" wrapText="1"/>
    </xf>
    <xf numFmtId="0" fontId="20" fillId="0" borderId="126" xfId="0" applyFont="1" applyBorder="1" applyAlignment="1" applyProtection="1">
      <alignment horizontal="center" vertical="center" wrapText="1"/>
    </xf>
    <xf numFmtId="0" fontId="20" fillId="0" borderId="127" xfId="0" applyFont="1" applyBorder="1" applyAlignment="1" applyProtection="1">
      <alignment horizontal="center" vertical="center" wrapText="1"/>
    </xf>
    <xf numFmtId="0" fontId="20" fillId="0" borderId="26" xfId="0" applyFont="1" applyBorder="1" applyAlignment="1" applyProtection="1">
      <alignment horizontal="center" wrapText="1"/>
    </xf>
    <xf numFmtId="0" fontId="29" fillId="27" borderId="75" xfId="0" applyFont="1" applyFill="1" applyBorder="1" applyAlignment="1" applyProtection="1">
      <alignment horizontal="center"/>
    </xf>
    <xf numFmtId="0" fontId="29" fillId="27" borderId="21" xfId="0" applyFont="1" applyFill="1" applyBorder="1" applyAlignment="1" applyProtection="1">
      <alignment horizontal="center"/>
    </xf>
    <xf numFmtId="0" fontId="29" fillId="27" borderId="76" xfId="0" applyFont="1" applyFill="1" applyBorder="1" applyAlignment="1" applyProtection="1">
      <alignment horizontal="center"/>
    </xf>
    <xf numFmtId="0" fontId="29" fillId="5" borderId="75" xfId="0" applyFont="1" applyFill="1" applyBorder="1" applyAlignment="1" applyProtection="1">
      <alignment horizontal="center" vertical="center" wrapText="1"/>
    </xf>
    <xf numFmtId="0" fontId="29" fillId="5" borderId="76" xfId="0" applyFont="1" applyFill="1" applyBorder="1" applyAlignment="1" applyProtection="1">
      <alignment horizontal="center" vertical="center" wrapText="1"/>
    </xf>
    <xf numFmtId="0" fontId="22" fillId="0" borderId="0" xfId="0" applyFont="1" applyBorder="1" applyAlignment="1" applyProtection="1">
      <alignment wrapText="1"/>
    </xf>
    <xf numFmtId="0" fontId="22" fillId="0" borderId="85" xfId="0" applyFont="1" applyBorder="1" applyAlignment="1" applyProtection="1">
      <alignment wrapText="1"/>
    </xf>
    <xf numFmtId="0" fontId="4" fillId="2" borderId="20" xfId="0" applyFont="1" applyFill="1" applyBorder="1" applyAlignment="1" applyProtection="1">
      <alignment horizontal="left" vertical="center" indent="1"/>
    </xf>
    <xf numFmtId="0" fontId="4" fillId="2" borderId="20" xfId="0" applyFont="1" applyFill="1" applyBorder="1" applyAlignment="1" applyProtection="1">
      <alignment horizontal="left" vertical="center" indent="2"/>
    </xf>
    <xf numFmtId="0" fontId="22" fillId="0" borderId="85" xfId="0" applyFont="1" applyBorder="1" applyAlignment="1" applyProtection="1">
      <alignment vertical="top" wrapText="1"/>
    </xf>
    <xf numFmtId="0" fontId="29" fillId="5" borderId="75" xfId="0" applyFont="1" applyFill="1" applyBorder="1" applyAlignment="1" applyProtection="1">
      <alignment horizontal="center"/>
    </xf>
    <xf numFmtId="0" fontId="29" fillId="5" borderId="21" xfId="0" applyFont="1" applyFill="1" applyBorder="1" applyAlignment="1" applyProtection="1">
      <alignment horizontal="center"/>
    </xf>
    <xf numFmtId="0" fontId="29" fillId="5" borderId="76" xfId="0" applyFont="1" applyFill="1" applyBorder="1" applyAlignment="1" applyProtection="1">
      <alignment horizontal="center"/>
    </xf>
    <xf numFmtId="0" fontId="39" fillId="22" borderId="87" xfId="0" applyFont="1" applyFill="1" applyBorder="1" applyAlignment="1" applyProtection="1">
      <alignment horizontal="left" vertical="top" wrapText="1" indent="1"/>
    </xf>
    <xf numFmtId="0" fontId="39" fillId="22" borderId="88" xfId="0" applyFont="1" applyFill="1" applyBorder="1" applyAlignment="1" applyProtection="1">
      <alignment horizontal="left" vertical="top" wrapText="1" indent="1"/>
    </xf>
    <xf numFmtId="0" fontId="39" fillId="22" borderId="89" xfId="0" applyFont="1" applyFill="1" applyBorder="1" applyAlignment="1" applyProtection="1">
      <alignment horizontal="left" vertical="top" wrapText="1" indent="1"/>
    </xf>
    <xf numFmtId="0" fontId="39" fillId="22" borderId="93" xfId="0" applyFont="1" applyFill="1" applyBorder="1" applyAlignment="1" applyProtection="1">
      <alignment horizontal="left" vertical="top" wrapText="1" indent="1"/>
    </xf>
    <xf numFmtId="0" fontId="39" fillId="22" borderId="80" xfId="0" applyFont="1" applyFill="1" applyBorder="1" applyAlignment="1" applyProtection="1">
      <alignment horizontal="left" vertical="top" wrapText="1" indent="1"/>
    </xf>
    <xf numFmtId="0" fontId="39" fillId="22" borderId="35" xfId="0" applyFont="1" applyFill="1" applyBorder="1" applyAlignment="1" applyProtection="1">
      <alignment horizontal="left" vertical="top" wrapText="1" indent="1"/>
    </xf>
    <xf numFmtId="0" fontId="32" fillId="2" borderId="52" xfId="9" applyFont="1" applyFill="1" applyBorder="1" applyAlignment="1">
      <alignment horizontal="left" indent="1"/>
    </xf>
    <xf numFmtId="0" fontId="32" fillId="2" borderId="5" xfId="9" applyFont="1" applyFill="1" applyBorder="1" applyAlignment="1">
      <alignment horizontal="left" indent="1"/>
    </xf>
    <xf numFmtId="0" fontId="32" fillId="2" borderId="25" xfId="9" applyFont="1" applyFill="1" applyBorder="1" applyAlignment="1">
      <alignment horizontal="left" indent="1"/>
    </xf>
    <xf numFmtId="0" fontId="25" fillId="2" borderId="52" xfId="9" applyFont="1" applyFill="1" applyBorder="1" applyAlignment="1">
      <alignment horizontal="left" indent="1"/>
    </xf>
    <xf numFmtId="0" fontId="25" fillId="2" borderId="5" xfId="9" applyFont="1" applyFill="1" applyBorder="1" applyAlignment="1">
      <alignment horizontal="left" indent="1"/>
    </xf>
    <xf numFmtId="0" fontId="25" fillId="2" borderId="25" xfId="9" applyFont="1" applyFill="1" applyBorder="1" applyAlignment="1">
      <alignment horizontal="left" indent="1"/>
    </xf>
    <xf numFmtId="0" fontId="20" fillId="2" borderId="93" xfId="9" applyFont="1" applyFill="1" applyBorder="1" applyAlignment="1">
      <alignment horizontal="center"/>
    </xf>
    <xf numFmtId="0" fontId="20" fillId="2" borderId="80" xfId="9" applyFont="1" applyFill="1" applyBorder="1" applyAlignment="1">
      <alignment horizontal="center"/>
    </xf>
    <xf numFmtId="0" fontId="20" fillId="2" borderId="35" xfId="9" applyFont="1" applyFill="1" applyBorder="1" applyAlignment="1">
      <alignment horizontal="center"/>
    </xf>
    <xf numFmtId="0" fontId="20" fillId="2" borderId="52" xfId="9" applyFont="1" applyFill="1" applyBorder="1" applyAlignment="1">
      <alignment horizontal="center"/>
    </xf>
    <xf numFmtId="0" fontId="20" fillId="2" borderId="5" xfId="9" applyFont="1" applyFill="1" applyBorder="1" applyAlignment="1">
      <alignment horizontal="center"/>
    </xf>
    <xf numFmtId="0" fontId="20" fillId="2" borderId="25" xfId="9" applyFont="1" applyFill="1" applyBorder="1" applyAlignment="1">
      <alignment horizontal="center"/>
    </xf>
    <xf numFmtId="0" fontId="21" fillId="0" borderId="0" xfId="9" applyFont="1" applyFill="1" applyBorder="1" applyAlignment="1">
      <alignment horizontal="left" vertical="center" wrapText="1"/>
    </xf>
    <xf numFmtId="0" fontId="21" fillId="0" borderId="0" xfId="9" applyFont="1" applyFill="1" applyBorder="1" applyAlignment="1">
      <alignment horizontal="left" wrapText="1"/>
    </xf>
  </cellXfs>
  <cellStyles count="18">
    <cellStyle name="Euro" xfId="1"/>
    <cellStyle name="Euro 2" xfId="2"/>
    <cellStyle name="Euro 2 2" xfId="13"/>
    <cellStyle name="Euro 3" xfId="14"/>
    <cellStyle name="Lien hypertexte" xfId="8" builtinId="8"/>
    <cellStyle name="Monétaire 2" xfId="6"/>
    <cellStyle name="Normal" xfId="0" builtinId="0"/>
    <cellStyle name="Normal 2" xfId="3"/>
    <cellStyle name="Normal 2 2" xfId="7"/>
    <cellStyle name="Normal 2 3" xfId="10"/>
    <cellStyle name="Normal 3" xfId="5"/>
    <cellStyle name="Normal 3 2" xfId="12"/>
    <cellStyle name="Normal 3 3" xfId="15"/>
    <cellStyle name="Normal 4" xfId="9"/>
    <cellStyle name="Normal 4 2" xfId="11"/>
    <cellStyle name="Pourcentage" xfId="4" builtinId="5"/>
    <cellStyle name="Pourcentage 2" xfId="16"/>
    <cellStyle name="Pourcentage 2 2" xfId="17"/>
  </cellStyles>
  <dxfs count="18">
    <dxf>
      <numFmt numFmtId="169" formatCode="_-[$$-409]* #,##0.00_ ;_-[$$-409]* \-#,##0.00\ ;_-[$$-409]* &quot;-&quot;??_ ;_-@_ "/>
    </dxf>
    <dxf>
      <numFmt numFmtId="34" formatCode="_-* #,##0.00\ &quot;€&quot;_-;\-* #,##0.00\ &quot;€&quot;_-;_-* &quot;-&quot;??\ &quot;€&quot;_-;_-@_-"/>
    </dxf>
    <dxf>
      <numFmt numFmtId="172" formatCode="_-* #,##0.00\ [$XOF]_-;\-* #,##0.00\ [$XOF]_-;_-* &quot;-&quot;??\ [$XOF]_-;_-@_-"/>
    </dxf>
    <dxf>
      <numFmt numFmtId="34" formatCode="_-* #,##0.00\ &quot;€&quot;_-;\-* #,##0.00\ &quot;€&quot;_-;_-* &quot;-&quot;??\ &quot;€&quot;_-;_-@_-"/>
    </dxf>
    <dxf>
      <numFmt numFmtId="169" formatCode="_-[$$-409]* #,##0.00_ ;_-[$$-409]* \-#,##0.00\ ;_-[$$-409]* &quot;-&quot;??_ ;_-@_ "/>
    </dxf>
    <dxf>
      <numFmt numFmtId="172" formatCode="_-* #,##0.00\ [$XOF]_-;\-* #,##0.00\ [$XOF]_-;_-* &quot;-&quot;??\ [$XOF]_-;_-@_-"/>
    </dxf>
    <dxf>
      <font>
        <b val="0"/>
        <i/>
        <color theme="0" tint="-0.24994659260841701"/>
      </font>
    </dxf>
    <dxf>
      <font>
        <color rgb="FFFFC000"/>
      </font>
    </dxf>
    <dxf>
      <font>
        <color rgb="FFFFC000"/>
      </font>
    </dxf>
    <dxf>
      <font>
        <color rgb="FFFFC000"/>
      </font>
    </dxf>
    <dxf>
      <font>
        <color rgb="FFFFC000"/>
      </font>
    </dxf>
    <dxf>
      <font>
        <color rgb="FFFFC000"/>
      </font>
    </dxf>
    <dxf>
      <font>
        <color rgb="FFFFC000"/>
      </font>
    </dxf>
    <dxf>
      <font>
        <color rgb="FFFFC000"/>
      </font>
    </dxf>
    <dxf>
      <font>
        <color rgb="FFFFC000"/>
      </font>
    </dxf>
    <dxf>
      <font>
        <color rgb="FFFFC000"/>
      </font>
    </dxf>
    <dxf>
      <font>
        <color rgb="FFFFC000"/>
      </font>
    </dxf>
    <dxf>
      <font>
        <color rgb="FFFFC000"/>
      </font>
    </dxf>
  </dxfs>
  <tableStyles count="0" defaultTableStyle="TableStyleMedium9" defaultPivotStyle="PivotStyleLight16"/>
  <colors>
    <mruColors>
      <color rgb="FF99CC00"/>
      <color rgb="FF993366"/>
      <color rgb="FFFF9900"/>
      <color rgb="FFCC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hyperlink" Target="http://creativecommons.org/licenses/by-nc-sa/3.0/" TargetMode="External"/><Relationship Id="rId7" Type="http://schemas.openxmlformats.org/officeDocument/2006/relationships/image" Target="../media/image6.png"/><Relationship Id="rId2" Type="http://schemas.openxmlformats.org/officeDocument/2006/relationships/image" Target="../media/image2.gif"/><Relationship Id="rId1" Type="http://schemas.openxmlformats.org/officeDocument/2006/relationships/image" Target="../media/image1.png"/><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7</xdr:col>
      <xdr:colOff>215899</xdr:colOff>
      <xdr:row>74</xdr:row>
      <xdr:rowOff>23174</xdr:rowOff>
    </xdr:from>
    <xdr:to>
      <xdr:col>7</xdr:col>
      <xdr:colOff>631393</xdr:colOff>
      <xdr:row>75</xdr:row>
      <xdr:rowOff>88974</xdr:rowOff>
    </xdr:to>
    <xdr:pic>
      <xdr:nvPicPr>
        <xdr:cNvPr id="3"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9455149" y="22025924"/>
          <a:ext cx="415494" cy="399175"/>
        </a:xfrm>
        <a:prstGeom prst="rect">
          <a:avLst/>
        </a:prstGeom>
        <a:noFill/>
        <a:ln w="1">
          <a:noFill/>
          <a:miter lim="800000"/>
          <a:headEnd/>
          <a:tailEnd type="none" w="med" len="med"/>
        </a:ln>
        <a:effectLst/>
      </xdr:spPr>
    </xdr:pic>
    <xdr:clientData/>
  </xdr:twoCellAnchor>
  <xdr:twoCellAnchor editAs="oneCell">
    <xdr:from>
      <xdr:col>1</xdr:col>
      <xdr:colOff>438151</xdr:colOff>
      <xdr:row>75</xdr:row>
      <xdr:rowOff>263525</xdr:rowOff>
    </xdr:from>
    <xdr:to>
      <xdr:col>2</xdr:col>
      <xdr:colOff>851494</xdr:colOff>
      <xdr:row>76</xdr:row>
      <xdr:rowOff>289475</xdr:rowOff>
    </xdr:to>
    <xdr:pic>
      <xdr:nvPicPr>
        <xdr:cNvPr id="4" name="Picture 1" descr="Contrat Creative Commons"/>
        <xdr:cNvPicPr>
          <a:picLocks noChangeAspect="1" noChangeArrowheads="1"/>
        </xdr:cNvPicPr>
      </xdr:nvPicPr>
      <xdr:blipFill>
        <a:blip xmlns:r="http://schemas.openxmlformats.org/officeDocument/2006/relationships" r:embed="rId2" cstate="print"/>
        <a:srcRect/>
        <a:stretch>
          <a:fillRect/>
        </a:stretch>
      </xdr:blipFill>
      <xdr:spPr bwMode="auto">
        <a:xfrm>
          <a:off x="1200151" y="22428200"/>
          <a:ext cx="1089618" cy="359325"/>
        </a:xfrm>
        <a:prstGeom prst="rect">
          <a:avLst/>
        </a:prstGeom>
        <a:noFill/>
      </xdr:spPr>
    </xdr:pic>
    <xdr:clientData/>
  </xdr:twoCellAnchor>
  <xdr:twoCellAnchor editAs="oneCell">
    <xdr:from>
      <xdr:col>1</xdr:col>
      <xdr:colOff>428623</xdr:colOff>
      <xdr:row>77</xdr:row>
      <xdr:rowOff>228600</xdr:rowOff>
    </xdr:from>
    <xdr:to>
      <xdr:col>2</xdr:col>
      <xdr:colOff>837639</xdr:colOff>
      <xdr:row>78</xdr:row>
      <xdr:rowOff>273742</xdr:rowOff>
    </xdr:to>
    <xdr:pic>
      <xdr:nvPicPr>
        <xdr:cNvPr id="5" name="Picture 5">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srcRect/>
        <a:stretch>
          <a:fillRect/>
        </a:stretch>
      </xdr:blipFill>
      <xdr:spPr bwMode="auto">
        <a:xfrm>
          <a:off x="1190623" y="23060025"/>
          <a:ext cx="1085291" cy="378517"/>
        </a:xfrm>
        <a:prstGeom prst="rect">
          <a:avLst/>
        </a:prstGeom>
        <a:noFill/>
        <a:ln w="1">
          <a:noFill/>
          <a:miter lim="800000"/>
          <a:headEnd/>
          <a:tailEnd type="none" w="med" len="med"/>
        </a:ln>
        <a:effectLst/>
      </xdr:spPr>
    </xdr:pic>
    <xdr:clientData/>
  </xdr:twoCellAnchor>
  <xdr:twoCellAnchor editAs="oneCell">
    <xdr:from>
      <xdr:col>7</xdr:col>
      <xdr:colOff>219075</xdr:colOff>
      <xdr:row>77</xdr:row>
      <xdr:rowOff>314324</xdr:rowOff>
    </xdr:from>
    <xdr:to>
      <xdr:col>7</xdr:col>
      <xdr:colOff>615075</xdr:colOff>
      <xdr:row>79</xdr:row>
      <xdr:rowOff>43573</xdr:rowOff>
    </xdr:to>
    <xdr:pic>
      <xdr:nvPicPr>
        <xdr:cNvPr id="6" name="Picture 6" descr="Fichier:Cc-by new.svg"/>
        <xdr:cNvPicPr>
          <a:picLocks noChangeAspect="1" noChangeArrowheads="1"/>
        </xdr:cNvPicPr>
      </xdr:nvPicPr>
      <xdr:blipFill>
        <a:blip xmlns:r="http://schemas.openxmlformats.org/officeDocument/2006/relationships" r:embed="rId5" cstate="print"/>
        <a:srcRect/>
        <a:stretch>
          <a:fillRect/>
        </a:stretch>
      </xdr:blipFill>
      <xdr:spPr bwMode="auto">
        <a:xfrm>
          <a:off x="9458325" y="23145749"/>
          <a:ext cx="396000" cy="395999"/>
        </a:xfrm>
        <a:prstGeom prst="rect">
          <a:avLst/>
        </a:prstGeom>
        <a:noFill/>
      </xdr:spPr>
    </xdr:pic>
    <xdr:clientData/>
  </xdr:twoCellAnchor>
  <xdr:twoCellAnchor editAs="oneCell">
    <xdr:from>
      <xdr:col>7</xdr:col>
      <xdr:colOff>220134</xdr:colOff>
      <xdr:row>80</xdr:row>
      <xdr:rowOff>25400</xdr:rowOff>
    </xdr:from>
    <xdr:to>
      <xdr:col>7</xdr:col>
      <xdr:colOff>616134</xdr:colOff>
      <xdr:row>81</xdr:row>
      <xdr:rowOff>88025</xdr:rowOff>
    </xdr:to>
    <xdr:pic>
      <xdr:nvPicPr>
        <xdr:cNvPr id="7" name="Picture 7" descr="Fichier:Cc-sa.svg"/>
        <xdr:cNvPicPr>
          <a:picLocks noChangeAspect="1" noChangeArrowheads="1"/>
        </xdr:cNvPicPr>
      </xdr:nvPicPr>
      <xdr:blipFill>
        <a:blip xmlns:r="http://schemas.openxmlformats.org/officeDocument/2006/relationships" r:embed="rId6" cstate="print"/>
        <a:srcRect/>
        <a:stretch>
          <a:fillRect/>
        </a:stretch>
      </xdr:blipFill>
      <xdr:spPr bwMode="auto">
        <a:xfrm>
          <a:off x="9459384" y="23856950"/>
          <a:ext cx="396000" cy="396000"/>
        </a:xfrm>
        <a:prstGeom prst="rect">
          <a:avLst/>
        </a:prstGeom>
        <a:noFill/>
      </xdr:spPr>
    </xdr:pic>
    <xdr:clientData/>
  </xdr:twoCellAnchor>
  <xdr:twoCellAnchor editAs="oneCell">
    <xdr:from>
      <xdr:col>7</xdr:col>
      <xdr:colOff>238124</xdr:colOff>
      <xdr:row>76</xdr:row>
      <xdr:rowOff>9524</xdr:rowOff>
    </xdr:from>
    <xdr:to>
      <xdr:col>7</xdr:col>
      <xdr:colOff>634364</xdr:colOff>
      <xdr:row>77</xdr:row>
      <xdr:rowOff>67098</xdr:rowOff>
    </xdr:to>
    <xdr:pic>
      <xdr:nvPicPr>
        <xdr:cNvPr id="8" name="Picture 8" descr="Fichier:Cc-nc.svg"/>
        <xdr:cNvPicPr>
          <a:picLocks noChangeAspect="1" noChangeArrowheads="1"/>
        </xdr:cNvPicPr>
      </xdr:nvPicPr>
      <xdr:blipFill>
        <a:blip xmlns:r="http://schemas.openxmlformats.org/officeDocument/2006/relationships" r:embed="rId7" cstate="print"/>
        <a:srcRect/>
        <a:stretch>
          <a:fillRect/>
        </a:stretch>
      </xdr:blipFill>
      <xdr:spPr bwMode="auto">
        <a:xfrm>
          <a:off x="9477374" y="22507574"/>
          <a:ext cx="396240" cy="390949"/>
        </a:xfrm>
        <a:prstGeom prst="rect">
          <a:avLst/>
        </a:prstGeom>
        <a:noFill/>
      </xdr:spPr>
    </xdr:pic>
    <xdr:clientData/>
  </xdr:twoCellAnchor>
  <xdr:twoCellAnchor editAs="oneCell">
    <xdr:from>
      <xdr:col>5</xdr:col>
      <xdr:colOff>742950</xdr:colOff>
      <xdr:row>4</xdr:row>
      <xdr:rowOff>39834</xdr:rowOff>
    </xdr:from>
    <xdr:to>
      <xdr:col>6</xdr:col>
      <xdr:colOff>1171575</xdr:colOff>
      <xdr:row>8</xdr:row>
      <xdr:rowOff>156600</xdr:rowOff>
    </xdr:to>
    <xdr:pic>
      <xdr:nvPicPr>
        <xdr:cNvPr id="2" name="Image 1"/>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7620000" y="820884"/>
          <a:ext cx="1685925" cy="76446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mailto:contact@solthis.org" TargetMode="External"/><Relationship Id="rId1" Type="http://schemas.openxmlformats.org/officeDocument/2006/relationships/hyperlink" Target="http://creativecommons.org/licenses/by-nc-sa/3.0/" TargetMode="External"/></Relationships>
</file>

<file path=xl/worksheets/_rels/sheet11.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13.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9.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tabColor theme="0"/>
  </sheetPr>
  <dimension ref="A2:M85"/>
  <sheetViews>
    <sheetView showGridLines="0" tabSelected="1" topLeftCell="C1" workbookViewId="0">
      <selection activeCell="D2" sqref="D2"/>
    </sheetView>
  </sheetViews>
  <sheetFormatPr baseColWidth="10" defaultColWidth="12" defaultRowHeight="12.75" x14ac:dyDescent="0.2"/>
  <cols>
    <col min="1" max="1" width="12" style="4"/>
    <col min="2" max="2" width="11.83203125" style="4" customWidth="1"/>
    <col min="3" max="3" width="44.33203125" style="4" customWidth="1"/>
    <col min="4" max="4" width="26.6640625" style="4" customWidth="1"/>
    <col min="5" max="5" width="25.5" style="4" customWidth="1"/>
    <col min="6" max="6" width="22" style="4" customWidth="1"/>
    <col min="7" max="7" width="21.6640625" style="4" customWidth="1"/>
    <col min="8" max="8" width="15.83203125" style="4" customWidth="1"/>
    <col min="9" max="9" width="15.6640625" style="4" customWidth="1"/>
    <col min="10" max="16384" width="12" style="4"/>
  </cols>
  <sheetData>
    <row r="2" spans="1:13" s="50" customFormat="1" ht="13.5" x14ac:dyDescent="0.25">
      <c r="A2" s="4"/>
      <c r="B2" s="1798" t="s">
        <v>752</v>
      </c>
      <c r="C2" s="4"/>
      <c r="D2" s="1799" t="s">
        <v>754</v>
      </c>
      <c r="E2" s="4"/>
      <c r="F2" s="4"/>
      <c r="G2" s="4"/>
      <c r="H2" s="4"/>
      <c r="I2" s="4"/>
    </row>
    <row r="3" spans="1:13" customFormat="1" x14ac:dyDescent="0.2"/>
    <row r="4" spans="1:13" ht="22.5" x14ac:dyDescent="0.2">
      <c r="A4" s="2092" t="str">
        <f>'TRAD-Presentation'!B2</f>
        <v xml:space="preserve">Outil de quantification pour les ARV </v>
      </c>
      <c r="B4" s="2092"/>
      <c r="C4" s="2092"/>
      <c r="D4" s="2092"/>
      <c r="E4" s="2092"/>
      <c r="F4" s="2092"/>
      <c r="G4" s="2092"/>
      <c r="H4" s="2092"/>
      <c r="I4" s="2092"/>
    </row>
    <row r="6" spans="1:13" x14ac:dyDescent="0.2">
      <c r="B6" s="3" t="str">
        <f>'TRAD-Presentation'!B3</f>
        <v>Version Française/Anglaise 5.11 mise à jour par Solthis en février 2015</v>
      </c>
    </row>
    <row r="7" spans="1:13" x14ac:dyDescent="0.2">
      <c r="B7" s="3" t="str">
        <f>'TRAD-Presentation'!B4</f>
        <v>Une partie du travail d'élaboration de cet outil a été financé par l'Initiative 5% du Ministère des Affaires Etrangères de la France</v>
      </c>
    </row>
    <row r="9" spans="1:13" s="50" customFormat="1" ht="13.5" x14ac:dyDescent="0.25">
      <c r="A9" s="4"/>
      <c r="B9" s="4"/>
      <c r="C9" s="4"/>
      <c r="D9" s="4"/>
      <c r="E9" s="4"/>
      <c r="F9" s="4"/>
      <c r="G9" s="4"/>
      <c r="H9" s="4"/>
      <c r="I9" s="4"/>
      <c r="J9" s="49"/>
      <c r="K9" s="49"/>
      <c r="L9" s="49"/>
      <c r="M9" s="49"/>
    </row>
    <row r="10" spans="1:13" ht="15.75" thickBot="1" x14ac:dyDescent="0.25">
      <c r="A10" s="2093" t="str">
        <f>'TRAD-Presentation'!B5</f>
        <v>Introduction:  description de la méthode  d'utilisation</v>
      </c>
      <c r="B10" s="2093"/>
      <c r="C10" s="2093"/>
      <c r="D10" s="2093"/>
      <c r="E10" s="2093"/>
      <c r="F10" s="2093"/>
      <c r="G10" s="2093"/>
      <c r="H10" s="2093"/>
      <c r="I10" s="1"/>
    </row>
    <row r="11" spans="1:13" x14ac:dyDescent="0.2">
      <c r="C11" s="941"/>
    </row>
    <row r="12" spans="1:13" ht="15" x14ac:dyDescent="0.2">
      <c r="B12" s="2094" t="str">
        <f>'TRAD-Presentation'!B6</f>
        <v xml:space="preserve">Objectif </v>
      </c>
      <c r="C12" s="2094"/>
      <c r="D12" s="2094"/>
      <c r="E12" s="2094"/>
      <c r="F12" s="2094"/>
    </row>
    <row r="14" spans="1:13" x14ac:dyDescent="0.2">
      <c r="C14" s="3" t="str">
        <f>'TRAD-Presentation'!B7</f>
        <v xml:space="preserve">Permettre une estimation rapide des quantités d'ARV et des budgets nécessaires pour un programme de prise en charge </v>
      </c>
    </row>
    <row r="15" spans="1:13" x14ac:dyDescent="0.2">
      <c r="C15" s="942"/>
      <c r="D15" s="941"/>
      <c r="E15" s="942"/>
    </row>
    <row r="16" spans="1:13" x14ac:dyDescent="0.2">
      <c r="C16" s="3" t="str">
        <f>'TRAD-Presentation'!B8</f>
        <v>Ce document de quantification permet d'estimer les besoins en ARV pour :</v>
      </c>
    </row>
    <row r="17" spans="2:6" x14ac:dyDescent="0.2">
      <c r="C17" s="943"/>
      <c r="D17" s="4" t="str">
        <f>'TRAD-Presentation'!B9</f>
        <v>* la prise en charge des adultes</v>
      </c>
    </row>
    <row r="18" spans="2:6" x14ac:dyDescent="0.2">
      <c r="C18" s="3"/>
      <c r="D18" s="4" t="str">
        <f>'TRAD-Presentation'!B10</f>
        <v>* la prise en charge des enfants</v>
      </c>
    </row>
    <row r="19" spans="2:6" x14ac:dyDescent="0.2">
      <c r="B19" s="3"/>
    </row>
    <row r="21" spans="2:6" ht="15" x14ac:dyDescent="0.2">
      <c r="B21" s="2094" t="str">
        <f>'TRAD-Presentation'!B11</f>
        <v>Structure</v>
      </c>
      <c r="C21" s="2094"/>
      <c r="D21" s="2094"/>
      <c r="E21" s="2094"/>
      <c r="F21" s="2094"/>
    </row>
    <row r="22" spans="2:6" x14ac:dyDescent="0.2">
      <c r="B22" s="3"/>
    </row>
    <row r="23" spans="2:6" x14ac:dyDescent="0.2">
      <c r="B23" s="3"/>
    </row>
    <row r="24" spans="2:6" x14ac:dyDescent="0.2">
      <c r="B24" s="3"/>
    </row>
    <row r="25" spans="2:6" x14ac:dyDescent="0.2">
      <c r="B25" s="3"/>
      <c r="C25" s="225" t="str">
        <f>'TRAD-Presentation'!B12</f>
        <v>feuille 1 Présentation</v>
      </c>
    </row>
    <row r="26" spans="2:6" x14ac:dyDescent="0.2">
      <c r="B26" s="3"/>
      <c r="C26" s="5" t="str">
        <f>'TRAD-Presentation'!B13</f>
        <v>feuilles 2 à 5: Saisie de données</v>
      </c>
      <c r="D26" s="226" t="str">
        <f>'TRAD-Presentation'!B14</f>
        <v>Données générales</v>
      </c>
    </row>
    <row r="27" spans="2:6" x14ac:dyDescent="0.2">
      <c r="B27" s="3"/>
      <c r="C27" s="5"/>
      <c r="D27" s="226" t="str">
        <f>'TRAD-Presentation'!B15</f>
        <v>Données sur PEC Adultes</v>
      </c>
      <c r="E27" s="4" t="str">
        <f>'TRAD-Presentation'!B16</f>
        <v>Evolution du nombre de patients adultes sous ARV sur la période</v>
      </c>
    </row>
    <row r="28" spans="2:6" x14ac:dyDescent="0.2">
      <c r="B28" s="3"/>
      <c r="C28" s="5"/>
      <c r="D28" s="226"/>
      <c r="E28" s="4" t="str">
        <f>'TRAD-Presentation'!B17</f>
        <v>Données et hypothèses adultes</v>
      </c>
    </row>
    <row r="29" spans="2:6" x14ac:dyDescent="0.2">
      <c r="B29" s="3"/>
      <c r="C29" s="5"/>
      <c r="D29" s="226" t="str">
        <f>'TRAD-Presentation'!B18</f>
        <v>Données sur PEC Enfants</v>
      </c>
      <c r="E29" s="4" t="str">
        <f>'TRAD-Presentation'!B19</f>
        <v>Evolution du nombre de patients enfants sous ARV sur la période</v>
      </c>
    </row>
    <row r="30" spans="2:6" x14ac:dyDescent="0.2">
      <c r="B30" s="3"/>
      <c r="C30" s="5"/>
      <c r="D30" s="226"/>
      <c r="E30" s="4" t="str">
        <f>'TRAD-Presentation'!B20</f>
        <v>Données et hypothèses enfants</v>
      </c>
    </row>
    <row r="31" spans="2:6" x14ac:dyDescent="0.2">
      <c r="B31" s="3"/>
      <c r="C31" s="189"/>
      <c r="D31" s="226" t="str">
        <f>'TRAD-Presentation'!B21</f>
        <v>Données de stocks disponibles</v>
      </c>
    </row>
    <row r="32" spans="2:6" x14ac:dyDescent="0.2">
      <c r="C32" s="1457" t="s">
        <v>1586</v>
      </c>
      <c r="D32" s="8"/>
      <c r="E32" s="1935"/>
    </row>
    <row r="33" spans="1:5" x14ac:dyDescent="0.2">
      <c r="C33" s="1457" t="str">
        <f>'TRAD-Presentation'!B23</f>
        <v>5 feuilles : Calculs annuels Adultes</v>
      </c>
      <c r="D33" s="8" t="str">
        <f>'TRAD-Presentation'!B25</f>
        <v>Adultes An1</v>
      </c>
      <c r="E33" s="2095" t="str">
        <f>'TRAD-Presentation'!B24</f>
        <v xml:space="preserve"> ces onglets sont masqués</v>
      </c>
    </row>
    <row r="34" spans="1:5" x14ac:dyDescent="0.2">
      <c r="C34" s="7"/>
      <c r="D34" s="8" t="str">
        <f>'TRAD-Presentation'!B26</f>
        <v>Adultes An2</v>
      </c>
      <c r="E34" s="2095"/>
    </row>
    <row r="35" spans="1:5" x14ac:dyDescent="0.2">
      <c r="C35" s="7"/>
      <c r="D35" s="8" t="str">
        <f>'TRAD-Presentation'!B27</f>
        <v>Adultes An3</v>
      </c>
      <c r="E35" s="2095"/>
    </row>
    <row r="36" spans="1:5" x14ac:dyDescent="0.2">
      <c r="C36" s="7"/>
      <c r="D36" s="8" t="str">
        <f>'TRAD-Presentation'!B29</f>
        <v>Adultes An4</v>
      </c>
      <c r="E36" s="2095"/>
    </row>
    <row r="37" spans="1:5" x14ac:dyDescent="0.2">
      <c r="C37" s="7"/>
      <c r="D37" s="8" t="str">
        <f>'TRAD-Presentation'!B30</f>
        <v>Adultes An5</v>
      </c>
      <c r="E37" s="2095"/>
    </row>
    <row r="38" spans="1:5" x14ac:dyDescent="0.2">
      <c r="C38" s="1457" t="str">
        <f>'TRAD-Presentation'!B36</f>
        <v>5 feuilles : Calculs annuels Enfants</v>
      </c>
      <c r="D38" s="8" t="str">
        <f>'TRAD-Presentation'!B31</f>
        <v>Enfants An1</v>
      </c>
      <c r="E38" s="2095" t="str">
        <f>'TRAD-Presentation'!B37</f>
        <v xml:space="preserve"> ces onglets sont masqués</v>
      </c>
    </row>
    <row r="39" spans="1:5" x14ac:dyDescent="0.2">
      <c r="C39" s="7"/>
      <c r="D39" s="8" t="str">
        <f>'TRAD-Presentation'!B32</f>
        <v>Enfants An2</v>
      </c>
      <c r="E39" s="2095"/>
    </row>
    <row r="40" spans="1:5" x14ac:dyDescent="0.2">
      <c r="C40" s="7"/>
      <c r="D40" s="8" t="str">
        <f>'TRAD-Presentation'!B33</f>
        <v>Enfants An3</v>
      </c>
      <c r="E40" s="2095"/>
    </row>
    <row r="41" spans="1:5" x14ac:dyDescent="0.2">
      <c r="C41" s="7"/>
      <c r="D41" s="8" t="str">
        <f>'TRAD-Presentation'!B34</f>
        <v>Enfants An4</v>
      </c>
      <c r="E41" s="2095"/>
    </row>
    <row r="42" spans="1:5" x14ac:dyDescent="0.2">
      <c r="C42" s="7"/>
      <c r="D42" s="8" t="str">
        <f>'TRAD-Presentation'!B35</f>
        <v>Enfants An5</v>
      </c>
      <c r="E42" s="2095"/>
    </row>
    <row r="43" spans="1:5" x14ac:dyDescent="0.2">
      <c r="C43" s="9" t="str">
        <f>'TRAD-Presentation'!B38</f>
        <v xml:space="preserve">feuille 6:  Synthèse PEC adultes </v>
      </c>
      <c r="D43" s="4" t="str">
        <f>'TRAD-Presentation'!B39</f>
        <v>Synthèse 1 &amp; Synthèse 2</v>
      </c>
      <c r="E43" s="942"/>
    </row>
    <row r="44" spans="1:5" x14ac:dyDescent="0.2">
      <c r="C44" s="9" t="str">
        <f>'TRAD-Presentation'!B40</f>
        <v>feuille 7: Synthèse PEC adultes</v>
      </c>
      <c r="D44" s="4" t="str">
        <f>'TRAD-Presentation'!B41</f>
        <v>Synthèse 3 &amp; Synthèse 4</v>
      </c>
    </row>
    <row r="45" spans="1:5" x14ac:dyDescent="0.2">
      <c r="A45" s="237"/>
      <c r="B45" s="236"/>
      <c r="C45" s="9" t="str">
        <f>'TRAD-Presentation'!B42</f>
        <v xml:space="preserve">feuille  8: Synthèse globale PEC ARV </v>
      </c>
      <c r="D45" s="4" t="str">
        <f>'TRAD-Presentation'!B43</f>
        <v>Synthèse 5 Quantités &amp; prix</v>
      </c>
    </row>
    <row r="46" spans="1:5" x14ac:dyDescent="0.2">
      <c r="C46" s="6" t="str">
        <f>'TRAD-Presentation'!B44</f>
        <v>feuille 9: Prix</v>
      </c>
      <c r="D46" s="4" t="str">
        <f>'TRAD-Presentation'!B45</f>
        <v>Prix provenant du rapport du GPRM d'octobre 2011</v>
      </c>
    </row>
    <row r="49" spans="2:7" ht="15" x14ac:dyDescent="0.2">
      <c r="B49" s="2094" t="str">
        <f>'TRAD-Presentation'!B46</f>
        <v>Méthode</v>
      </c>
      <c r="C49" s="2094"/>
      <c r="D49" s="2094"/>
      <c r="E49" s="2094"/>
      <c r="F49" s="2094"/>
    </row>
    <row r="50" spans="2:7" x14ac:dyDescent="0.2">
      <c r="B50" s="942"/>
    </row>
    <row r="51" spans="2:7" x14ac:dyDescent="0.2">
      <c r="B51" s="3" t="str">
        <f>'TRAD-Presentation'!B47</f>
        <v>La méthode de calcul utilisée ici est uniquement basée sur la morbidité : nombre de patients / schéma thérapeutique et nombre de nouveux patients / schéma</v>
      </c>
    </row>
    <row r="52" spans="2:7" x14ac:dyDescent="0.2">
      <c r="B52" s="943"/>
    </row>
    <row r="53" spans="2:7" x14ac:dyDescent="0.2">
      <c r="B53" s="3" t="str">
        <f>'TRAD-Presentation'!B48</f>
        <v>Première étape</v>
      </c>
    </row>
    <row r="54" spans="2:7" x14ac:dyDescent="0.2">
      <c r="B54" s="3"/>
      <c r="C54" s="4" t="str">
        <f>'TRAD-Presentation'!B49</f>
        <v>spécifier les données dans les tableaux des onglets verts de saisie de données</v>
      </c>
      <c r="E54" s="942"/>
    </row>
    <row r="55" spans="2:7" x14ac:dyDescent="0.2">
      <c r="B55" s="3"/>
      <c r="C55" s="238" t="str">
        <f>'TRAD-Presentation'!B50</f>
        <v>Les données sont à remplir dans les cases vertes des feuilles avec onglets verts</v>
      </c>
    </row>
    <row r="56" spans="2:7" x14ac:dyDescent="0.2">
      <c r="C56" s="239" t="str">
        <f>'TRAD-Presentation'!B51</f>
        <v>Les données dans des cellules oranges correspondent à des données remplies dans des feuilles précédentes</v>
      </c>
      <c r="E56" s="942"/>
    </row>
    <row r="57" spans="2:7" ht="25.5" customHeight="1" x14ac:dyDescent="0.2"/>
    <row r="58" spans="2:7" x14ac:dyDescent="0.2">
      <c r="B58" s="3"/>
      <c r="C58" s="2091" t="str">
        <f>'TRAD-Presentation'!B52</f>
        <v>Si vous souhaitez tenir compte des stocks, il est possible de le faire. 
Ces données sont prises en compte dans l'onglet final 'Synthèse globale quantité prix', uniquement pour les 2 premières années.</v>
      </c>
      <c r="D58" s="2091"/>
      <c r="E58" s="2091"/>
      <c r="F58" s="2091"/>
      <c r="G58" s="2091"/>
    </row>
    <row r="59" spans="2:7" x14ac:dyDescent="0.2">
      <c r="B59" s="3"/>
      <c r="C59" s="942"/>
    </row>
    <row r="60" spans="2:7" x14ac:dyDescent="0.2">
      <c r="B60" s="3" t="str">
        <f>'TRAD-Presentation'!B53</f>
        <v>Deuxième étape</v>
      </c>
    </row>
    <row r="61" spans="2:7" x14ac:dyDescent="0.2">
      <c r="B61" s="3"/>
      <c r="C61" s="4" t="str">
        <f>'TRAD-Presentation'!B54</f>
        <v>lire les résultats dans les tableaux de synthèse des onglets oranges</v>
      </c>
    </row>
    <row r="62" spans="2:7" x14ac:dyDescent="0.2">
      <c r="B62" s="3"/>
      <c r="C62" s="4" t="str">
        <f>'TRAD-Presentation'!B55</f>
        <v>Les pages sont paramétrées pour être imprimées. Il est également possible d'utiliser l'option 'Save as pdf' si disponible. (voir http://www.microsoft.com/downloads)</v>
      </c>
    </row>
    <row r="63" spans="2:7" x14ac:dyDescent="0.2">
      <c r="B63" s="3"/>
      <c r="C63" s="944"/>
    </row>
    <row r="64" spans="2:7" x14ac:dyDescent="0.2">
      <c r="B64" s="3"/>
    </row>
    <row r="65" spans="1:9" s="8" customFormat="1" x14ac:dyDescent="0.2">
      <c r="A65" s="4"/>
      <c r="B65" s="187" t="str">
        <f>'TRAD-Presentation'!B56</f>
        <v xml:space="preserve">Commentaires </v>
      </c>
      <c r="C65" s="23"/>
      <c r="D65" s="23"/>
      <c r="E65" s="23"/>
      <c r="F65" s="23"/>
      <c r="G65" s="23"/>
      <c r="H65" s="23"/>
      <c r="I65" s="4"/>
    </row>
    <row r="66" spans="1:9" s="8" customFormat="1" x14ac:dyDescent="0.2">
      <c r="B66" s="10"/>
      <c r="C66" s="188" t="str">
        <f>'TRAD-Presentation'!B57</f>
        <v>Les résultats tiennent compte de toutes les données entrées et de tous les paramètres sélectionnés.</v>
      </c>
      <c r="E66" s="945"/>
    </row>
    <row r="67" spans="1:9" x14ac:dyDescent="0.2">
      <c r="A67" s="8"/>
      <c r="B67" s="10"/>
      <c r="C67" s="188" t="str">
        <f>'TRAD-Presentation'!B58</f>
        <v>Dans l'onglet formule, assurez vous que dans 'Options de calcul', les calculs soient automatisés. Cela peut totalement fausser vos résultats.</v>
      </c>
      <c r="D67" s="8"/>
      <c r="E67" s="10"/>
      <c r="F67" s="8"/>
      <c r="G67" s="8"/>
      <c r="H67" s="8"/>
      <c r="I67" s="8"/>
    </row>
    <row r="68" spans="1:9" x14ac:dyDescent="0.2">
      <c r="C68" s="188" t="str">
        <f>'TRAD-Presentation'!B59</f>
        <v>Attention, il est nécessaire d'ajouter à ces quantités les besoins en ARV des activités de PTME et de PEC des AES</v>
      </c>
      <c r="E68" s="942"/>
    </row>
    <row r="69" spans="1:9" x14ac:dyDescent="0.2">
      <c r="C69" s="188"/>
    </row>
    <row r="71" spans="1:9" x14ac:dyDescent="0.2">
      <c r="C71" s="942" t="str">
        <f>'TRAD-Presentation'!B60</f>
        <v>Malgré l'attention que nous avons pu mettre dans cet outil, il est possible qu'une erreur s'y soit glissée. Merci de nous en faire part !</v>
      </c>
      <c r="E71" s="942"/>
    </row>
    <row r="72" spans="1:9" customFormat="1" ht="13.5" thickBot="1" x14ac:dyDescent="0.25">
      <c r="A72" s="4"/>
      <c r="B72" s="4"/>
      <c r="C72" s="4"/>
      <c r="D72" s="4"/>
      <c r="E72" s="4"/>
      <c r="F72" s="4"/>
      <c r="G72" s="4"/>
      <c r="H72" s="4"/>
      <c r="I72" s="4"/>
    </row>
    <row r="73" spans="1:9" customFormat="1" ht="17.25" customHeight="1" thickTop="1" x14ac:dyDescent="0.2">
      <c r="B73" s="874"/>
      <c r="C73" s="875"/>
      <c r="D73" s="875"/>
      <c r="E73" s="875"/>
      <c r="F73" s="875"/>
      <c r="G73" s="875"/>
      <c r="H73" s="876"/>
    </row>
    <row r="74" spans="1:9" customFormat="1" x14ac:dyDescent="0.2">
      <c r="B74" s="877"/>
      <c r="C74" s="878" t="str">
        <f>'TRAD-Presentation'!B61</f>
        <v>Cet outil fait l'objet d'une licence libre de type Creative Commons (http://creativecommons.org/)</v>
      </c>
      <c r="D74" s="879"/>
      <c r="E74" s="879"/>
      <c r="F74" s="879"/>
      <c r="G74" s="879"/>
      <c r="H74" s="880"/>
    </row>
    <row r="75" spans="1:9" s="882" customFormat="1" ht="26.25" customHeight="1" x14ac:dyDescent="0.2">
      <c r="A75"/>
      <c r="B75" s="877"/>
      <c r="C75" s="3"/>
      <c r="D75" s="881" t="s">
        <v>400</v>
      </c>
      <c r="E75" s="879"/>
      <c r="F75" s="879"/>
      <c r="G75" s="879"/>
      <c r="H75" s="880"/>
      <c r="I75"/>
    </row>
    <row r="76" spans="1:9" s="882" customFormat="1" ht="26.25" customHeight="1" x14ac:dyDescent="0.2">
      <c r="B76" s="883"/>
      <c r="C76"/>
      <c r="D76" s="884" t="str">
        <f>'TRAD-Presentation'!B62</f>
        <v xml:space="preserve">L'utilisation et la copie de cet outil sont libres dans la mesure où : </v>
      </c>
      <c r="E76" s="885"/>
      <c r="F76" s="885"/>
      <c r="G76" s="885"/>
      <c r="H76" s="886"/>
    </row>
    <row r="77" spans="1:9" s="882" customFormat="1" ht="26.25" customHeight="1" x14ac:dyDescent="0.2">
      <c r="B77" s="883"/>
      <c r="C77" s="885"/>
      <c r="D77" s="887" t="str">
        <f>'TRAD-Presentation'!B63</f>
        <v xml:space="preserve">1. L'outil est utilisé dans un but non lucratif  </v>
      </c>
      <c r="E77" s="885"/>
      <c r="F77" s="885"/>
      <c r="G77" s="885"/>
      <c r="H77" s="886"/>
    </row>
    <row r="78" spans="1:9" s="882" customFormat="1" ht="26.25" customHeight="1" x14ac:dyDescent="0.2">
      <c r="B78" s="883"/>
      <c r="C78" s="885"/>
      <c r="D78" s="887" t="str">
        <f>'TRAD-Presentation'!B64</f>
        <v>2. Il sert à atteindre l'objectif pour lequel il a été crée : améliorer la disponibilité des traitements antirétroviraux</v>
      </c>
      <c r="E78" s="885"/>
      <c r="F78" s="885"/>
      <c r="G78" s="885"/>
      <c r="H78" s="886"/>
    </row>
    <row r="79" spans="1:9" s="882" customFormat="1" ht="26.25" customHeight="1" x14ac:dyDescent="0.2">
      <c r="B79" s="883"/>
      <c r="C79" s="885"/>
      <c r="D79" s="887" t="str">
        <f>'TRAD-Presentation'!B65</f>
        <v>3. L'utilisateur reconnaît que l'outil a été initialement développé par Solthis</v>
      </c>
      <c r="E79" s="885"/>
      <c r="F79" s="885"/>
      <c r="G79" s="885"/>
      <c r="H79" s="886"/>
    </row>
    <row r="80" spans="1:9" s="882" customFormat="1" ht="26.25" customHeight="1" x14ac:dyDescent="0.2">
      <c r="B80" s="883"/>
      <c r="C80" s="885"/>
      <c r="D80" s="888" t="str">
        <f>'TRAD-Presentation'!B66</f>
        <v>Pour toutes modifications et adaptations de l'outil, contactez-nous.</v>
      </c>
      <c r="E80" s="885"/>
      <c r="F80" s="885"/>
      <c r="G80" s="885"/>
      <c r="H80" s="886"/>
    </row>
    <row r="81" spans="1:9" s="882" customFormat="1" ht="26.25" customHeight="1" x14ac:dyDescent="0.2">
      <c r="B81" s="883"/>
      <c r="C81" s="885"/>
      <c r="D81" s="884"/>
      <c r="E81" s="885"/>
      <c r="F81" s="885"/>
      <c r="G81" s="885"/>
      <c r="H81" s="886"/>
    </row>
    <row r="82" spans="1:9" customFormat="1" x14ac:dyDescent="0.2">
      <c r="A82" s="882"/>
      <c r="B82" s="883"/>
      <c r="C82" s="885"/>
      <c r="D82" s="888"/>
      <c r="E82" s="885"/>
      <c r="F82" s="885"/>
      <c r="G82" s="885"/>
      <c r="H82" s="886"/>
      <c r="I82" s="882"/>
    </row>
    <row r="83" spans="1:9" customFormat="1" x14ac:dyDescent="0.2">
      <c r="B83" s="877"/>
      <c r="C83" s="879"/>
      <c r="D83" s="889" t="str">
        <f>'TRAD-Presentation'!B67</f>
        <v xml:space="preserve">Pour toute questions et commentaires, contacter Solthis : </v>
      </c>
      <c r="E83" s="879"/>
      <c r="F83" s="881" t="s">
        <v>401</v>
      </c>
      <c r="G83" s="879"/>
      <c r="H83" s="886"/>
    </row>
    <row r="84" spans="1:9" ht="13.5" thickBot="1" x14ac:dyDescent="0.25">
      <c r="A84"/>
      <c r="B84" s="890"/>
      <c r="C84" s="891"/>
      <c r="D84" s="892"/>
      <c r="E84" s="891"/>
      <c r="F84" s="891"/>
      <c r="G84" s="891"/>
      <c r="H84" s="893"/>
      <c r="I84"/>
    </row>
    <row r="85" spans="1:9" ht="13.5" thickTop="1" x14ac:dyDescent="0.2"/>
  </sheetData>
  <sheetProtection algorithmName="SHA-512" hashValue="v62xyEQyr+/O4hIoS0AQJ/2IyOYcRFoxa429kG0VO7snmDzNislohcfHAtLXKdlJe+su53sxfNpMStFgSo7nyg==" saltValue="tpkrdOQu6T924KNh0FlwUw==" spinCount="100000" sheet="1" objects="1" scenarios="1" selectLockedCells="1"/>
  <mergeCells count="8">
    <mergeCell ref="C58:G58"/>
    <mergeCell ref="A4:I4"/>
    <mergeCell ref="A10:H10"/>
    <mergeCell ref="B49:F49"/>
    <mergeCell ref="B21:F21"/>
    <mergeCell ref="E33:E37"/>
    <mergeCell ref="E38:E42"/>
    <mergeCell ref="B12:F12"/>
  </mergeCells>
  <phoneticPr fontId="12" type="noConversion"/>
  <dataValidations count="1">
    <dataValidation type="list" allowBlank="1" showInputMessage="1" showErrorMessage="1" sqref="D2:D3">
      <formula1>"Anglais,Français"</formula1>
    </dataValidation>
  </dataValidations>
  <hyperlinks>
    <hyperlink ref="D75" r:id="rId1"/>
    <hyperlink ref="F83" r:id="rId2"/>
  </hyperlinks>
  <pageMargins left="0.7" right="0.7" top="0.75" bottom="0.75" header="0.3" footer="0.3"/>
  <pageSetup paperSize="9" orientation="portrait"/>
  <drawing r:id="rId3"/>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P706"/>
  <sheetViews>
    <sheetView zoomScale="62" zoomScaleNormal="62" zoomScalePageLayoutView="62" workbookViewId="0">
      <selection activeCell="D6" sqref="D6"/>
    </sheetView>
  </sheetViews>
  <sheetFormatPr baseColWidth="10" defaultColWidth="11.5" defaultRowHeight="15" x14ac:dyDescent="0.2"/>
  <cols>
    <col min="1" max="1" width="6" style="1614" customWidth="1"/>
    <col min="2" max="2" width="62.83203125" style="1689" customWidth="1"/>
    <col min="3" max="3" width="6.1640625" style="1614" customWidth="1"/>
    <col min="4" max="5" width="96.6640625" style="1614" customWidth="1"/>
    <col min="6" max="6" width="11.5" style="1614"/>
    <col min="7" max="7" width="12" style="1614" customWidth="1"/>
    <col min="8" max="8" width="0.33203125" style="1614" customWidth="1"/>
    <col min="9" max="10" width="12" style="1614" customWidth="1"/>
    <col min="11" max="11" width="11.33203125" style="1614" customWidth="1"/>
    <col min="12" max="23" width="12" style="1614" customWidth="1"/>
    <col min="24" max="24" width="6.6640625" style="1614" customWidth="1"/>
    <col min="25" max="36" width="12" style="1614" customWidth="1"/>
    <col min="37" max="16384" width="11.5" style="1614"/>
  </cols>
  <sheetData>
    <row r="1" spans="2:42" x14ac:dyDescent="0.2">
      <c r="B1" s="1689" t="s">
        <v>827</v>
      </c>
      <c r="D1" s="1649" t="s">
        <v>754</v>
      </c>
      <c r="E1" s="1650" t="s">
        <v>753</v>
      </c>
      <c r="F1" s="1651"/>
      <c r="G1" s="1651"/>
      <c r="H1" s="1651"/>
      <c r="I1" s="1652"/>
      <c r="J1" s="1651"/>
      <c r="K1" s="1651"/>
      <c r="L1" s="1651"/>
      <c r="M1" s="1651"/>
      <c r="N1" s="1651"/>
      <c r="O1" s="1651"/>
      <c r="P1" s="1651"/>
      <c r="Q1" s="1651"/>
      <c r="R1" s="1651"/>
      <c r="S1" s="1651"/>
      <c r="T1" s="1651"/>
      <c r="U1" s="1651"/>
      <c r="V1" s="1651"/>
      <c r="W1" s="1651"/>
      <c r="X1" s="1651"/>
      <c r="Y1" s="1651"/>
      <c r="Z1" s="1651"/>
      <c r="AA1" s="1651"/>
      <c r="AB1" s="1651"/>
      <c r="AC1" s="1651"/>
      <c r="AD1" s="1651"/>
      <c r="AE1" s="1651"/>
      <c r="AF1" s="1651"/>
      <c r="AG1" s="1651"/>
      <c r="AH1" s="1651"/>
      <c r="AI1" s="1651"/>
      <c r="AJ1" s="1651"/>
      <c r="AK1" s="1651"/>
      <c r="AL1" s="1651"/>
      <c r="AM1" s="1651"/>
      <c r="AN1" s="1651"/>
      <c r="AO1" s="1651"/>
      <c r="AP1" s="1651"/>
    </row>
    <row r="2" spans="2:42" s="1623" customFormat="1" ht="30" x14ac:dyDescent="0.2">
      <c r="B2" s="1631" t="str">
        <f>IF(Presentation!$D$2="Français",'TRAD-Adults YEAR (2)'!D2,IF(Presentation!$D$2="Anglais",'TRAD-Adults YEAR (2)'!E2,""))</f>
        <v>Répartition prévue au début de la première année pour les patients déjà pris en charge</v>
      </c>
      <c r="D2" s="1622" t="s">
        <v>905</v>
      </c>
      <c r="E2" s="1622" t="s">
        <v>1224</v>
      </c>
      <c r="F2" s="1622"/>
      <c r="G2" s="1622"/>
      <c r="H2" s="1622"/>
      <c r="I2" s="1653"/>
      <c r="J2" s="1622"/>
      <c r="K2" s="1622"/>
      <c r="L2" s="1622"/>
      <c r="M2" s="1622"/>
      <c r="N2" s="1622"/>
      <c r="O2" s="1622"/>
      <c r="P2" s="1622"/>
      <c r="Q2" s="1622"/>
      <c r="R2" s="1622"/>
      <c r="S2" s="1622"/>
      <c r="T2" s="1622"/>
      <c r="U2" s="1622"/>
      <c r="V2" s="1622"/>
      <c r="W2" s="1622"/>
      <c r="X2" s="1622"/>
      <c r="Y2" s="1622"/>
      <c r="Z2" s="1622"/>
      <c r="AA2" s="1622"/>
      <c r="AB2" s="1622"/>
      <c r="AC2" s="1622"/>
      <c r="AD2" s="1622"/>
      <c r="AE2" s="1622"/>
      <c r="AF2" s="1622"/>
      <c r="AG2" s="1622"/>
      <c r="AH2" s="1622"/>
      <c r="AI2" s="1622"/>
      <c r="AJ2" s="1622"/>
      <c r="AK2" s="1622"/>
      <c r="AL2" s="1622"/>
      <c r="AM2" s="1622"/>
      <c r="AN2" s="1622"/>
      <c r="AO2" s="1622"/>
      <c r="AP2" s="1622"/>
    </row>
    <row r="3" spans="2:42" s="1623" customFormat="1" ht="30" x14ac:dyDescent="0.2">
      <c r="B3" s="1631" t="str">
        <f>IF(Presentation!$D$2="Français",'TRAD-Adults YEAR (2)'!D3,IF(Presentation!$D$2="Anglais",'TRAD-Adults YEAR (2)'!E3,""))</f>
        <v>Répartition prévue au début de la deuxième année pour les patients déjà pris en charge</v>
      </c>
      <c r="D3" s="1622" t="s">
        <v>995</v>
      </c>
      <c r="E3" s="1622" t="s">
        <v>1090</v>
      </c>
      <c r="F3" s="1622"/>
      <c r="G3" s="1622"/>
      <c r="H3" s="1618"/>
      <c r="I3" s="1618"/>
      <c r="J3" s="1618"/>
      <c r="K3" s="1618"/>
      <c r="L3" s="1618"/>
      <c r="M3" s="1618"/>
      <c r="N3" s="1618"/>
      <c r="O3" s="1618"/>
      <c r="P3" s="1622"/>
      <c r="Q3" s="1622"/>
      <c r="R3" s="1622"/>
      <c r="S3" s="1622"/>
      <c r="T3" s="1622"/>
      <c r="U3" s="1622"/>
      <c r="V3" s="1622"/>
      <c r="W3" s="1622"/>
      <c r="X3" s="1622"/>
      <c r="Y3" s="1622"/>
      <c r="Z3" s="1622"/>
      <c r="AA3" s="1622"/>
      <c r="AB3" s="1622"/>
      <c r="AC3" s="1622"/>
      <c r="AD3" s="1622"/>
      <c r="AE3" s="1622"/>
      <c r="AF3" s="1622"/>
      <c r="AG3" s="1622"/>
      <c r="AH3" s="1622"/>
      <c r="AI3" s="1622"/>
      <c r="AJ3" s="1622"/>
      <c r="AK3" s="1622"/>
      <c r="AL3" s="1622"/>
      <c r="AM3" s="1622"/>
      <c r="AN3" s="1622"/>
      <c r="AO3" s="1622"/>
      <c r="AP3" s="1622"/>
    </row>
    <row r="4" spans="2:42" s="1623" customFormat="1" ht="30" x14ac:dyDescent="0.2">
      <c r="B4" s="1631" t="str">
        <f>IF(Presentation!$D$2="Français",'TRAD-Adults YEAR (2)'!D4,IF(Presentation!$D$2="Anglais",'TRAD-Adults YEAR (2)'!E4,""))</f>
        <v>Répartition prévue au début de la troisième année pour les patients déjà pris en charge</v>
      </c>
      <c r="D4" s="1622" t="s">
        <v>1003</v>
      </c>
      <c r="E4" s="1622" t="s">
        <v>1091</v>
      </c>
      <c r="F4" s="1622"/>
      <c r="G4" s="1622"/>
      <c r="H4" s="1618"/>
      <c r="I4" s="1618"/>
      <c r="J4" s="1618"/>
      <c r="K4" s="1618"/>
      <c r="L4" s="1618"/>
      <c r="M4" s="1618"/>
      <c r="N4" s="1618"/>
      <c r="O4" s="1618"/>
      <c r="P4" s="1622"/>
      <c r="Q4" s="1622"/>
      <c r="R4" s="1622"/>
      <c r="S4" s="1622"/>
      <c r="T4" s="1622"/>
      <c r="U4" s="1622"/>
      <c r="V4" s="1622"/>
      <c r="W4" s="1622"/>
      <c r="X4" s="1622"/>
      <c r="Y4" s="1622"/>
      <c r="Z4" s="1622"/>
      <c r="AA4" s="1622"/>
      <c r="AB4" s="1622"/>
      <c r="AC4" s="1622"/>
      <c r="AD4" s="1622"/>
      <c r="AE4" s="1622"/>
      <c r="AF4" s="1622"/>
      <c r="AG4" s="1622"/>
      <c r="AH4" s="1622"/>
      <c r="AI4" s="1622"/>
      <c r="AJ4" s="1622"/>
      <c r="AK4" s="1622"/>
      <c r="AL4" s="1622"/>
      <c r="AM4" s="1622"/>
      <c r="AN4" s="1622"/>
      <c r="AO4" s="1622"/>
      <c r="AP4" s="1622"/>
    </row>
    <row r="5" spans="2:42" s="1623" customFormat="1" ht="30" x14ac:dyDescent="0.2">
      <c r="B5" s="1631" t="str">
        <f>IF(Presentation!$D$2="Français",'TRAD-Adults YEAR (2)'!D5,IF(Presentation!$D$2="Anglais",'TRAD-Adults YEAR (2)'!E5,""))</f>
        <v>Répartition prévue au début de la quatrième année pour les patients déjà pris en charge</v>
      </c>
      <c r="D5" s="1622" t="s">
        <v>1006</v>
      </c>
      <c r="E5" s="1622" t="s">
        <v>1092</v>
      </c>
      <c r="F5" s="1622"/>
      <c r="G5" s="1622"/>
      <c r="H5" s="1618"/>
      <c r="I5" s="1618"/>
      <c r="J5" s="1618"/>
      <c r="K5" s="1618"/>
      <c r="L5" s="1618"/>
      <c r="M5" s="1618"/>
      <c r="N5" s="1618"/>
      <c r="O5" s="1618"/>
      <c r="P5" s="1622"/>
      <c r="Q5" s="1622"/>
      <c r="R5" s="1622"/>
      <c r="S5" s="1622"/>
      <c r="T5" s="1622"/>
      <c r="U5" s="1622"/>
      <c r="V5" s="1622"/>
      <c r="W5" s="1622"/>
      <c r="X5" s="1622"/>
      <c r="Y5" s="1622"/>
      <c r="Z5" s="1622"/>
      <c r="AA5" s="1622"/>
      <c r="AB5" s="1622"/>
      <c r="AC5" s="1622"/>
      <c r="AD5" s="1622"/>
      <c r="AE5" s="1622"/>
      <c r="AF5" s="1622"/>
      <c r="AG5" s="1622"/>
      <c r="AH5" s="1622"/>
      <c r="AI5" s="1622"/>
      <c r="AJ5" s="1622"/>
      <c r="AK5" s="1622"/>
      <c r="AL5" s="1622"/>
      <c r="AM5" s="1622"/>
      <c r="AN5" s="1622"/>
      <c r="AO5" s="1622"/>
      <c r="AP5" s="1622"/>
    </row>
    <row r="6" spans="2:42" s="1623" customFormat="1" ht="30" x14ac:dyDescent="0.2">
      <c r="B6" s="1631" t="str">
        <f>IF(Presentation!$D$2="Français",'TRAD-Adults YEAR (2)'!D6,IF(Presentation!$D$2="Anglais",'TRAD-Adults YEAR (2)'!E6,""))</f>
        <v>Répartition prévue au début de la cinquième année pour les patients déjà pris en charge</v>
      </c>
      <c r="D6" s="1622" t="s">
        <v>1009</v>
      </c>
      <c r="E6" s="1622" t="s">
        <v>1093</v>
      </c>
      <c r="F6" s="1622"/>
      <c r="G6" s="1622"/>
      <c r="H6" s="1618"/>
      <c r="I6" s="1618"/>
      <c r="J6" s="1618"/>
      <c r="K6" s="1618"/>
      <c r="L6" s="1618"/>
      <c r="M6" s="1618"/>
      <c r="N6" s="1618"/>
      <c r="O6" s="1618"/>
      <c r="P6" s="1622"/>
      <c r="Q6" s="1622"/>
      <c r="R6" s="1622"/>
      <c r="S6" s="1622"/>
      <c r="T6" s="1622"/>
      <c r="U6" s="1622"/>
      <c r="V6" s="1622"/>
      <c r="W6" s="1622"/>
      <c r="X6" s="1622"/>
      <c r="Y6" s="1622"/>
      <c r="Z6" s="1622"/>
      <c r="AA6" s="1622"/>
      <c r="AB6" s="1622"/>
      <c r="AC6" s="1622"/>
      <c r="AD6" s="1622"/>
      <c r="AE6" s="1622"/>
      <c r="AF6" s="1622"/>
      <c r="AG6" s="1622"/>
      <c r="AH6" s="1622"/>
      <c r="AI6" s="1622"/>
      <c r="AJ6" s="1622"/>
      <c r="AK6" s="1622"/>
      <c r="AL6" s="1622"/>
      <c r="AM6" s="1622"/>
      <c r="AN6" s="1622"/>
      <c r="AO6" s="1622"/>
      <c r="AP6" s="1622"/>
    </row>
    <row r="7" spans="2:42" s="1623" customFormat="1" ht="30" x14ac:dyDescent="0.2">
      <c r="B7" s="1631" t="str">
        <f>IF(Presentation!$D$2="Français",'TRAD-Adults YEAR (2)'!D7,IF(Presentation!$D$2="Anglais",'TRAD-Adults YEAR (2)'!E7,""))</f>
        <v>Evolution de la file active de patients sous traitement à prévoir pour la 1ère année</v>
      </c>
      <c r="D7" s="1622" t="s">
        <v>1227</v>
      </c>
      <c r="E7" s="1622" t="s">
        <v>1228</v>
      </c>
      <c r="F7" s="1622"/>
      <c r="G7" s="1622"/>
      <c r="H7" s="1618"/>
      <c r="I7" s="1618"/>
      <c r="J7" s="1618"/>
      <c r="K7" s="1618"/>
      <c r="L7" s="1618"/>
      <c r="M7" s="1618"/>
      <c r="N7" s="1618"/>
      <c r="O7" s="1618"/>
      <c r="P7" s="1622"/>
      <c r="Q7" s="1622"/>
      <c r="R7" s="1622"/>
      <c r="S7" s="1622"/>
      <c r="T7" s="1622"/>
      <c r="U7" s="1622"/>
      <c r="V7" s="1622"/>
      <c r="W7" s="1622"/>
      <c r="X7" s="1622"/>
      <c r="Y7" s="1622"/>
      <c r="Z7" s="1622"/>
      <c r="AA7" s="1622"/>
      <c r="AB7" s="1622"/>
      <c r="AC7" s="1622"/>
      <c r="AD7" s="1622"/>
      <c r="AE7" s="1622"/>
      <c r="AF7" s="1622"/>
      <c r="AG7" s="1622"/>
      <c r="AH7" s="1622"/>
      <c r="AI7" s="1622"/>
      <c r="AJ7" s="1622"/>
      <c r="AK7" s="1622"/>
      <c r="AL7" s="1622"/>
      <c r="AM7" s="1622"/>
      <c r="AN7" s="1622"/>
      <c r="AO7" s="1622"/>
      <c r="AP7" s="1622"/>
    </row>
    <row r="8" spans="2:42" s="1623" customFormat="1" ht="30" x14ac:dyDescent="0.2">
      <c r="B8" s="1631" t="str">
        <f>IF(Presentation!$D$2="Français",'TRAD-Adults YEAR (2)'!D8,IF(Presentation!$D$2="Anglais",'TRAD-Adults YEAR (2)'!E8,""))</f>
        <v>Evolution de la file active de patients sous traitement à prévoir pour la 2ème année</v>
      </c>
      <c r="D8" s="1622" t="s">
        <v>1225</v>
      </c>
      <c r="E8" s="1622" t="s">
        <v>1226</v>
      </c>
      <c r="F8" s="1622"/>
      <c r="G8" s="1732"/>
      <c r="H8" s="1733"/>
      <c r="I8" s="1622"/>
      <c r="J8" s="1622"/>
      <c r="K8" s="1622"/>
      <c r="L8" s="1622"/>
      <c r="M8" s="1622"/>
      <c r="N8" s="1622"/>
      <c r="O8" s="1622"/>
      <c r="P8" s="1622"/>
      <c r="Q8" s="1622"/>
      <c r="R8" s="1622"/>
      <c r="S8" s="1622"/>
      <c r="T8" s="1622"/>
      <c r="U8" s="1622"/>
      <c r="V8" s="1622"/>
      <c r="W8" s="1622"/>
      <c r="X8" s="1622"/>
      <c r="Y8" s="1622"/>
      <c r="Z8" s="1622"/>
      <c r="AA8" s="1622"/>
      <c r="AB8" s="1622"/>
      <c r="AC8" s="1622"/>
      <c r="AD8" s="1622"/>
      <c r="AE8" s="1622"/>
      <c r="AF8" s="1622"/>
      <c r="AG8" s="1622"/>
      <c r="AH8" s="1622"/>
      <c r="AI8" s="1622"/>
      <c r="AJ8" s="1622"/>
      <c r="AK8" s="1622"/>
      <c r="AL8" s="1622"/>
      <c r="AM8" s="1622"/>
      <c r="AN8" s="1622"/>
      <c r="AO8" s="1622"/>
      <c r="AP8" s="1622"/>
    </row>
    <row r="9" spans="2:42" s="1623" customFormat="1" ht="30" x14ac:dyDescent="0.2">
      <c r="B9" s="1631" t="str">
        <f>IF(Presentation!$D$2="Français",'TRAD-Adults YEAR (2)'!D9,IF(Presentation!$D$2="Anglais",'TRAD-Adults YEAR (2)'!E9,""))</f>
        <v>Evolution de la file active de patients sous traitement à prévoir pour la 3ème  année</v>
      </c>
      <c r="D9" s="1622" t="s">
        <v>1229</v>
      </c>
      <c r="E9" s="1622" t="s">
        <v>1230</v>
      </c>
      <c r="F9" s="1622"/>
      <c r="G9" s="1732"/>
      <c r="H9" s="1733"/>
      <c r="I9" s="1622"/>
      <c r="J9" s="1622"/>
      <c r="K9" s="1622"/>
      <c r="L9" s="1622"/>
      <c r="M9" s="1622"/>
      <c r="N9" s="1622"/>
      <c r="O9" s="1622"/>
      <c r="P9" s="1622"/>
      <c r="Q9" s="1622"/>
      <c r="R9" s="1622"/>
      <c r="S9" s="1622"/>
      <c r="T9" s="1622"/>
      <c r="U9" s="1622"/>
      <c r="V9" s="1622"/>
      <c r="W9" s="1622"/>
      <c r="X9" s="1622"/>
      <c r="Y9" s="1622"/>
      <c r="Z9" s="1622"/>
      <c r="AA9" s="1622"/>
      <c r="AB9" s="1622"/>
      <c r="AC9" s="1622"/>
      <c r="AD9" s="1622"/>
      <c r="AE9" s="1622"/>
      <c r="AF9" s="1622"/>
      <c r="AG9" s="1622"/>
      <c r="AH9" s="1622"/>
      <c r="AI9" s="1622"/>
      <c r="AJ9" s="1622"/>
      <c r="AK9" s="1622"/>
      <c r="AL9" s="1622"/>
      <c r="AM9" s="1622"/>
      <c r="AN9" s="1622"/>
      <c r="AO9" s="1622"/>
      <c r="AP9" s="1622"/>
    </row>
    <row r="10" spans="2:42" s="1623" customFormat="1" ht="30" x14ac:dyDescent="0.2">
      <c r="B10" s="1631" t="str">
        <f>IF(Presentation!$D$2="Français",'TRAD-Adults YEAR (2)'!D10,IF(Presentation!$D$2="Anglais",'TRAD-Adults YEAR (2)'!E10,""))</f>
        <v>Evolution de la file active de patients sous traitement à prévoir pour la 4ème année</v>
      </c>
      <c r="D10" s="1622" t="s">
        <v>1231</v>
      </c>
      <c r="E10" s="1622" t="s">
        <v>1232</v>
      </c>
      <c r="F10" s="1622"/>
      <c r="G10" s="1732"/>
      <c r="H10" s="1733"/>
      <c r="I10" s="1622"/>
      <c r="J10" s="1622"/>
      <c r="K10" s="1622"/>
      <c r="L10" s="1622"/>
      <c r="M10" s="1622"/>
      <c r="N10" s="1622"/>
      <c r="O10" s="1622"/>
      <c r="P10" s="1622"/>
      <c r="Q10" s="1622"/>
      <c r="R10" s="1622"/>
      <c r="S10" s="1622"/>
      <c r="T10" s="1622"/>
      <c r="U10" s="1622"/>
      <c r="V10" s="1622"/>
      <c r="W10" s="1622"/>
      <c r="X10" s="1622"/>
      <c r="Y10" s="1622"/>
      <c r="Z10" s="1622"/>
      <c r="AA10" s="1622"/>
      <c r="AB10" s="1622"/>
      <c r="AC10" s="1622"/>
      <c r="AD10" s="1622"/>
      <c r="AE10" s="1622"/>
      <c r="AF10" s="1622"/>
      <c r="AG10" s="1622"/>
      <c r="AH10" s="1622"/>
      <c r="AI10" s="1622"/>
      <c r="AJ10" s="1622"/>
      <c r="AK10" s="1622"/>
      <c r="AL10" s="1622"/>
      <c r="AM10" s="1622"/>
      <c r="AN10" s="1622"/>
      <c r="AO10" s="1622"/>
      <c r="AP10" s="1622"/>
    </row>
    <row r="11" spans="2:42" s="1623" customFormat="1" ht="30" x14ac:dyDescent="0.2">
      <c r="B11" s="1631" t="str">
        <f>IF(Presentation!$D$2="Français",'TRAD-Adults YEAR (2)'!D11,IF(Presentation!$D$2="Anglais",'TRAD-Adults YEAR (2)'!E11,""))</f>
        <v>Evolution de la file active de patients sous traitement à prévoir pour la 5ème année</v>
      </c>
      <c r="D11" s="1622" t="s">
        <v>1233</v>
      </c>
      <c r="E11" s="1622" t="s">
        <v>1234</v>
      </c>
      <c r="F11" s="1622"/>
      <c r="G11" s="1732"/>
      <c r="H11" s="1733"/>
      <c r="I11" s="1622"/>
      <c r="J11" s="1622"/>
      <c r="K11" s="1622"/>
      <c r="L11" s="1622"/>
      <c r="M11" s="1622"/>
      <c r="N11" s="1622"/>
      <c r="O11" s="1622"/>
      <c r="P11" s="1622"/>
      <c r="Q11" s="1622"/>
      <c r="R11" s="1622"/>
      <c r="S11" s="1622"/>
      <c r="T11" s="1622"/>
      <c r="U11" s="1622"/>
      <c r="V11" s="1622"/>
      <c r="W11" s="1622"/>
      <c r="X11" s="1622"/>
      <c r="Y11" s="1622"/>
      <c r="Z11" s="1622"/>
      <c r="AA11" s="1622"/>
      <c r="AB11" s="1622"/>
      <c r="AC11" s="1622"/>
      <c r="AD11" s="1622"/>
      <c r="AE11" s="1622"/>
      <c r="AF11" s="1622"/>
      <c r="AG11" s="1622"/>
      <c r="AH11" s="1622"/>
      <c r="AI11" s="1622"/>
      <c r="AJ11" s="1622"/>
      <c r="AK11" s="1622"/>
      <c r="AL11" s="1622"/>
      <c r="AM11" s="1622"/>
      <c r="AN11" s="1622"/>
      <c r="AO11" s="1622"/>
      <c r="AP11" s="1622"/>
    </row>
    <row r="12" spans="2:42" s="1623" customFormat="1" ht="45" x14ac:dyDescent="0.2">
      <c r="B12" s="1631" t="str">
        <f>IF(Presentation!$D$2="Français",'TRAD-Adults YEAR (2)'!D12,IF(Presentation!$D$2="Anglais",'TRAD-Adults YEAR (2)'!E12,""))</f>
        <v>Quantification des besoins en ARV pour la prise en charge médicale pour la première année selon la répartition envisagée</v>
      </c>
      <c r="D12" s="1622" t="s">
        <v>908</v>
      </c>
      <c r="E12" s="1623" t="s">
        <v>955</v>
      </c>
      <c r="F12" s="1622"/>
      <c r="G12" s="1732"/>
      <c r="H12" s="1733"/>
      <c r="I12" s="1622"/>
      <c r="J12" s="1622"/>
      <c r="K12" s="1622"/>
      <c r="L12" s="1622"/>
      <c r="M12" s="1622"/>
      <c r="N12" s="1622"/>
      <c r="O12" s="1622"/>
      <c r="P12" s="1622"/>
      <c r="Q12" s="1622"/>
      <c r="R12" s="1622"/>
      <c r="S12" s="1622"/>
      <c r="T12" s="1622"/>
      <c r="U12" s="1622"/>
      <c r="V12" s="1622"/>
      <c r="W12" s="1622"/>
      <c r="X12" s="1622"/>
      <c r="Y12" s="1622"/>
      <c r="Z12" s="1622"/>
      <c r="AA12" s="1622"/>
      <c r="AB12" s="1622"/>
      <c r="AC12" s="1622"/>
      <c r="AD12" s="1622"/>
      <c r="AE12" s="1622"/>
      <c r="AF12" s="1622"/>
      <c r="AG12" s="1622"/>
      <c r="AH12" s="1622"/>
      <c r="AI12" s="1622"/>
      <c r="AJ12" s="1622"/>
      <c r="AK12" s="1622"/>
      <c r="AL12" s="1622"/>
      <c r="AM12" s="1622"/>
      <c r="AN12" s="1622"/>
      <c r="AO12" s="1622"/>
      <c r="AP12" s="1622"/>
    </row>
    <row r="13" spans="2:42" s="1623" customFormat="1" ht="45" x14ac:dyDescent="0.2">
      <c r="B13" s="1631" t="str">
        <f>IF(Presentation!$D$2="Français",'TRAD-Adults YEAR (2)'!D13,IF(Presentation!$D$2="Anglais",'TRAD-Adults YEAR (2)'!E13,""))</f>
        <v>Quantification des besoins en ARV pour la prise en charge médicale pour la deuxième année selon la répartition envisagée</v>
      </c>
      <c r="D13" s="1622" t="s">
        <v>996</v>
      </c>
      <c r="E13" s="1623" t="s">
        <v>998</v>
      </c>
      <c r="F13" s="1622"/>
      <c r="G13" s="1734"/>
      <c r="H13" s="1622"/>
      <c r="I13" s="1622"/>
      <c r="J13" s="1622"/>
      <c r="K13" s="1622"/>
      <c r="L13" s="1622"/>
      <c r="M13" s="1622"/>
      <c r="N13" s="1622"/>
      <c r="O13" s="1622"/>
      <c r="P13" s="1622"/>
      <c r="Q13" s="1622"/>
      <c r="R13" s="1622"/>
      <c r="S13" s="1622"/>
      <c r="T13" s="1622"/>
      <c r="U13" s="1622"/>
      <c r="V13" s="1622"/>
      <c r="W13" s="1622"/>
      <c r="X13" s="1622"/>
      <c r="Y13" s="1622"/>
      <c r="Z13" s="1622"/>
      <c r="AA13" s="1622"/>
      <c r="AB13" s="1622"/>
      <c r="AC13" s="1622"/>
      <c r="AD13" s="1622"/>
      <c r="AE13" s="1622"/>
      <c r="AF13" s="1622"/>
      <c r="AG13" s="1622"/>
      <c r="AH13" s="1622"/>
      <c r="AI13" s="1622"/>
      <c r="AJ13" s="1622"/>
      <c r="AK13" s="1622"/>
      <c r="AL13" s="1622"/>
      <c r="AM13" s="1622"/>
      <c r="AN13" s="1622"/>
      <c r="AO13" s="1622"/>
      <c r="AP13" s="1622"/>
    </row>
    <row r="14" spans="2:42" s="1623" customFormat="1" ht="45" x14ac:dyDescent="0.2">
      <c r="B14" s="1631" t="str">
        <f>IF(Presentation!$D$2="Français",'TRAD-Adults YEAR (2)'!D14,IF(Presentation!$D$2="Anglais",'TRAD-Adults YEAR (2)'!E14,""))</f>
        <v>Quantification des besoins en ARV pour la prise en charge médicale pour la troisième année selon la répartition envisagée</v>
      </c>
      <c r="D14" s="1622" t="s">
        <v>1004</v>
      </c>
      <c r="E14" s="1623" t="s">
        <v>1005</v>
      </c>
      <c r="F14" s="1622"/>
      <c r="G14" s="1622"/>
      <c r="H14" s="1622"/>
      <c r="I14" s="1622"/>
      <c r="J14" s="1622"/>
      <c r="K14" s="1622"/>
      <c r="L14" s="1622"/>
      <c r="M14" s="1622"/>
      <c r="N14" s="1622"/>
    </row>
    <row r="15" spans="2:42" s="1623" customFormat="1" ht="45" x14ac:dyDescent="0.2">
      <c r="B15" s="1631" t="str">
        <f>IF(Presentation!$D$2="Français",'TRAD-Adults YEAR (2)'!D15,IF(Presentation!$D$2="Anglais",'TRAD-Adults YEAR (2)'!E15,""))</f>
        <v>Quantification des besoins en ARV pour la prise en charge médicale pour la quatrième année selon la répartition envisagée</v>
      </c>
      <c r="D15" s="1622" t="s">
        <v>1008</v>
      </c>
      <c r="E15" s="1623" t="s">
        <v>1007</v>
      </c>
    </row>
    <row r="16" spans="2:42" s="1623" customFormat="1" ht="45" x14ac:dyDescent="0.2">
      <c r="B16" s="1631" t="str">
        <f>IF(Presentation!$D$2="Français",'TRAD-Adults YEAR (2)'!D16,IF(Presentation!$D$2="Anglais",'TRAD-Adults YEAR (2)'!E16,""))</f>
        <v>Quantification des besoins en ARV pour la prise en charge médicale pour la cinquième année selon la répartition envisagée</v>
      </c>
      <c r="D16" s="1622" t="s">
        <v>1010</v>
      </c>
      <c r="E16" s="1623" t="s">
        <v>1011</v>
      </c>
    </row>
    <row r="17" spans="2:5" s="1623" customFormat="1" x14ac:dyDescent="0.2">
      <c r="B17" s="1631"/>
    </row>
    <row r="18" spans="2:5" s="1623" customFormat="1" x14ac:dyDescent="0.2">
      <c r="B18" s="1631"/>
    </row>
    <row r="19" spans="2:5" s="1623" customFormat="1" x14ac:dyDescent="0.2">
      <c r="B19" s="1631"/>
    </row>
    <row r="20" spans="2:5" s="1623" customFormat="1" x14ac:dyDescent="0.2">
      <c r="B20" s="1631"/>
    </row>
    <row r="21" spans="2:5" s="1623" customFormat="1" x14ac:dyDescent="0.2">
      <c r="B21" s="1631"/>
    </row>
    <row r="22" spans="2:5" s="1623" customFormat="1" x14ac:dyDescent="0.2">
      <c r="B22" s="1631"/>
    </row>
    <row r="23" spans="2:5" s="1623" customFormat="1" x14ac:dyDescent="0.2">
      <c r="B23" s="1631"/>
    </row>
    <row r="24" spans="2:5" s="1623" customFormat="1" x14ac:dyDescent="0.2">
      <c r="B24" s="1631"/>
    </row>
    <row r="25" spans="2:5" s="1623" customFormat="1" x14ac:dyDescent="0.2">
      <c r="B25" s="1631"/>
    </row>
    <row r="26" spans="2:5" s="1623" customFormat="1" x14ac:dyDescent="0.2">
      <c r="B26" s="1631"/>
    </row>
    <row r="27" spans="2:5" s="1623" customFormat="1" x14ac:dyDescent="0.2">
      <c r="B27" s="1631"/>
      <c r="D27" s="1623" t="s">
        <v>1483</v>
      </c>
      <c r="E27" s="1623" t="s">
        <v>1481</v>
      </c>
    </row>
    <row r="28" spans="2:5" s="1623" customFormat="1" x14ac:dyDescent="0.2">
      <c r="B28" s="1631"/>
    </row>
    <row r="29" spans="2:5" s="1623" customFormat="1" x14ac:dyDescent="0.2">
      <c r="B29" s="1631"/>
    </row>
    <row r="30" spans="2:5" s="1623" customFormat="1" x14ac:dyDescent="0.2">
      <c r="B30" s="1631"/>
    </row>
    <row r="31" spans="2:5" s="1623" customFormat="1" x14ac:dyDescent="0.2">
      <c r="B31" s="1631"/>
    </row>
    <row r="32" spans="2:5" s="1623" customFormat="1" x14ac:dyDescent="0.2">
      <c r="B32" s="1631"/>
    </row>
    <row r="33" spans="2:2" s="1623" customFormat="1" x14ac:dyDescent="0.2">
      <c r="B33" s="1631"/>
    </row>
    <row r="34" spans="2:2" s="1623" customFormat="1" x14ac:dyDescent="0.2">
      <c r="B34" s="1631"/>
    </row>
    <row r="35" spans="2:2" s="1623" customFormat="1" x14ac:dyDescent="0.2">
      <c r="B35" s="1631"/>
    </row>
    <row r="36" spans="2:2" s="1623" customFormat="1" x14ac:dyDescent="0.2">
      <c r="B36" s="1631"/>
    </row>
    <row r="37" spans="2:2" s="1623" customFormat="1" x14ac:dyDescent="0.2">
      <c r="B37" s="1631"/>
    </row>
    <row r="38" spans="2:2" s="1623" customFormat="1" x14ac:dyDescent="0.2">
      <c r="B38" s="1631"/>
    </row>
    <row r="39" spans="2:2" s="1623" customFormat="1" x14ac:dyDescent="0.2">
      <c r="B39" s="1631"/>
    </row>
    <row r="40" spans="2:2" s="1623" customFormat="1" x14ac:dyDescent="0.2">
      <c r="B40" s="1631"/>
    </row>
    <row r="41" spans="2:2" s="1623" customFormat="1" x14ac:dyDescent="0.2">
      <c r="B41" s="1631"/>
    </row>
    <row r="42" spans="2:2" s="1623" customFormat="1" x14ac:dyDescent="0.2">
      <c r="B42" s="1631"/>
    </row>
    <row r="43" spans="2:2" s="1623" customFormat="1" x14ac:dyDescent="0.2">
      <c r="B43" s="1631"/>
    </row>
    <row r="44" spans="2:2" s="1623" customFormat="1" x14ac:dyDescent="0.2">
      <c r="B44" s="1631"/>
    </row>
    <row r="45" spans="2:2" s="1623" customFormat="1" x14ac:dyDescent="0.2">
      <c r="B45" s="1631"/>
    </row>
    <row r="46" spans="2:2" s="1623" customFormat="1" x14ac:dyDescent="0.2">
      <c r="B46" s="1631"/>
    </row>
    <row r="47" spans="2:2" s="1623" customFormat="1" x14ac:dyDescent="0.2">
      <c r="B47" s="1631"/>
    </row>
    <row r="48" spans="2:2" s="1623" customFormat="1" x14ac:dyDescent="0.2">
      <c r="B48" s="1631"/>
    </row>
    <row r="49" spans="2:2" s="1623" customFormat="1" x14ac:dyDescent="0.2">
      <c r="B49" s="1631"/>
    </row>
    <row r="50" spans="2:2" s="1623" customFormat="1" x14ac:dyDescent="0.2">
      <c r="B50" s="1631"/>
    </row>
    <row r="51" spans="2:2" s="1623" customFormat="1" x14ac:dyDescent="0.2">
      <c r="B51" s="1631"/>
    </row>
    <row r="52" spans="2:2" s="1623" customFormat="1" x14ac:dyDescent="0.2">
      <c r="B52" s="1631"/>
    </row>
    <row r="53" spans="2:2" s="1623" customFormat="1" x14ac:dyDescent="0.2">
      <c r="B53" s="1631"/>
    </row>
    <row r="54" spans="2:2" s="1623" customFormat="1" x14ac:dyDescent="0.2">
      <c r="B54" s="1631"/>
    </row>
    <row r="55" spans="2:2" s="1623" customFormat="1" x14ac:dyDescent="0.2">
      <c r="B55" s="1631"/>
    </row>
    <row r="56" spans="2:2" s="1623" customFormat="1" x14ac:dyDescent="0.2">
      <c r="B56" s="1631"/>
    </row>
    <row r="57" spans="2:2" s="1623" customFormat="1" x14ac:dyDescent="0.2">
      <c r="B57" s="1631"/>
    </row>
    <row r="58" spans="2:2" s="1623" customFormat="1" x14ac:dyDescent="0.2">
      <c r="B58" s="1631"/>
    </row>
    <row r="59" spans="2:2" s="1623" customFormat="1" x14ac:dyDescent="0.2">
      <c r="B59" s="1631"/>
    </row>
    <row r="60" spans="2:2" s="1623" customFormat="1" x14ac:dyDescent="0.2">
      <c r="B60" s="1631"/>
    </row>
    <row r="61" spans="2:2" s="1623" customFormat="1" x14ac:dyDescent="0.2">
      <c r="B61" s="1631"/>
    </row>
    <row r="62" spans="2:2" s="1623" customFormat="1" x14ac:dyDescent="0.2">
      <c r="B62" s="1631"/>
    </row>
    <row r="63" spans="2:2" s="1623" customFormat="1" x14ac:dyDescent="0.2">
      <c r="B63" s="1631"/>
    </row>
    <row r="64" spans="2:2" s="1623" customFormat="1" x14ac:dyDescent="0.2">
      <c r="B64" s="1631"/>
    </row>
    <row r="65" spans="2:2" s="1623" customFormat="1" x14ac:dyDescent="0.2">
      <c r="B65" s="1631"/>
    </row>
    <row r="66" spans="2:2" s="1623" customFormat="1" x14ac:dyDescent="0.2">
      <c r="B66" s="1631"/>
    </row>
    <row r="67" spans="2:2" s="1623" customFormat="1" x14ac:dyDescent="0.2">
      <c r="B67" s="1631"/>
    </row>
    <row r="68" spans="2:2" s="1623" customFormat="1" x14ac:dyDescent="0.2">
      <c r="B68" s="1631"/>
    </row>
    <row r="69" spans="2:2" s="1623" customFormat="1" x14ac:dyDescent="0.2">
      <c r="B69" s="1631"/>
    </row>
    <row r="70" spans="2:2" s="1623" customFormat="1" x14ac:dyDescent="0.2">
      <c r="B70" s="1631"/>
    </row>
    <row r="71" spans="2:2" s="1623" customFormat="1" x14ac:dyDescent="0.2">
      <c r="B71" s="1631"/>
    </row>
    <row r="72" spans="2:2" s="1623" customFormat="1" x14ac:dyDescent="0.2">
      <c r="B72" s="1631"/>
    </row>
    <row r="73" spans="2:2" s="1623" customFormat="1" x14ac:dyDescent="0.2">
      <c r="B73" s="1631"/>
    </row>
    <row r="74" spans="2:2" s="1623" customFormat="1" x14ac:dyDescent="0.2">
      <c r="B74" s="1631"/>
    </row>
    <row r="75" spans="2:2" s="1623" customFormat="1" x14ac:dyDescent="0.2">
      <c r="B75" s="1631"/>
    </row>
    <row r="76" spans="2:2" s="1623" customFormat="1" x14ac:dyDescent="0.2">
      <c r="B76" s="1631"/>
    </row>
    <row r="77" spans="2:2" s="1623" customFormat="1" x14ac:dyDescent="0.2">
      <c r="B77" s="1631"/>
    </row>
    <row r="78" spans="2:2" s="1623" customFormat="1" x14ac:dyDescent="0.2">
      <c r="B78" s="1631"/>
    </row>
    <row r="79" spans="2:2" s="1623" customFormat="1" x14ac:dyDescent="0.2">
      <c r="B79" s="1631"/>
    </row>
    <row r="80" spans="2:2" s="1623" customFormat="1" x14ac:dyDescent="0.2">
      <c r="B80" s="1631"/>
    </row>
    <row r="81" spans="2:2" s="1623" customFormat="1" x14ac:dyDescent="0.2">
      <c r="B81" s="1631"/>
    </row>
    <row r="82" spans="2:2" s="1623" customFormat="1" x14ac:dyDescent="0.2">
      <c r="B82" s="1631"/>
    </row>
    <row r="83" spans="2:2" s="1623" customFormat="1" x14ac:dyDescent="0.2">
      <c r="B83" s="1631"/>
    </row>
    <row r="84" spans="2:2" s="1623" customFormat="1" x14ac:dyDescent="0.2">
      <c r="B84" s="1631"/>
    </row>
    <row r="85" spans="2:2" s="1623" customFormat="1" x14ac:dyDescent="0.2">
      <c r="B85" s="1631"/>
    </row>
    <row r="86" spans="2:2" s="1623" customFormat="1" x14ac:dyDescent="0.2">
      <c r="B86" s="1631"/>
    </row>
    <row r="87" spans="2:2" s="1623" customFormat="1" x14ac:dyDescent="0.2">
      <c r="B87" s="1631"/>
    </row>
    <row r="88" spans="2:2" s="1623" customFormat="1" x14ac:dyDescent="0.2">
      <c r="B88" s="1631"/>
    </row>
    <row r="89" spans="2:2" s="1623" customFormat="1" x14ac:dyDescent="0.2">
      <c r="B89" s="1631"/>
    </row>
    <row r="90" spans="2:2" s="1623" customFormat="1" x14ac:dyDescent="0.2">
      <c r="B90" s="1631"/>
    </row>
    <row r="91" spans="2:2" s="1623" customFormat="1" x14ac:dyDescent="0.2">
      <c r="B91" s="1631"/>
    </row>
    <row r="92" spans="2:2" s="1623" customFormat="1" x14ac:dyDescent="0.2">
      <c r="B92" s="1631"/>
    </row>
    <row r="93" spans="2:2" s="1623" customFormat="1" x14ac:dyDescent="0.2">
      <c r="B93" s="1631"/>
    </row>
    <row r="94" spans="2:2" s="1623" customFormat="1" x14ac:dyDescent="0.2">
      <c r="B94" s="1631"/>
    </row>
    <row r="95" spans="2:2" s="1623" customFormat="1" x14ac:dyDescent="0.2">
      <c r="B95" s="1631"/>
    </row>
    <row r="96" spans="2:2" s="1623" customFormat="1" x14ac:dyDescent="0.2">
      <c r="B96" s="1631"/>
    </row>
    <row r="97" spans="2:2" s="1623" customFormat="1" x14ac:dyDescent="0.2">
      <c r="B97" s="1631"/>
    </row>
    <row r="98" spans="2:2" s="1623" customFormat="1" x14ac:dyDescent="0.2">
      <c r="B98" s="1631"/>
    </row>
    <row r="99" spans="2:2" s="1623" customFormat="1" x14ac:dyDescent="0.2">
      <c r="B99" s="1631"/>
    </row>
    <row r="100" spans="2:2" s="1623" customFormat="1" x14ac:dyDescent="0.2">
      <c r="B100" s="1631"/>
    </row>
    <row r="101" spans="2:2" s="1623" customFormat="1" x14ac:dyDescent="0.2">
      <c r="B101" s="1631"/>
    </row>
    <row r="102" spans="2:2" s="1623" customFormat="1" x14ac:dyDescent="0.2">
      <c r="B102" s="1631"/>
    </row>
    <row r="103" spans="2:2" s="1623" customFormat="1" x14ac:dyDescent="0.2">
      <c r="B103" s="1631"/>
    </row>
    <row r="104" spans="2:2" s="1623" customFormat="1" x14ac:dyDescent="0.2">
      <c r="B104" s="1631"/>
    </row>
    <row r="105" spans="2:2" s="1623" customFormat="1" x14ac:dyDescent="0.2">
      <c r="B105" s="1631"/>
    </row>
    <row r="106" spans="2:2" s="1623" customFormat="1" x14ac:dyDescent="0.2">
      <c r="B106" s="1631"/>
    </row>
    <row r="107" spans="2:2" s="1623" customFormat="1" x14ac:dyDescent="0.2">
      <c r="B107" s="1631"/>
    </row>
    <row r="108" spans="2:2" s="1623" customFormat="1" x14ac:dyDescent="0.2">
      <c r="B108" s="1631"/>
    </row>
    <row r="109" spans="2:2" s="1623" customFormat="1" x14ac:dyDescent="0.2">
      <c r="B109" s="1631"/>
    </row>
    <row r="110" spans="2:2" s="1623" customFormat="1" x14ac:dyDescent="0.2">
      <c r="B110" s="1631"/>
    </row>
    <row r="111" spans="2:2" s="1623" customFormat="1" x14ac:dyDescent="0.2">
      <c r="B111" s="1631"/>
    </row>
    <row r="112" spans="2:2" s="1623" customFormat="1" x14ac:dyDescent="0.2">
      <c r="B112" s="1631"/>
    </row>
    <row r="113" spans="2:2" s="1623" customFormat="1" x14ac:dyDescent="0.2">
      <c r="B113" s="1631"/>
    </row>
    <row r="114" spans="2:2" s="1623" customFormat="1" x14ac:dyDescent="0.2">
      <c r="B114" s="1631"/>
    </row>
    <row r="115" spans="2:2" s="1623" customFormat="1" x14ac:dyDescent="0.2">
      <c r="B115" s="1631"/>
    </row>
    <row r="116" spans="2:2" s="1623" customFormat="1" x14ac:dyDescent="0.2">
      <c r="B116" s="1631"/>
    </row>
    <row r="117" spans="2:2" s="1623" customFormat="1" x14ac:dyDescent="0.2">
      <c r="B117" s="1631"/>
    </row>
    <row r="118" spans="2:2" s="1623" customFormat="1" x14ac:dyDescent="0.2">
      <c r="B118" s="1631"/>
    </row>
    <row r="119" spans="2:2" s="1623" customFormat="1" x14ac:dyDescent="0.2">
      <c r="B119" s="1631"/>
    </row>
    <row r="120" spans="2:2" s="1623" customFormat="1" x14ac:dyDescent="0.2">
      <c r="B120" s="1631"/>
    </row>
    <row r="121" spans="2:2" s="1623" customFormat="1" x14ac:dyDescent="0.2">
      <c r="B121" s="1631"/>
    </row>
    <row r="122" spans="2:2" s="1623" customFormat="1" x14ac:dyDescent="0.2">
      <c r="B122" s="1631"/>
    </row>
    <row r="123" spans="2:2" s="1623" customFormat="1" x14ac:dyDescent="0.2">
      <c r="B123" s="1631"/>
    </row>
    <row r="124" spans="2:2" s="1623" customFormat="1" x14ac:dyDescent="0.2">
      <c r="B124" s="1631"/>
    </row>
    <row r="125" spans="2:2" s="1623" customFormat="1" x14ac:dyDescent="0.2">
      <c r="B125" s="1631"/>
    </row>
    <row r="126" spans="2:2" s="1623" customFormat="1" x14ac:dyDescent="0.2">
      <c r="B126" s="1631"/>
    </row>
    <row r="127" spans="2:2" s="1623" customFormat="1" x14ac:dyDescent="0.2">
      <c r="B127" s="1631"/>
    </row>
    <row r="128" spans="2:2" s="1623" customFormat="1" x14ac:dyDescent="0.2">
      <c r="B128" s="1631"/>
    </row>
    <row r="129" spans="2:2" s="1623" customFormat="1" x14ac:dyDescent="0.2">
      <c r="B129" s="1631"/>
    </row>
    <row r="130" spans="2:2" s="1623" customFormat="1" x14ac:dyDescent="0.2">
      <c r="B130" s="1631"/>
    </row>
    <row r="131" spans="2:2" s="1623" customFormat="1" x14ac:dyDescent="0.2">
      <c r="B131" s="1631"/>
    </row>
    <row r="132" spans="2:2" s="1623" customFormat="1" x14ac:dyDescent="0.2">
      <c r="B132" s="1631"/>
    </row>
    <row r="133" spans="2:2" s="1623" customFormat="1" x14ac:dyDescent="0.2">
      <c r="B133" s="1631"/>
    </row>
    <row r="134" spans="2:2" s="1623" customFormat="1" x14ac:dyDescent="0.2">
      <c r="B134" s="1631"/>
    </row>
    <row r="135" spans="2:2" s="1623" customFormat="1" x14ac:dyDescent="0.2">
      <c r="B135" s="1631"/>
    </row>
    <row r="136" spans="2:2" s="1623" customFormat="1" x14ac:dyDescent="0.2">
      <c r="B136" s="1631"/>
    </row>
    <row r="137" spans="2:2" s="1623" customFormat="1" x14ac:dyDescent="0.2">
      <c r="B137" s="1631"/>
    </row>
    <row r="138" spans="2:2" s="1623" customFormat="1" x14ac:dyDescent="0.2">
      <c r="B138" s="1631"/>
    </row>
    <row r="139" spans="2:2" s="1623" customFormat="1" x14ac:dyDescent="0.2">
      <c r="B139" s="1631"/>
    </row>
    <row r="140" spans="2:2" s="1623" customFormat="1" x14ac:dyDescent="0.2">
      <c r="B140" s="1631"/>
    </row>
    <row r="141" spans="2:2" s="1623" customFormat="1" x14ac:dyDescent="0.2">
      <c r="B141" s="1631"/>
    </row>
    <row r="142" spans="2:2" s="1623" customFormat="1" x14ac:dyDescent="0.2">
      <c r="B142" s="1631"/>
    </row>
    <row r="143" spans="2:2" s="1623" customFormat="1" x14ac:dyDescent="0.2">
      <c r="B143" s="1631"/>
    </row>
    <row r="144" spans="2:2" s="1623" customFormat="1" x14ac:dyDescent="0.2">
      <c r="B144" s="1631"/>
    </row>
    <row r="145" spans="2:2" s="1623" customFormat="1" x14ac:dyDescent="0.2">
      <c r="B145" s="1631"/>
    </row>
    <row r="146" spans="2:2" s="1623" customFormat="1" x14ac:dyDescent="0.2">
      <c r="B146" s="1631"/>
    </row>
    <row r="147" spans="2:2" s="1623" customFormat="1" x14ac:dyDescent="0.2">
      <c r="B147" s="1631"/>
    </row>
    <row r="148" spans="2:2" s="1623" customFormat="1" x14ac:dyDescent="0.2">
      <c r="B148" s="1631"/>
    </row>
    <row r="149" spans="2:2" s="1623" customFormat="1" x14ac:dyDescent="0.2">
      <c r="B149" s="1631"/>
    </row>
    <row r="150" spans="2:2" s="1623" customFormat="1" x14ac:dyDescent="0.2">
      <c r="B150" s="1631"/>
    </row>
    <row r="151" spans="2:2" s="1623" customFormat="1" x14ac:dyDescent="0.2">
      <c r="B151" s="1631"/>
    </row>
    <row r="152" spans="2:2" s="1623" customFormat="1" x14ac:dyDescent="0.2">
      <c r="B152" s="1631"/>
    </row>
    <row r="153" spans="2:2" s="1623" customFormat="1" x14ac:dyDescent="0.2">
      <c r="B153" s="1631"/>
    </row>
    <row r="154" spans="2:2" s="1623" customFormat="1" x14ac:dyDescent="0.2">
      <c r="B154" s="1631"/>
    </row>
    <row r="155" spans="2:2" s="1623" customFormat="1" x14ac:dyDescent="0.2">
      <c r="B155" s="1631"/>
    </row>
    <row r="156" spans="2:2" s="1623" customFormat="1" x14ac:dyDescent="0.2">
      <c r="B156" s="1631"/>
    </row>
    <row r="157" spans="2:2" s="1623" customFormat="1" x14ac:dyDescent="0.2">
      <c r="B157" s="1631"/>
    </row>
    <row r="158" spans="2:2" s="1623" customFormat="1" x14ac:dyDescent="0.2">
      <c r="B158" s="1631"/>
    </row>
    <row r="159" spans="2:2" s="1623" customFormat="1" x14ac:dyDescent="0.2">
      <c r="B159" s="1631"/>
    </row>
    <row r="160" spans="2:2" s="1623" customFormat="1" x14ac:dyDescent="0.2">
      <c r="B160" s="1631"/>
    </row>
    <row r="161" spans="2:2" s="1623" customFormat="1" x14ac:dyDescent="0.2">
      <c r="B161" s="1631"/>
    </row>
    <row r="162" spans="2:2" s="1623" customFormat="1" x14ac:dyDescent="0.2">
      <c r="B162" s="1631"/>
    </row>
    <row r="163" spans="2:2" s="1623" customFormat="1" x14ac:dyDescent="0.2">
      <c r="B163" s="1631"/>
    </row>
    <row r="164" spans="2:2" s="1623" customFormat="1" x14ac:dyDescent="0.2">
      <c r="B164" s="1631"/>
    </row>
    <row r="165" spans="2:2" s="1623" customFormat="1" x14ac:dyDescent="0.2">
      <c r="B165" s="1631"/>
    </row>
    <row r="166" spans="2:2" s="1623" customFormat="1" x14ac:dyDescent="0.2">
      <c r="B166" s="1631"/>
    </row>
    <row r="167" spans="2:2" s="1623" customFormat="1" x14ac:dyDescent="0.2">
      <c r="B167" s="1631"/>
    </row>
    <row r="168" spans="2:2" s="1623" customFormat="1" x14ac:dyDescent="0.2">
      <c r="B168" s="1631"/>
    </row>
    <row r="169" spans="2:2" s="1623" customFormat="1" x14ac:dyDescent="0.2">
      <c r="B169" s="1631"/>
    </row>
    <row r="170" spans="2:2" s="1623" customFormat="1" x14ac:dyDescent="0.2">
      <c r="B170" s="1631"/>
    </row>
    <row r="171" spans="2:2" s="1623" customFormat="1" x14ac:dyDescent="0.2">
      <c r="B171" s="1631"/>
    </row>
    <row r="172" spans="2:2" s="1623" customFormat="1" x14ac:dyDescent="0.2">
      <c r="B172" s="1631"/>
    </row>
    <row r="173" spans="2:2" s="1623" customFormat="1" x14ac:dyDescent="0.2">
      <c r="B173" s="1631"/>
    </row>
    <row r="174" spans="2:2" s="1623" customFormat="1" x14ac:dyDescent="0.2">
      <c r="B174" s="1631"/>
    </row>
    <row r="175" spans="2:2" s="1623" customFormat="1" x14ac:dyDescent="0.2">
      <c r="B175" s="1631"/>
    </row>
    <row r="176" spans="2:2" s="1623" customFormat="1" x14ac:dyDescent="0.2">
      <c r="B176" s="1631"/>
    </row>
    <row r="177" spans="2:2" s="1623" customFormat="1" x14ac:dyDescent="0.2">
      <c r="B177" s="1631"/>
    </row>
    <row r="178" spans="2:2" s="1623" customFormat="1" x14ac:dyDescent="0.2">
      <c r="B178" s="1631"/>
    </row>
    <row r="179" spans="2:2" s="1623" customFormat="1" x14ac:dyDescent="0.2">
      <c r="B179" s="1631"/>
    </row>
    <row r="180" spans="2:2" s="1623" customFormat="1" x14ac:dyDescent="0.2">
      <c r="B180" s="1631"/>
    </row>
    <row r="181" spans="2:2" s="1623" customFormat="1" x14ac:dyDescent="0.2">
      <c r="B181" s="1631"/>
    </row>
    <row r="182" spans="2:2" s="1623" customFormat="1" x14ac:dyDescent="0.2">
      <c r="B182" s="1631"/>
    </row>
    <row r="183" spans="2:2" s="1623" customFormat="1" x14ac:dyDescent="0.2">
      <c r="B183" s="1631"/>
    </row>
    <row r="184" spans="2:2" s="1623" customFormat="1" x14ac:dyDescent="0.2">
      <c r="B184" s="1631"/>
    </row>
    <row r="185" spans="2:2" s="1623" customFormat="1" x14ac:dyDescent="0.2">
      <c r="B185" s="1631"/>
    </row>
    <row r="186" spans="2:2" s="1623" customFormat="1" x14ac:dyDescent="0.2">
      <c r="B186" s="1631"/>
    </row>
    <row r="187" spans="2:2" s="1623" customFormat="1" x14ac:dyDescent="0.2">
      <c r="B187" s="1631"/>
    </row>
    <row r="188" spans="2:2" s="1623" customFormat="1" x14ac:dyDescent="0.2">
      <c r="B188" s="1631"/>
    </row>
    <row r="189" spans="2:2" s="1623" customFormat="1" x14ac:dyDescent="0.2">
      <c r="B189" s="1631"/>
    </row>
    <row r="190" spans="2:2" s="1623" customFormat="1" x14ac:dyDescent="0.2">
      <c r="B190" s="1631"/>
    </row>
    <row r="191" spans="2:2" s="1623" customFormat="1" x14ac:dyDescent="0.2">
      <c r="B191" s="1631"/>
    </row>
    <row r="192" spans="2:2" s="1623" customFormat="1" x14ac:dyDescent="0.2">
      <c r="B192" s="1631"/>
    </row>
    <row r="193" spans="2:2" s="1623" customFormat="1" x14ac:dyDescent="0.2">
      <c r="B193" s="1631"/>
    </row>
    <row r="194" spans="2:2" s="1623" customFormat="1" x14ac:dyDescent="0.2">
      <c r="B194" s="1631"/>
    </row>
    <row r="195" spans="2:2" s="1623" customFormat="1" x14ac:dyDescent="0.2">
      <c r="B195" s="1631"/>
    </row>
    <row r="196" spans="2:2" s="1623" customFormat="1" x14ac:dyDescent="0.2">
      <c r="B196" s="1631"/>
    </row>
    <row r="197" spans="2:2" s="1623" customFormat="1" x14ac:dyDescent="0.2">
      <c r="B197" s="1631"/>
    </row>
    <row r="198" spans="2:2" s="1623" customFormat="1" x14ac:dyDescent="0.2">
      <c r="B198" s="1631"/>
    </row>
    <row r="199" spans="2:2" s="1623" customFormat="1" x14ac:dyDescent="0.2">
      <c r="B199" s="1631"/>
    </row>
    <row r="200" spans="2:2" s="1623" customFormat="1" x14ac:dyDescent="0.2">
      <c r="B200" s="1631"/>
    </row>
    <row r="201" spans="2:2" s="1623" customFormat="1" x14ac:dyDescent="0.2">
      <c r="B201" s="1631"/>
    </row>
    <row r="202" spans="2:2" s="1623" customFormat="1" x14ac:dyDescent="0.2">
      <c r="B202" s="1631"/>
    </row>
    <row r="203" spans="2:2" s="1623" customFormat="1" x14ac:dyDescent="0.2">
      <c r="B203" s="1631"/>
    </row>
    <row r="204" spans="2:2" s="1623" customFormat="1" x14ac:dyDescent="0.2">
      <c r="B204" s="1631"/>
    </row>
    <row r="205" spans="2:2" s="1623" customFormat="1" x14ac:dyDescent="0.2">
      <c r="B205" s="1631"/>
    </row>
    <row r="206" spans="2:2" s="1623" customFormat="1" x14ac:dyDescent="0.2">
      <c r="B206" s="1631"/>
    </row>
    <row r="207" spans="2:2" s="1623" customFormat="1" x14ac:dyDescent="0.2">
      <c r="B207" s="1631"/>
    </row>
    <row r="208" spans="2:2" s="1623" customFormat="1" x14ac:dyDescent="0.2">
      <c r="B208" s="1631"/>
    </row>
    <row r="209" spans="2:2" s="1623" customFormat="1" x14ac:dyDescent="0.2">
      <c r="B209" s="1631"/>
    </row>
    <row r="210" spans="2:2" s="1623" customFormat="1" x14ac:dyDescent="0.2">
      <c r="B210" s="1631"/>
    </row>
    <row r="211" spans="2:2" s="1623" customFormat="1" x14ac:dyDescent="0.2">
      <c r="B211" s="1631"/>
    </row>
    <row r="212" spans="2:2" s="1623" customFormat="1" x14ac:dyDescent="0.2">
      <c r="B212" s="1631"/>
    </row>
    <row r="213" spans="2:2" s="1623" customFormat="1" x14ac:dyDescent="0.2">
      <c r="B213" s="1631"/>
    </row>
    <row r="214" spans="2:2" s="1623" customFormat="1" x14ac:dyDescent="0.2">
      <c r="B214" s="1631"/>
    </row>
    <row r="215" spans="2:2" s="1623" customFormat="1" x14ac:dyDescent="0.2">
      <c r="B215" s="1631"/>
    </row>
    <row r="216" spans="2:2" s="1623" customFormat="1" x14ac:dyDescent="0.2">
      <c r="B216" s="1631"/>
    </row>
    <row r="217" spans="2:2" s="1623" customFormat="1" x14ac:dyDescent="0.2">
      <c r="B217" s="1631"/>
    </row>
    <row r="218" spans="2:2" s="1623" customFormat="1" x14ac:dyDescent="0.2">
      <c r="B218" s="1631"/>
    </row>
    <row r="219" spans="2:2" s="1623" customFormat="1" x14ac:dyDescent="0.2">
      <c r="B219" s="1631"/>
    </row>
    <row r="220" spans="2:2" s="1623" customFormat="1" x14ac:dyDescent="0.2">
      <c r="B220" s="1631"/>
    </row>
    <row r="221" spans="2:2" s="1623" customFormat="1" x14ac:dyDescent="0.2">
      <c r="B221" s="1631"/>
    </row>
    <row r="222" spans="2:2" s="1623" customFormat="1" x14ac:dyDescent="0.2">
      <c r="B222" s="1631"/>
    </row>
    <row r="223" spans="2:2" s="1623" customFormat="1" x14ac:dyDescent="0.2">
      <c r="B223" s="1631"/>
    </row>
    <row r="224" spans="2:2" s="1623" customFormat="1" x14ac:dyDescent="0.2">
      <c r="B224" s="1631"/>
    </row>
    <row r="225" spans="2:2" s="1623" customFormat="1" x14ac:dyDescent="0.2">
      <c r="B225" s="1631"/>
    </row>
    <row r="226" spans="2:2" s="1623" customFormat="1" x14ac:dyDescent="0.2">
      <c r="B226" s="1631"/>
    </row>
    <row r="227" spans="2:2" s="1623" customFormat="1" x14ac:dyDescent="0.2">
      <c r="B227" s="1631"/>
    </row>
    <row r="228" spans="2:2" s="1623" customFormat="1" x14ac:dyDescent="0.2">
      <c r="B228" s="1631"/>
    </row>
    <row r="229" spans="2:2" s="1623" customFormat="1" x14ac:dyDescent="0.2">
      <c r="B229" s="1631"/>
    </row>
    <row r="230" spans="2:2" s="1623" customFormat="1" x14ac:dyDescent="0.2">
      <c r="B230" s="1631"/>
    </row>
    <row r="231" spans="2:2" s="1623" customFormat="1" x14ac:dyDescent="0.2">
      <c r="B231" s="1631"/>
    </row>
    <row r="232" spans="2:2" s="1623" customFormat="1" x14ac:dyDescent="0.2">
      <c r="B232" s="1631"/>
    </row>
    <row r="233" spans="2:2" s="1623" customFormat="1" x14ac:dyDescent="0.2">
      <c r="B233" s="1631"/>
    </row>
    <row r="234" spans="2:2" s="1623" customFormat="1" x14ac:dyDescent="0.2">
      <c r="B234" s="1631"/>
    </row>
    <row r="235" spans="2:2" s="1623" customFormat="1" x14ac:dyDescent="0.2">
      <c r="B235" s="1631"/>
    </row>
    <row r="236" spans="2:2" s="1623" customFormat="1" x14ac:dyDescent="0.2">
      <c r="B236" s="1631"/>
    </row>
    <row r="237" spans="2:2" s="1623" customFormat="1" x14ac:dyDescent="0.2">
      <c r="B237" s="1631"/>
    </row>
    <row r="238" spans="2:2" s="1623" customFormat="1" x14ac:dyDescent="0.2">
      <c r="B238" s="1631"/>
    </row>
    <row r="239" spans="2:2" s="1623" customFormat="1" x14ac:dyDescent="0.2">
      <c r="B239" s="1631"/>
    </row>
    <row r="240" spans="2:2" s="1623" customFormat="1" x14ac:dyDescent="0.2">
      <c r="B240" s="1631"/>
    </row>
    <row r="241" spans="2:2" s="1623" customFormat="1" x14ac:dyDescent="0.2">
      <c r="B241" s="1631"/>
    </row>
    <row r="242" spans="2:2" s="1623" customFormat="1" x14ac:dyDescent="0.2">
      <c r="B242" s="1631"/>
    </row>
    <row r="243" spans="2:2" s="1623" customFormat="1" x14ac:dyDescent="0.2">
      <c r="B243" s="1631"/>
    </row>
    <row r="244" spans="2:2" s="1623" customFormat="1" x14ac:dyDescent="0.2">
      <c r="B244" s="1631"/>
    </row>
    <row r="245" spans="2:2" s="1623" customFormat="1" x14ac:dyDescent="0.2">
      <c r="B245" s="1631"/>
    </row>
    <row r="246" spans="2:2" s="1623" customFormat="1" x14ac:dyDescent="0.2">
      <c r="B246" s="1631"/>
    </row>
    <row r="247" spans="2:2" s="1623" customFormat="1" x14ac:dyDescent="0.2">
      <c r="B247" s="1631"/>
    </row>
    <row r="248" spans="2:2" s="1623" customFormat="1" x14ac:dyDescent="0.2">
      <c r="B248" s="1631"/>
    </row>
    <row r="249" spans="2:2" s="1623" customFormat="1" x14ac:dyDescent="0.2">
      <c r="B249" s="1631"/>
    </row>
    <row r="250" spans="2:2" s="1623" customFormat="1" x14ac:dyDescent="0.2">
      <c r="B250" s="1631"/>
    </row>
    <row r="251" spans="2:2" s="1623" customFormat="1" x14ac:dyDescent="0.2">
      <c r="B251" s="1631"/>
    </row>
    <row r="252" spans="2:2" s="1623" customFormat="1" x14ac:dyDescent="0.2">
      <c r="B252" s="1631"/>
    </row>
    <row r="253" spans="2:2" s="1623" customFormat="1" x14ac:dyDescent="0.2">
      <c r="B253" s="1631"/>
    </row>
    <row r="254" spans="2:2" s="1623" customFormat="1" x14ac:dyDescent="0.2">
      <c r="B254" s="1631"/>
    </row>
    <row r="255" spans="2:2" s="1623" customFormat="1" x14ac:dyDescent="0.2">
      <c r="B255" s="1631"/>
    </row>
    <row r="256" spans="2:2" s="1623" customFormat="1" x14ac:dyDescent="0.2">
      <c r="B256" s="1631"/>
    </row>
    <row r="257" spans="2:2" s="1623" customFormat="1" x14ac:dyDescent="0.2">
      <c r="B257" s="1631"/>
    </row>
    <row r="258" spans="2:2" s="1623" customFormat="1" x14ac:dyDescent="0.2">
      <c r="B258" s="1631"/>
    </row>
    <row r="259" spans="2:2" s="1623" customFormat="1" x14ac:dyDescent="0.2">
      <c r="B259" s="1631"/>
    </row>
    <row r="260" spans="2:2" s="1623" customFormat="1" x14ac:dyDescent="0.2">
      <c r="B260" s="1631"/>
    </row>
    <row r="261" spans="2:2" s="1623" customFormat="1" x14ac:dyDescent="0.2">
      <c r="B261" s="1631"/>
    </row>
    <row r="262" spans="2:2" s="1623" customFormat="1" x14ac:dyDescent="0.2">
      <c r="B262" s="1631"/>
    </row>
    <row r="263" spans="2:2" s="1623" customFormat="1" x14ac:dyDescent="0.2">
      <c r="B263" s="1631"/>
    </row>
    <row r="264" spans="2:2" s="1623" customFormat="1" x14ac:dyDescent="0.2">
      <c r="B264" s="1631"/>
    </row>
    <row r="265" spans="2:2" s="1623" customFormat="1" x14ac:dyDescent="0.2">
      <c r="B265" s="1631"/>
    </row>
    <row r="266" spans="2:2" s="1623" customFormat="1" x14ac:dyDescent="0.2">
      <c r="B266" s="1631"/>
    </row>
    <row r="267" spans="2:2" s="1623" customFormat="1" x14ac:dyDescent="0.2">
      <c r="B267" s="1631"/>
    </row>
    <row r="268" spans="2:2" s="1623" customFormat="1" x14ac:dyDescent="0.2">
      <c r="B268" s="1631"/>
    </row>
    <row r="269" spans="2:2" s="1623" customFormat="1" x14ac:dyDescent="0.2">
      <c r="B269" s="1631"/>
    </row>
    <row r="270" spans="2:2" s="1623" customFormat="1" x14ac:dyDescent="0.2">
      <c r="B270" s="1631"/>
    </row>
    <row r="271" spans="2:2" s="1623" customFormat="1" x14ac:dyDescent="0.2">
      <c r="B271" s="1631"/>
    </row>
    <row r="272" spans="2:2" s="1623" customFormat="1" x14ac:dyDescent="0.2">
      <c r="B272" s="1631"/>
    </row>
    <row r="273" spans="2:2" s="1623" customFormat="1" x14ac:dyDescent="0.2">
      <c r="B273" s="1631"/>
    </row>
    <row r="274" spans="2:2" s="1623" customFormat="1" x14ac:dyDescent="0.2">
      <c r="B274" s="1631"/>
    </row>
    <row r="275" spans="2:2" s="1623" customFormat="1" x14ac:dyDescent="0.2">
      <c r="B275" s="1631"/>
    </row>
    <row r="276" spans="2:2" s="1623" customFormat="1" x14ac:dyDescent="0.2">
      <c r="B276" s="1631"/>
    </row>
    <row r="277" spans="2:2" s="1623" customFormat="1" x14ac:dyDescent="0.2">
      <c r="B277" s="1631"/>
    </row>
    <row r="278" spans="2:2" s="1623" customFormat="1" x14ac:dyDescent="0.2">
      <c r="B278" s="1631"/>
    </row>
    <row r="279" spans="2:2" s="1623" customFormat="1" x14ac:dyDescent="0.2">
      <c r="B279" s="1631"/>
    </row>
    <row r="280" spans="2:2" s="1623" customFormat="1" x14ac:dyDescent="0.2">
      <c r="B280" s="1631"/>
    </row>
    <row r="281" spans="2:2" s="1623" customFormat="1" x14ac:dyDescent="0.2">
      <c r="B281" s="1631"/>
    </row>
    <row r="282" spans="2:2" s="1623" customFormat="1" x14ac:dyDescent="0.2">
      <c r="B282" s="1631"/>
    </row>
    <row r="283" spans="2:2" s="1623" customFormat="1" x14ac:dyDescent="0.2">
      <c r="B283" s="1631"/>
    </row>
    <row r="284" spans="2:2" s="1623" customFormat="1" x14ac:dyDescent="0.2">
      <c r="B284" s="1631"/>
    </row>
    <row r="285" spans="2:2" s="1623" customFormat="1" x14ac:dyDescent="0.2">
      <c r="B285" s="1631"/>
    </row>
    <row r="286" spans="2:2" s="1623" customFormat="1" x14ac:dyDescent="0.2">
      <c r="B286" s="1631"/>
    </row>
    <row r="287" spans="2:2" s="1623" customFormat="1" x14ac:dyDescent="0.2">
      <c r="B287" s="1631"/>
    </row>
    <row r="288" spans="2:2" s="1623" customFormat="1" x14ac:dyDescent="0.2">
      <c r="B288" s="1631"/>
    </row>
    <row r="289" spans="2:2" s="1623" customFormat="1" x14ac:dyDescent="0.2">
      <c r="B289" s="1631"/>
    </row>
    <row r="290" spans="2:2" s="1623" customFormat="1" x14ac:dyDescent="0.2">
      <c r="B290" s="1631"/>
    </row>
    <row r="291" spans="2:2" s="1623" customFormat="1" x14ac:dyDescent="0.2">
      <c r="B291" s="1631"/>
    </row>
    <row r="292" spans="2:2" s="1623" customFormat="1" x14ac:dyDescent="0.2">
      <c r="B292" s="1631"/>
    </row>
    <row r="293" spans="2:2" s="1623" customFormat="1" x14ac:dyDescent="0.2">
      <c r="B293" s="1631"/>
    </row>
    <row r="294" spans="2:2" s="1623" customFormat="1" x14ac:dyDescent="0.2">
      <c r="B294" s="1631"/>
    </row>
    <row r="295" spans="2:2" s="1623" customFormat="1" x14ac:dyDescent="0.2">
      <c r="B295" s="1631"/>
    </row>
    <row r="296" spans="2:2" s="1623" customFormat="1" x14ac:dyDescent="0.2">
      <c r="B296" s="1631"/>
    </row>
    <row r="297" spans="2:2" s="1623" customFormat="1" x14ac:dyDescent="0.2">
      <c r="B297" s="1631"/>
    </row>
    <row r="298" spans="2:2" s="1623" customFormat="1" x14ac:dyDescent="0.2">
      <c r="B298" s="1631"/>
    </row>
    <row r="299" spans="2:2" s="1623" customFormat="1" x14ac:dyDescent="0.2">
      <c r="B299" s="1631"/>
    </row>
    <row r="300" spans="2:2" s="1623" customFormat="1" x14ac:dyDescent="0.2">
      <c r="B300" s="1631"/>
    </row>
    <row r="301" spans="2:2" s="1623" customFormat="1" x14ac:dyDescent="0.2">
      <c r="B301" s="1631"/>
    </row>
    <row r="302" spans="2:2" s="1623" customFormat="1" x14ac:dyDescent="0.2">
      <c r="B302" s="1631"/>
    </row>
    <row r="303" spans="2:2" s="1623" customFormat="1" x14ac:dyDescent="0.2">
      <c r="B303" s="1631"/>
    </row>
    <row r="304" spans="2:2" s="1623" customFormat="1" x14ac:dyDescent="0.2">
      <c r="B304" s="1631"/>
    </row>
    <row r="305" spans="2:2" s="1623" customFormat="1" x14ac:dyDescent="0.2">
      <c r="B305" s="1631"/>
    </row>
    <row r="306" spans="2:2" s="1623" customFormat="1" x14ac:dyDescent="0.2">
      <c r="B306" s="1631"/>
    </row>
    <row r="307" spans="2:2" s="1623" customFormat="1" x14ac:dyDescent="0.2">
      <c r="B307" s="1631"/>
    </row>
    <row r="308" spans="2:2" s="1623" customFormat="1" x14ac:dyDescent="0.2">
      <c r="B308" s="1631"/>
    </row>
    <row r="309" spans="2:2" s="1623" customFormat="1" x14ac:dyDescent="0.2">
      <c r="B309" s="1631"/>
    </row>
    <row r="310" spans="2:2" s="1623" customFormat="1" x14ac:dyDescent="0.2">
      <c r="B310" s="1631"/>
    </row>
    <row r="311" spans="2:2" s="1623" customFormat="1" x14ac:dyDescent="0.2">
      <c r="B311" s="1631"/>
    </row>
    <row r="312" spans="2:2" s="1623" customFormat="1" x14ac:dyDescent="0.2">
      <c r="B312" s="1631"/>
    </row>
    <row r="313" spans="2:2" s="1623" customFormat="1" x14ac:dyDescent="0.2">
      <c r="B313" s="1631"/>
    </row>
    <row r="314" spans="2:2" s="1623" customFormat="1" x14ac:dyDescent="0.2">
      <c r="B314" s="1631"/>
    </row>
    <row r="315" spans="2:2" s="1623" customFormat="1" x14ac:dyDescent="0.2">
      <c r="B315" s="1631"/>
    </row>
    <row r="316" spans="2:2" s="1623" customFormat="1" x14ac:dyDescent="0.2">
      <c r="B316" s="1631"/>
    </row>
    <row r="317" spans="2:2" s="1623" customFormat="1" x14ac:dyDescent="0.2">
      <c r="B317" s="1631"/>
    </row>
    <row r="318" spans="2:2" s="1623" customFormat="1" x14ac:dyDescent="0.2">
      <c r="B318" s="1631"/>
    </row>
    <row r="319" spans="2:2" s="1623" customFormat="1" x14ac:dyDescent="0.2">
      <c r="B319" s="1631"/>
    </row>
    <row r="320" spans="2:2" s="1623" customFormat="1" x14ac:dyDescent="0.2">
      <c r="B320" s="1631"/>
    </row>
    <row r="321" spans="2:2" s="1623" customFormat="1" x14ac:dyDescent="0.2">
      <c r="B321" s="1631"/>
    </row>
    <row r="322" spans="2:2" s="1623" customFormat="1" x14ac:dyDescent="0.2">
      <c r="B322" s="1631"/>
    </row>
    <row r="323" spans="2:2" s="1623" customFormat="1" x14ac:dyDescent="0.2">
      <c r="B323" s="1631"/>
    </row>
    <row r="324" spans="2:2" s="1623" customFormat="1" x14ac:dyDescent="0.2">
      <c r="B324" s="1631"/>
    </row>
    <row r="325" spans="2:2" s="1623" customFormat="1" x14ac:dyDescent="0.2">
      <c r="B325" s="1631"/>
    </row>
    <row r="326" spans="2:2" s="1623" customFormat="1" x14ac:dyDescent="0.2">
      <c r="B326" s="1631"/>
    </row>
    <row r="327" spans="2:2" s="1623" customFormat="1" x14ac:dyDescent="0.2">
      <c r="B327" s="1631"/>
    </row>
    <row r="328" spans="2:2" s="1623" customFormat="1" x14ac:dyDescent="0.2">
      <c r="B328" s="1631"/>
    </row>
    <row r="329" spans="2:2" s="1623" customFormat="1" x14ac:dyDescent="0.2">
      <c r="B329" s="1631"/>
    </row>
    <row r="330" spans="2:2" s="1623" customFormat="1" x14ac:dyDescent="0.2">
      <c r="B330" s="1631"/>
    </row>
    <row r="331" spans="2:2" s="1623" customFormat="1" x14ac:dyDescent="0.2">
      <c r="B331" s="1631"/>
    </row>
    <row r="332" spans="2:2" s="1623" customFormat="1" x14ac:dyDescent="0.2">
      <c r="B332" s="1631"/>
    </row>
    <row r="333" spans="2:2" s="1623" customFormat="1" x14ac:dyDescent="0.2">
      <c r="B333" s="1631"/>
    </row>
    <row r="334" spans="2:2" s="1623" customFormat="1" x14ac:dyDescent="0.2">
      <c r="B334" s="1631"/>
    </row>
    <row r="335" spans="2:2" s="1623" customFormat="1" x14ac:dyDescent="0.2">
      <c r="B335" s="1631"/>
    </row>
    <row r="336" spans="2:2" s="1623" customFormat="1" x14ac:dyDescent="0.2">
      <c r="B336" s="1631"/>
    </row>
    <row r="337" spans="2:2" s="1623" customFormat="1" x14ac:dyDescent="0.2">
      <c r="B337" s="1631"/>
    </row>
    <row r="338" spans="2:2" s="1623" customFormat="1" x14ac:dyDescent="0.2">
      <c r="B338" s="1631"/>
    </row>
    <row r="339" spans="2:2" s="1623" customFormat="1" x14ac:dyDescent="0.2">
      <c r="B339" s="1631"/>
    </row>
    <row r="340" spans="2:2" s="1623" customFormat="1" x14ac:dyDescent="0.2">
      <c r="B340" s="1631"/>
    </row>
    <row r="341" spans="2:2" s="1623" customFormat="1" x14ac:dyDescent="0.2">
      <c r="B341" s="1631"/>
    </row>
    <row r="342" spans="2:2" s="1623" customFormat="1" x14ac:dyDescent="0.2">
      <c r="B342" s="1631"/>
    </row>
    <row r="343" spans="2:2" s="1623" customFormat="1" x14ac:dyDescent="0.2">
      <c r="B343" s="1631"/>
    </row>
    <row r="344" spans="2:2" s="1623" customFormat="1" x14ac:dyDescent="0.2">
      <c r="B344" s="1631"/>
    </row>
    <row r="345" spans="2:2" s="1623" customFormat="1" x14ac:dyDescent="0.2">
      <c r="B345" s="1631"/>
    </row>
    <row r="346" spans="2:2" s="1623" customFormat="1" x14ac:dyDescent="0.2">
      <c r="B346" s="1631"/>
    </row>
    <row r="347" spans="2:2" s="1623" customFormat="1" x14ac:dyDescent="0.2">
      <c r="B347" s="1631"/>
    </row>
    <row r="348" spans="2:2" s="1623" customFormat="1" x14ac:dyDescent="0.2">
      <c r="B348" s="1631"/>
    </row>
    <row r="349" spans="2:2" s="1623" customFormat="1" x14ac:dyDescent="0.2">
      <c r="B349" s="1631"/>
    </row>
    <row r="350" spans="2:2" s="1623" customFormat="1" x14ac:dyDescent="0.2">
      <c r="B350" s="1631"/>
    </row>
    <row r="351" spans="2:2" s="1623" customFormat="1" x14ac:dyDescent="0.2">
      <c r="B351" s="1631"/>
    </row>
    <row r="352" spans="2:2" s="1623" customFormat="1" x14ac:dyDescent="0.2">
      <c r="B352" s="1631"/>
    </row>
    <row r="353" spans="2:2" s="1623" customFormat="1" x14ac:dyDescent="0.2">
      <c r="B353" s="1631"/>
    </row>
    <row r="354" spans="2:2" s="1623" customFormat="1" x14ac:dyDescent="0.2">
      <c r="B354" s="1631"/>
    </row>
    <row r="355" spans="2:2" s="1623" customFormat="1" x14ac:dyDescent="0.2">
      <c r="B355" s="1631"/>
    </row>
    <row r="356" spans="2:2" s="1623" customFormat="1" x14ac:dyDescent="0.2">
      <c r="B356" s="1631"/>
    </row>
    <row r="357" spans="2:2" s="1623" customFormat="1" x14ac:dyDescent="0.2">
      <c r="B357" s="1631"/>
    </row>
    <row r="358" spans="2:2" s="1623" customFormat="1" x14ac:dyDescent="0.2">
      <c r="B358" s="1631"/>
    </row>
    <row r="359" spans="2:2" s="1623" customFormat="1" x14ac:dyDescent="0.2">
      <c r="B359" s="1631"/>
    </row>
    <row r="360" spans="2:2" s="1623" customFormat="1" x14ac:dyDescent="0.2">
      <c r="B360" s="1631"/>
    </row>
    <row r="361" spans="2:2" s="1623" customFormat="1" x14ac:dyDescent="0.2">
      <c r="B361" s="1631"/>
    </row>
    <row r="362" spans="2:2" s="1623" customFormat="1" x14ac:dyDescent="0.2">
      <c r="B362" s="1631"/>
    </row>
    <row r="363" spans="2:2" s="1623" customFormat="1" x14ac:dyDescent="0.2">
      <c r="B363" s="1631"/>
    </row>
    <row r="364" spans="2:2" s="1623" customFormat="1" x14ac:dyDescent="0.2">
      <c r="B364" s="1631"/>
    </row>
    <row r="365" spans="2:2" s="1623" customFormat="1" x14ac:dyDescent="0.2">
      <c r="B365" s="1631"/>
    </row>
    <row r="366" spans="2:2" s="1623" customFormat="1" x14ac:dyDescent="0.2">
      <c r="B366" s="1631"/>
    </row>
    <row r="367" spans="2:2" s="1623" customFormat="1" x14ac:dyDescent="0.2">
      <c r="B367" s="1631"/>
    </row>
    <row r="368" spans="2:2" s="1623" customFormat="1" x14ac:dyDescent="0.2">
      <c r="B368" s="1631"/>
    </row>
    <row r="369" spans="2:2" s="1623" customFormat="1" x14ac:dyDescent="0.2">
      <c r="B369" s="1631"/>
    </row>
    <row r="370" spans="2:2" s="1623" customFormat="1" x14ac:dyDescent="0.2">
      <c r="B370" s="1631"/>
    </row>
    <row r="371" spans="2:2" s="1623" customFormat="1" x14ac:dyDescent="0.2">
      <c r="B371" s="1631"/>
    </row>
    <row r="372" spans="2:2" s="1623" customFormat="1" x14ac:dyDescent="0.2">
      <c r="B372" s="1631"/>
    </row>
    <row r="373" spans="2:2" s="1623" customFormat="1" x14ac:dyDescent="0.2">
      <c r="B373" s="1631"/>
    </row>
    <row r="374" spans="2:2" s="1623" customFormat="1" x14ac:dyDescent="0.2">
      <c r="B374" s="1631"/>
    </row>
    <row r="375" spans="2:2" s="1623" customFormat="1" x14ac:dyDescent="0.2">
      <c r="B375" s="1631"/>
    </row>
    <row r="376" spans="2:2" s="1623" customFormat="1" x14ac:dyDescent="0.2">
      <c r="B376" s="1631"/>
    </row>
    <row r="377" spans="2:2" s="1623" customFormat="1" x14ac:dyDescent="0.2">
      <c r="B377" s="1631"/>
    </row>
    <row r="378" spans="2:2" s="1623" customFormat="1" x14ac:dyDescent="0.2">
      <c r="B378" s="1631"/>
    </row>
    <row r="379" spans="2:2" s="1623" customFormat="1" x14ac:dyDescent="0.2">
      <c r="B379" s="1631"/>
    </row>
    <row r="380" spans="2:2" s="1623" customFormat="1" x14ac:dyDescent="0.2">
      <c r="B380" s="1631"/>
    </row>
    <row r="381" spans="2:2" s="1623" customFormat="1" x14ac:dyDescent="0.2">
      <c r="B381" s="1631"/>
    </row>
    <row r="382" spans="2:2" s="1623" customFormat="1" x14ac:dyDescent="0.2">
      <c r="B382" s="1631"/>
    </row>
    <row r="383" spans="2:2" s="1623" customFormat="1" x14ac:dyDescent="0.2">
      <c r="B383" s="1631"/>
    </row>
    <row r="384" spans="2:2" s="1623" customFormat="1" x14ac:dyDescent="0.2">
      <c r="B384" s="1631"/>
    </row>
    <row r="385" spans="2:2" s="1623" customFormat="1" x14ac:dyDescent="0.2">
      <c r="B385" s="1631"/>
    </row>
    <row r="386" spans="2:2" s="1623" customFormat="1" x14ac:dyDescent="0.2">
      <c r="B386" s="1631"/>
    </row>
    <row r="387" spans="2:2" s="1623" customFormat="1" x14ac:dyDescent="0.2">
      <c r="B387" s="1631"/>
    </row>
    <row r="388" spans="2:2" s="1623" customFormat="1" x14ac:dyDescent="0.2">
      <c r="B388" s="1631"/>
    </row>
    <row r="389" spans="2:2" s="1623" customFormat="1" x14ac:dyDescent="0.2">
      <c r="B389" s="1631"/>
    </row>
    <row r="390" spans="2:2" s="1623" customFormat="1" x14ac:dyDescent="0.2">
      <c r="B390" s="1631"/>
    </row>
    <row r="391" spans="2:2" s="1623" customFormat="1" x14ac:dyDescent="0.2">
      <c r="B391" s="1631"/>
    </row>
    <row r="392" spans="2:2" s="1623" customFormat="1" x14ac:dyDescent="0.2">
      <c r="B392" s="1631"/>
    </row>
    <row r="393" spans="2:2" s="1623" customFormat="1" x14ac:dyDescent="0.2">
      <c r="B393" s="1631"/>
    </row>
    <row r="394" spans="2:2" s="1623" customFormat="1" x14ac:dyDescent="0.2">
      <c r="B394" s="1631"/>
    </row>
    <row r="395" spans="2:2" s="1623" customFormat="1" x14ac:dyDescent="0.2">
      <c r="B395" s="1631"/>
    </row>
    <row r="396" spans="2:2" s="1623" customFormat="1" x14ac:dyDescent="0.2">
      <c r="B396" s="1631"/>
    </row>
    <row r="397" spans="2:2" s="1623" customFormat="1" x14ac:dyDescent="0.2">
      <c r="B397" s="1631"/>
    </row>
    <row r="398" spans="2:2" s="1623" customFormat="1" x14ac:dyDescent="0.2">
      <c r="B398" s="1631"/>
    </row>
    <row r="399" spans="2:2" s="1623" customFormat="1" x14ac:dyDescent="0.2">
      <c r="B399" s="1631"/>
    </row>
    <row r="400" spans="2:2" s="1623" customFormat="1" x14ac:dyDescent="0.2">
      <c r="B400" s="1631"/>
    </row>
    <row r="401" spans="2:2" s="1623" customFormat="1" x14ac:dyDescent="0.2">
      <c r="B401" s="1631"/>
    </row>
    <row r="402" spans="2:2" s="1623" customFormat="1" x14ac:dyDescent="0.2">
      <c r="B402" s="1631"/>
    </row>
    <row r="403" spans="2:2" s="1623" customFormat="1" x14ac:dyDescent="0.2">
      <c r="B403" s="1631"/>
    </row>
    <row r="404" spans="2:2" s="1623" customFormat="1" x14ac:dyDescent="0.2">
      <c r="B404" s="1631"/>
    </row>
    <row r="405" spans="2:2" s="1623" customFormat="1" x14ac:dyDescent="0.2">
      <c r="B405" s="1631"/>
    </row>
    <row r="406" spans="2:2" s="1623" customFormat="1" x14ac:dyDescent="0.2">
      <c r="B406" s="1631"/>
    </row>
    <row r="407" spans="2:2" s="1623" customFormat="1" x14ac:dyDescent="0.2">
      <c r="B407" s="1631"/>
    </row>
    <row r="408" spans="2:2" s="1623" customFormat="1" x14ac:dyDescent="0.2">
      <c r="B408" s="1631"/>
    </row>
    <row r="409" spans="2:2" s="1623" customFormat="1" x14ac:dyDescent="0.2">
      <c r="B409" s="1631"/>
    </row>
    <row r="410" spans="2:2" s="1623" customFormat="1" x14ac:dyDescent="0.2">
      <c r="B410" s="1631"/>
    </row>
    <row r="411" spans="2:2" s="1623" customFormat="1" x14ac:dyDescent="0.2">
      <c r="B411" s="1631"/>
    </row>
    <row r="412" spans="2:2" s="1623" customFormat="1" x14ac:dyDescent="0.2">
      <c r="B412" s="1631"/>
    </row>
    <row r="413" spans="2:2" s="1623" customFormat="1" x14ac:dyDescent="0.2">
      <c r="B413" s="1631"/>
    </row>
    <row r="414" spans="2:2" s="1623" customFormat="1" x14ac:dyDescent="0.2">
      <c r="B414" s="1631"/>
    </row>
    <row r="415" spans="2:2" s="1623" customFormat="1" x14ac:dyDescent="0.2">
      <c r="B415" s="1631"/>
    </row>
    <row r="416" spans="2:2" s="1623" customFormat="1" x14ac:dyDescent="0.2">
      <c r="B416" s="1631"/>
    </row>
    <row r="417" spans="2:2" s="1623" customFormat="1" x14ac:dyDescent="0.2">
      <c r="B417" s="1631"/>
    </row>
    <row r="418" spans="2:2" s="1623" customFormat="1" x14ac:dyDescent="0.2">
      <c r="B418" s="1631"/>
    </row>
    <row r="419" spans="2:2" s="1623" customFormat="1" x14ac:dyDescent="0.2">
      <c r="B419" s="1631"/>
    </row>
    <row r="420" spans="2:2" s="1623" customFormat="1" x14ac:dyDescent="0.2">
      <c r="B420" s="1631"/>
    </row>
    <row r="421" spans="2:2" s="1623" customFormat="1" x14ac:dyDescent="0.2">
      <c r="B421" s="1631"/>
    </row>
    <row r="422" spans="2:2" s="1623" customFormat="1" x14ac:dyDescent="0.2">
      <c r="B422" s="1631"/>
    </row>
    <row r="423" spans="2:2" s="1623" customFormat="1" x14ac:dyDescent="0.2">
      <c r="B423" s="1631"/>
    </row>
    <row r="424" spans="2:2" s="1623" customFormat="1" x14ac:dyDescent="0.2">
      <c r="B424" s="1631"/>
    </row>
    <row r="425" spans="2:2" s="1623" customFormat="1" x14ac:dyDescent="0.2">
      <c r="B425" s="1631"/>
    </row>
    <row r="426" spans="2:2" s="1623" customFormat="1" x14ac:dyDescent="0.2">
      <c r="B426" s="1631"/>
    </row>
    <row r="427" spans="2:2" s="1623" customFormat="1" x14ac:dyDescent="0.2">
      <c r="B427" s="1631"/>
    </row>
    <row r="428" spans="2:2" s="1623" customFormat="1" x14ac:dyDescent="0.2">
      <c r="B428" s="1631"/>
    </row>
    <row r="429" spans="2:2" s="1623" customFormat="1" x14ac:dyDescent="0.2">
      <c r="B429" s="1631"/>
    </row>
    <row r="430" spans="2:2" s="1623" customFormat="1" x14ac:dyDescent="0.2">
      <c r="B430" s="1631"/>
    </row>
    <row r="431" spans="2:2" s="1623" customFormat="1" x14ac:dyDescent="0.2">
      <c r="B431" s="1631"/>
    </row>
    <row r="432" spans="2:2" s="1623" customFormat="1" x14ac:dyDescent="0.2">
      <c r="B432" s="1631"/>
    </row>
    <row r="433" spans="2:2" s="1623" customFormat="1" x14ac:dyDescent="0.2">
      <c r="B433" s="1631"/>
    </row>
    <row r="434" spans="2:2" s="1623" customFormat="1" x14ac:dyDescent="0.2">
      <c r="B434" s="1631"/>
    </row>
    <row r="435" spans="2:2" s="1623" customFormat="1" x14ac:dyDescent="0.2">
      <c r="B435" s="1631"/>
    </row>
    <row r="436" spans="2:2" s="1623" customFormat="1" x14ac:dyDescent="0.2">
      <c r="B436" s="1631"/>
    </row>
    <row r="437" spans="2:2" s="1623" customFormat="1" x14ac:dyDescent="0.2">
      <c r="B437" s="1631"/>
    </row>
    <row r="438" spans="2:2" s="1623" customFormat="1" x14ac:dyDescent="0.2">
      <c r="B438" s="1631"/>
    </row>
    <row r="439" spans="2:2" s="1623" customFormat="1" x14ac:dyDescent="0.2">
      <c r="B439" s="1631"/>
    </row>
    <row r="440" spans="2:2" s="1623" customFormat="1" x14ac:dyDescent="0.2">
      <c r="B440" s="1631"/>
    </row>
    <row r="441" spans="2:2" s="1623" customFormat="1" x14ac:dyDescent="0.2">
      <c r="B441" s="1631"/>
    </row>
    <row r="442" spans="2:2" s="1623" customFormat="1" x14ac:dyDescent="0.2">
      <c r="B442" s="1631"/>
    </row>
    <row r="443" spans="2:2" s="1623" customFormat="1" x14ac:dyDescent="0.2">
      <c r="B443" s="1631"/>
    </row>
    <row r="444" spans="2:2" s="1623" customFormat="1" x14ac:dyDescent="0.2">
      <c r="B444" s="1631"/>
    </row>
    <row r="445" spans="2:2" s="1623" customFormat="1" x14ac:dyDescent="0.2">
      <c r="B445" s="1631"/>
    </row>
    <row r="446" spans="2:2" s="1623" customFormat="1" x14ac:dyDescent="0.2">
      <c r="B446" s="1631"/>
    </row>
    <row r="447" spans="2:2" s="1623" customFormat="1" x14ac:dyDescent="0.2">
      <c r="B447" s="1631"/>
    </row>
    <row r="448" spans="2:2" s="1623" customFormat="1" x14ac:dyDescent="0.2">
      <c r="B448" s="1631"/>
    </row>
    <row r="449" spans="2:2" s="1623" customFormat="1" x14ac:dyDescent="0.2">
      <c r="B449" s="1631"/>
    </row>
    <row r="450" spans="2:2" s="1623" customFormat="1" x14ac:dyDescent="0.2">
      <c r="B450" s="1631"/>
    </row>
    <row r="451" spans="2:2" s="1623" customFormat="1" x14ac:dyDescent="0.2">
      <c r="B451" s="1631"/>
    </row>
    <row r="452" spans="2:2" s="1623" customFormat="1" x14ac:dyDescent="0.2">
      <c r="B452" s="1631"/>
    </row>
    <row r="453" spans="2:2" s="1623" customFormat="1" x14ac:dyDescent="0.2">
      <c r="B453" s="1631"/>
    </row>
    <row r="454" spans="2:2" s="1623" customFormat="1" x14ac:dyDescent="0.2">
      <c r="B454" s="1631"/>
    </row>
    <row r="455" spans="2:2" s="1623" customFormat="1" x14ac:dyDescent="0.2">
      <c r="B455" s="1631"/>
    </row>
    <row r="456" spans="2:2" s="1623" customFormat="1" x14ac:dyDescent="0.2">
      <c r="B456" s="1631"/>
    </row>
    <row r="457" spans="2:2" s="1623" customFormat="1" x14ac:dyDescent="0.2">
      <c r="B457" s="1631"/>
    </row>
    <row r="458" spans="2:2" s="1623" customFormat="1" x14ac:dyDescent="0.2">
      <c r="B458" s="1631"/>
    </row>
    <row r="459" spans="2:2" s="1623" customFormat="1" x14ac:dyDescent="0.2">
      <c r="B459" s="1631"/>
    </row>
    <row r="460" spans="2:2" s="1623" customFormat="1" x14ac:dyDescent="0.2">
      <c r="B460" s="1631"/>
    </row>
    <row r="461" spans="2:2" s="1623" customFormat="1" x14ac:dyDescent="0.2">
      <c r="B461" s="1631"/>
    </row>
    <row r="462" spans="2:2" s="1623" customFormat="1" x14ac:dyDescent="0.2">
      <c r="B462" s="1631"/>
    </row>
    <row r="463" spans="2:2" s="1623" customFormat="1" x14ac:dyDescent="0.2">
      <c r="B463" s="1631"/>
    </row>
    <row r="464" spans="2:2" s="1623" customFormat="1" x14ac:dyDescent="0.2">
      <c r="B464" s="1631"/>
    </row>
    <row r="465" spans="2:2" s="1623" customFormat="1" x14ac:dyDescent="0.2">
      <c r="B465" s="1631"/>
    </row>
    <row r="466" spans="2:2" s="1623" customFormat="1" x14ac:dyDescent="0.2">
      <c r="B466" s="1631"/>
    </row>
    <row r="467" spans="2:2" s="1623" customFormat="1" x14ac:dyDescent="0.2">
      <c r="B467" s="1631"/>
    </row>
    <row r="468" spans="2:2" s="1623" customFormat="1" x14ac:dyDescent="0.2">
      <c r="B468" s="1631"/>
    </row>
    <row r="469" spans="2:2" s="1623" customFormat="1" x14ac:dyDescent="0.2">
      <c r="B469" s="1631"/>
    </row>
    <row r="470" spans="2:2" s="1623" customFormat="1" x14ac:dyDescent="0.2">
      <c r="B470" s="1631"/>
    </row>
    <row r="471" spans="2:2" s="1623" customFormat="1" x14ac:dyDescent="0.2">
      <c r="B471" s="1631"/>
    </row>
    <row r="472" spans="2:2" s="1623" customFormat="1" x14ac:dyDescent="0.2">
      <c r="B472" s="1631"/>
    </row>
    <row r="473" spans="2:2" s="1623" customFormat="1" x14ac:dyDescent="0.2">
      <c r="B473" s="1631"/>
    </row>
    <row r="474" spans="2:2" s="1623" customFormat="1" x14ac:dyDescent="0.2">
      <c r="B474" s="1631"/>
    </row>
    <row r="475" spans="2:2" s="1623" customFormat="1" x14ac:dyDescent="0.2">
      <c r="B475" s="1631"/>
    </row>
    <row r="476" spans="2:2" s="1623" customFormat="1" x14ac:dyDescent="0.2">
      <c r="B476" s="1631"/>
    </row>
    <row r="477" spans="2:2" s="1623" customFormat="1" x14ac:dyDescent="0.2">
      <c r="B477" s="1631"/>
    </row>
    <row r="478" spans="2:2" s="1623" customFormat="1" x14ac:dyDescent="0.2">
      <c r="B478" s="1631"/>
    </row>
    <row r="479" spans="2:2" s="1623" customFormat="1" x14ac:dyDescent="0.2">
      <c r="B479" s="1631"/>
    </row>
    <row r="480" spans="2:2" s="1623" customFormat="1" x14ac:dyDescent="0.2">
      <c r="B480" s="1631"/>
    </row>
    <row r="481" spans="2:2" s="1623" customFormat="1" x14ac:dyDescent="0.2">
      <c r="B481" s="1631"/>
    </row>
    <row r="482" spans="2:2" s="1623" customFormat="1" x14ac:dyDescent="0.2">
      <c r="B482" s="1631"/>
    </row>
    <row r="483" spans="2:2" s="1623" customFormat="1" x14ac:dyDescent="0.2">
      <c r="B483" s="1631"/>
    </row>
    <row r="484" spans="2:2" s="1623" customFormat="1" x14ac:dyDescent="0.2">
      <c r="B484" s="1631"/>
    </row>
    <row r="485" spans="2:2" s="1623" customFormat="1" x14ac:dyDescent="0.2">
      <c r="B485" s="1631"/>
    </row>
    <row r="486" spans="2:2" s="1623" customFormat="1" x14ac:dyDescent="0.2">
      <c r="B486" s="1631"/>
    </row>
    <row r="487" spans="2:2" s="1623" customFormat="1" x14ac:dyDescent="0.2">
      <c r="B487" s="1631"/>
    </row>
    <row r="488" spans="2:2" s="1623" customFormat="1" x14ac:dyDescent="0.2">
      <c r="B488" s="1631"/>
    </row>
    <row r="489" spans="2:2" s="1623" customFormat="1" x14ac:dyDescent="0.2">
      <c r="B489" s="1631"/>
    </row>
    <row r="490" spans="2:2" s="1623" customFormat="1" x14ac:dyDescent="0.2">
      <c r="B490" s="1631"/>
    </row>
    <row r="491" spans="2:2" s="1623" customFormat="1" x14ac:dyDescent="0.2">
      <c r="B491" s="1631"/>
    </row>
    <row r="492" spans="2:2" s="1623" customFormat="1" x14ac:dyDescent="0.2">
      <c r="B492" s="1631"/>
    </row>
    <row r="493" spans="2:2" s="1623" customFormat="1" x14ac:dyDescent="0.2">
      <c r="B493" s="1631"/>
    </row>
    <row r="494" spans="2:2" s="1623" customFormat="1" x14ac:dyDescent="0.2">
      <c r="B494" s="1631"/>
    </row>
    <row r="495" spans="2:2" s="1623" customFormat="1" x14ac:dyDescent="0.2">
      <c r="B495" s="1631"/>
    </row>
    <row r="496" spans="2:2" s="1623" customFormat="1" x14ac:dyDescent="0.2">
      <c r="B496" s="1631"/>
    </row>
    <row r="497" spans="2:2" s="1623" customFormat="1" x14ac:dyDescent="0.2">
      <c r="B497" s="1631"/>
    </row>
    <row r="498" spans="2:2" s="1623" customFormat="1" x14ac:dyDescent="0.2">
      <c r="B498" s="1631"/>
    </row>
    <row r="499" spans="2:2" s="1623" customFormat="1" x14ac:dyDescent="0.2">
      <c r="B499" s="1631"/>
    </row>
    <row r="500" spans="2:2" s="1623" customFormat="1" x14ac:dyDescent="0.2">
      <c r="B500" s="1631"/>
    </row>
    <row r="501" spans="2:2" s="1623" customFormat="1" x14ac:dyDescent="0.2">
      <c r="B501" s="1631"/>
    </row>
    <row r="502" spans="2:2" s="1623" customFormat="1" x14ac:dyDescent="0.2">
      <c r="B502" s="1631"/>
    </row>
    <row r="503" spans="2:2" s="1623" customFormat="1" x14ac:dyDescent="0.2">
      <c r="B503" s="1631"/>
    </row>
    <row r="504" spans="2:2" s="1623" customFormat="1" x14ac:dyDescent="0.2">
      <c r="B504" s="1631"/>
    </row>
    <row r="505" spans="2:2" s="1623" customFormat="1" x14ac:dyDescent="0.2">
      <c r="B505" s="1631"/>
    </row>
    <row r="506" spans="2:2" s="1623" customFormat="1" x14ac:dyDescent="0.2">
      <c r="B506" s="1631"/>
    </row>
    <row r="507" spans="2:2" s="1623" customFormat="1" x14ac:dyDescent="0.2">
      <c r="B507" s="1631"/>
    </row>
    <row r="508" spans="2:2" s="1623" customFormat="1" x14ac:dyDescent="0.2">
      <c r="B508" s="1631"/>
    </row>
    <row r="509" spans="2:2" s="1623" customFormat="1" x14ac:dyDescent="0.2">
      <c r="B509" s="1631"/>
    </row>
    <row r="510" spans="2:2" s="1623" customFormat="1" x14ac:dyDescent="0.2">
      <c r="B510" s="1631"/>
    </row>
    <row r="511" spans="2:2" s="1623" customFormat="1" x14ac:dyDescent="0.2">
      <c r="B511" s="1631"/>
    </row>
    <row r="512" spans="2:2" s="1623" customFormat="1" x14ac:dyDescent="0.2">
      <c r="B512" s="1631"/>
    </row>
    <row r="513" spans="2:2" s="1623" customFormat="1" x14ac:dyDescent="0.2">
      <c r="B513" s="1631"/>
    </row>
    <row r="514" spans="2:2" s="1623" customFormat="1" x14ac:dyDescent="0.2">
      <c r="B514" s="1631"/>
    </row>
    <row r="515" spans="2:2" s="1623" customFormat="1" x14ac:dyDescent="0.2">
      <c r="B515" s="1631"/>
    </row>
    <row r="516" spans="2:2" s="1623" customFormat="1" x14ac:dyDescent="0.2">
      <c r="B516" s="1631"/>
    </row>
    <row r="517" spans="2:2" s="1623" customFormat="1" x14ac:dyDescent="0.2">
      <c r="B517" s="1631"/>
    </row>
    <row r="518" spans="2:2" s="1623" customFormat="1" x14ac:dyDescent="0.2">
      <c r="B518" s="1631"/>
    </row>
    <row r="519" spans="2:2" s="1623" customFormat="1" x14ac:dyDescent="0.2">
      <c r="B519" s="1631"/>
    </row>
    <row r="520" spans="2:2" s="1623" customFormat="1" x14ac:dyDescent="0.2">
      <c r="B520" s="1631"/>
    </row>
    <row r="521" spans="2:2" s="1623" customFormat="1" x14ac:dyDescent="0.2">
      <c r="B521" s="1631"/>
    </row>
    <row r="522" spans="2:2" s="1623" customFormat="1" x14ac:dyDescent="0.2">
      <c r="B522" s="1631"/>
    </row>
    <row r="523" spans="2:2" s="1623" customFormat="1" x14ac:dyDescent="0.2">
      <c r="B523" s="1631"/>
    </row>
    <row r="524" spans="2:2" s="1623" customFormat="1" x14ac:dyDescent="0.2">
      <c r="B524" s="1631"/>
    </row>
    <row r="525" spans="2:2" s="1623" customFormat="1" x14ac:dyDescent="0.2">
      <c r="B525" s="1631"/>
    </row>
    <row r="526" spans="2:2" s="1623" customFormat="1" x14ac:dyDescent="0.2">
      <c r="B526" s="1631"/>
    </row>
    <row r="527" spans="2:2" s="1623" customFormat="1" x14ac:dyDescent="0.2">
      <c r="B527" s="1631"/>
    </row>
    <row r="528" spans="2:2" s="1623" customFormat="1" x14ac:dyDescent="0.2">
      <c r="B528" s="1631"/>
    </row>
    <row r="529" spans="2:2" s="1623" customFormat="1" x14ac:dyDescent="0.2">
      <c r="B529" s="1631"/>
    </row>
    <row r="530" spans="2:2" s="1623" customFormat="1" x14ac:dyDescent="0.2">
      <c r="B530" s="1631"/>
    </row>
    <row r="531" spans="2:2" s="1623" customFormat="1" x14ac:dyDescent="0.2">
      <c r="B531" s="1631"/>
    </row>
    <row r="532" spans="2:2" s="1623" customFormat="1" x14ac:dyDescent="0.2">
      <c r="B532" s="1631"/>
    </row>
    <row r="533" spans="2:2" s="1623" customFormat="1" x14ac:dyDescent="0.2">
      <c r="B533" s="1631"/>
    </row>
    <row r="534" spans="2:2" s="1623" customFormat="1" x14ac:dyDescent="0.2">
      <c r="B534" s="1631"/>
    </row>
    <row r="535" spans="2:2" s="1623" customFormat="1" x14ac:dyDescent="0.2">
      <c r="B535" s="1631"/>
    </row>
    <row r="536" spans="2:2" s="1623" customFormat="1" x14ac:dyDescent="0.2">
      <c r="B536" s="1631"/>
    </row>
    <row r="537" spans="2:2" s="1623" customFormat="1" x14ac:dyDescent="0.2">
      <c r="B537" s="1631"/>
    </row>
    <row r="538" spans="2:2" s="1623" customFormat="1" x14ac:dyDescent="0.2">
      <c r="B538" s="1631"/>
    </row>
    <row r="539" spans="2:2" s="1623" customFormat="1" x14ac:dyDescent="0.2">
      <c r="B539" s="1631"/>
    </row>
    <row r="540" spans="2:2" s="1623" customFormat="1" x14ac:dyDescent="0.2">
      <c r="B540" s="1631"/>
    </row>
    <row r="541" spans="2:2" s="1623" customFormat="1" x14ac:dyDescent="0.2">
      <c r="B541" s="1631"/>
    </row>
    <row r="542" spans="2:2" s="1623" customFormat="1" x14ac:dyDescent="0.2">
      <c r="B542" s="1631"/>
    </row>
    <row r="543" spans="2:2" s="1623" customFormat="1" x14ac:dyDescent="0.2">
      <c r="B543" s="1631"/>
    </row>
    <row r="544" spans="2:2" s="1623" customFormat="1" x14ac:dyDescent="0.2">
      <c r="B544" s="1631"/>
    </row>
    <row r="545" spans="2:2" s="1623" customFormat="1" x14ac:dyDescent="0.2">
      <c r="B545" s="1631"/>
    </row>
    <row r="546" spans="2:2" s="1623" customFormat="1" x14ac:dyDescent="0.2">
      <c r="B546" s="1631"/>
    </row>
    <row r="547" spans="2:2" s="1623" customFormat="1" x14ac:dyDescent="0.2">
      <c r="B547" s="1631"/>
    </row>
    <row r="548" spans="2:2" s="1623" customFormat="1" x14ac:dyDescent="0.2">
      <c r="B548" s="1631"/>
    </row>
    <row r="549" spans="2:2" s="1623" customFormat="1" x14ac:dyDescent="0.2">
      <c r="B549" s="1631"/>
    </row>
    <row r="550" spans="2:2" s="1623" customFormat="1" x14ac:dyDescent="0.2">
      <c r="B550" s="1631"/>
    </row>
    <row r="551" spans="2:2" s="1623" customFormat="1" x14ac:dyDescent="0.2">
      <c r="B551" s="1631"/>
    </row>
    <row r="552" spans="2:2" s="1623" customFormat="1" x14ac:dyDescent="0.2">
      <c r="B552" s="1631"/>
    </row>
    <row r="553" spans="2:2" s="1623" customFormat="1" x14ac:dyDescent="0.2">
      <c r="B553" s="1631"/>
    </row>
    <row r="554" spans="2:2" s="1623" customFormat="1" x14ac:dyDescent="0.2">
      <c r="B554" s="1631"/>
    </row>
    <row r="555" spans="2:2" s="1623" customFormat="1" x14ac:dyDescent="0.2">
      <c r="B555" s="1631"/>
    </row>
    <row r="556" spans="2:2" s="1623" customFormat="1" x14ac:dyDescent="0.2">
      <c r="B556" s="1631"/>
    </row>
    <row r="557" spans="2:2" s="1623" customFormat="1" x14ac:dyDescent="0.2">
      <c r="B557" s="1631"/>
    </row>
    <row r="558" spans="2:2" s="1623" customFormat="1" x14ac:dyDescent="0.2">
      <c r="B558" s="1631"/>
    </row>
    <row r="559" spans="2:2" s="1623" customFormat="1" x14ac:dyDescent="0.2">
      <c r="B559" s="1631"/>
    </row>
    <row r="560" spans="2:2" s="1623" customFormat="1" x14ac:dyDescent="0.2">
      <c r="B560" s="1631"/>
    </row>
    <row r="561" spans="2:2" s="1623" customFormat="1" x14ac:dyDescent="0.2">
      <c r="B561" s="1631"/>
    </row>
    <row r="562" spans="2:2" s="1623" customFormat="1" x14ac:dyDescent="0.2">
      <c r="B562" s="1631"/>
    </row>
    <row r="563" spans="2:2" s="1623" customFormat="1" x14ac:dyDescent="0.2">
      <c r="B563" s="1631"/>
    </row>
    <row r="564" spans="2:2" s="1623" customFormat="1" x14ac:dyDescent="0.2">
      <c r="B564" s="1631"/>
    </row>
    <row r="565" spans="2:2" s="1623" customFormat="1" x14ac:dyDescent="0.2">
      <c r="B565" s="1631"/>
    </row>
    <row r="566" spans="2:2" s="1623" customFormat="1" x14ac:dyDescent="0.2">
      <c r="B566" s="1631"/>
    </row>
    <row r="567" spans="2:2" s="1623" customFormat="1" x14ac:dyDescent="0.2">
      <c r="B567" s="1631"/>
    </row>
    <row r="568" spans="2:2" s="1623" customFormat="1" x14ac:dyDescent="0.2">
      <c r="B568" s="1631"/>
    </row>
    <row r="569" spans="2:2" s="1623" customFormat="1" x14ac:dyDescent="0.2">
      <c r="B569" s="1631"/>
    </row>
    <row r="570" spans="2:2" s="1623" customFormat="1" x14ac:dyDescent="0.2">
      <c r="B570" s="1631"/>
    </row>
    <row r="571" spans="2:2" s="1623" customFormat="1" x14ac:dyDescent="0.2">
      <c r="B571" s="1631"/>
    </row>
    <row r="572" spans="2:2" s="1623" customFormat="1" x14ac:dyDescent="0.2">
      <c r="B572" s="1631"/>
    </row>
    <row r="573" spans="2:2" s="1623" customFormat="1" x14ac:dyDescent="0.2">
      <c r="B573" s="1631"/>
    </row>
    <row r="574" spans="2:2" s="1623" customFormat="1" x14ac:dyDescent="0.2">
      <c r="B574" s="1631"/>
    </row>
    <row r="575" spans="2:2" s="1623" customFormat="1" x14ac:dyDescent="0.2">
      <c r="B575" s="1631"/>
    </row>
    <row r="576" spans="2:2" s="1623" customFormat="1" x14ac:dyDescent="0.2">
      <c r="B576" s="1631"/>
    </row>
    <row r="577" spans="2:2" s="1623" customFormat="1" x14ac:dyDescent="0.2">
      <c r="B577" s="1631"/>
    </row>
    <row r="578" spans="2:2" s="1623" customFormat="1" x14ac:dyDescent="0.2">
      <c r="B578" s="1631"/>
    </row>
    <row r="579" spans="2:2" s="1623" customFormat="1" x14ac:dyDescent="0.2">
      <c r="B579" s="1631"/>
    </row>
    <row r="580" spans="2:2" s="1623" customFormat="1" x14ac:dyDescent="0.2">
      <c r="B580" s="1631"/>
    </row>
    <row r="581" spans="2:2" s="1623" customFormat="1" x14ac:dyDescent="0.2">
      <c r="B581" s="1631"/>
    </row>
    <row r="582" spans="2:2" s="1623" customFormat="1" x14ac:dyDescent="0.2">
      <c r="B582" s="1631"/>
    </row>
    <row r="583" spans="2:2" s="1623" customFormat="1" x14ac:dyDescent="0.2">
      <c r="B583" s="1631"/>
    </row>
    <row r="584" spans="2:2" s="1623" customFormat="1" x14ac:dyDescent="0.2">
      <c r="B584" s="1631"/>
    </row>
    <row r="585" spans="2:2" s="1623" customFormat="1" x14ac:dyDescent="0.2">
      <c r="B585" s="1631"/>
    </row>
    <row r="586" spans="2:2" s="1623" customFormat="1" x14ac:dyDescent="0.2">
      <c r="B586" s="1631"/>
    </row>
    <row r="587" spans="2:2" s="1623" customFormat="1" x14ac:dyDescent="0.2">
      <c r="B587" s="1631"/>
    </row>
    <row r="588" spans="2:2" s="1623" customFormat="1" x14ac:dyDescent="0.2">
      <c r="B588" s="1631"/>
    </row>
    <row r="589" spans="2:2" s="1623" customFormat="1" x14ac:dyDescent="0.2">
      <c r="B589" s="1631"/>
    </row>
    <row r="590" spans="2:2" s="1623" customFormat="1" x14ac:dyDescent="0.2">
      <c r="B590" s="1631"/>
    </row>
    <row r="591" spans="2:2" s="1623" customFormat="1" x14ac:dyDescent="0.2">
      <c r="B591" s="1631"/>
    </row>
    <row r="592" spans="2:2" s="1623" customFormat="1" x14ac:dyDescent="0.2">
      <c r="B592" s="1631"/>
    </row>
    <row r="593" spans="2:2" s="1623" customFormat="1" x14ac:dyDescent="0.2">
      <c r="B593" s="1631"/>
    </row>
    <row r="594" spans="2:2" s="1623" customFormat="1" x14ac:dyDescent="0.2">
      <c r="B594" s="1631"/>
    </row>
    <row r="595" spans="2:2" s="1623" customFormat="1" x14ac:dyDescent="0.2">
      <c r="B595" s="1631"/>
    </row>
    <row r="596" spans="2:2" s="1623" customFormat="1" x14ac:dyDescent="0.2">
      <c r="B596" s="1631"/>
    </row>
    <row r="597" spans="2:2" s="1623" customFormat="1" x14ac:dyDescent="0.2">
      <c r="B597" s="1631"/>
    </row>
    <row r="598" spans="2:2" s="1623" customFormat="1" x14ac:dyDescent="0.2">
      <c r="B598" s="1631"/>
    </row>
    <row r="599" spans="2:2" s="1623" customFormat="1" x14ac:dyDescent="0.2">
      <c r="B599" s="1631"/>
    </row>
    <row r="600" spans="2:2" s="1623" customFormat="1" x14ac:dyDescent="0.2">
      <c r="B600" s="1631"/>
    </row>
    <row r="601" spans="2:2" s="1623" customFormat="1" x14ac:dyDescent="0.2">
      <c r="B601" s="1631"/>
    </row>
    <row r="602" spans="2:2" s="1623" customFormat="1" x14ac:dyDescent="0.2">
      <c r="B602" s="1631"/>
    </row>
    <row r="603" spans="2:2" s="1623" customFormat="1" x14ac:dyDescent="0.2">
      <c r="B603" s="1631"/>
    </row>
    <row r="604" spans="2:2" s="1623" customFormat="1" x14ac:dyDescent="0.2">
      <c r="B604" s="1631"/>
    </row>
    <row r="605" spans="2:2" s="1623" customFormat="1" x14ac:dyDescent="0.2">
      <c r="B605" s="1631"/>
    </row>
    <row r="606" spans="2:2" s="1623" customFormat="1" x14ac:dyDescent="0.2">
      <c r="B606" s="1631"/>
    </row>
    <row r="607" spans="2:2" s="1623" customFormat="1" x14ac:dyDescent="0.2">
      <c r="B607" s="1631"/>
    </row>
    <row r="608" spans="2:2" s="1623" customFormat="1" x14ac:dyDescent="0.2">
      <c r="B608" s="1631"/>
    </row>
    <row r="609" spans="2:2" s="1623" customFormat="1" x14ac:dyDescent="0.2">
      <c r="B609" s="1631"/>
    </row>
    <row r="610" spans="2:2" s="1623" customFormat="1" x14ac:dyDescent="0.2">
      <c r="B610" s="1631"/>
    </row>
    <row r="611" spans="2:2" s="1623" customFormat="1" x14ac:dyDescent="0.2">
      <c r="B611" s="1631"/>
    </row>
    <row r="612" spans="2:2" s="1623" customFormat="1" x14ac:dyDescent="0.2">
      <c r="B612" s="1631"/>
    </row>
    <row r="613" spans="2:2" s="1623" customFormat="1" x14ac:dyDescent="0.2">
      <c r="B613" s="1631"/>
    </row>
    <row r="614" spans="2:2" s="1623" customFormat="1" x14ac:dyDescent="0.2">
      <c r="B614" s="1631"/>
    </row>
    <row r="615" spans="2:2" s="1623" customFormat="1" x14ac:dyDescent="0.2">
      <c r="B615" s="1631"/>
    </row>
    <row r="616" spans="2:2" s="1623" customFormat="1" x14ac:dyDescent="0.2">
      <c r="B616" s="1631"/>
    </row>
    <row r="617" spans="2:2" s="1623" customFormat="1" x14ac:dyDescent="0.2">
      <c r="B617" s="1631"/>
    </row>
    <row r="618" spans="2:2" s="1623" customFormat="1" x14ac:dyDescent="0.2">
      <c r="B618" s="1631"/>
    </row>
    <row r="619" spans="2:2" s="1623" customFormat="1" x14ac:dyDescent="0.2">
      <c r="B619" s="1631"/>
    </row>
    <row r="620" spans="2:2" s="1623" customFormat="1" x14ac:dyDescent="0.2">
      <c r="B620" s="1631"/>
    </row>
    <row r="621" spans="2:2" s="1623" customFormat="1" x14ac:dyDescent="0.2">
      <c r="B621" s="1631"/>
    </row>
    <row r="622" spans="2:2" s="1623" customFormat="1" x14ac:dyDescent="0.2">
      <c r="B622" s="1631"/>
    </row>
    <row r="623" spans="2:2" s="1623" customFormat="1" x14ac:dyDescent="0.2">
      <c r="B623" s="1631"/>
    </row>
    <row r="624" spans="2:2" s="1623" customFormat="1" x14ac:dyDescent="0.2">
      <c r="B624" s="1631"/>
    </row>
    <row r="625" spans="2:2" s="1623" customFormat="1" x14ac:dyDescent="0.2">
      <c r="B625" s="1631"/>
    </row>
    <row r="626" spans="2:2" s="1623" customFormat="1" x14ac:dyDescent="0.2">
      <c r="B626" s="1631"/>
    </row>
    <row r="627" spans="2:2" s="1623" customFormat="1" x14ac:dyDescent="0.2">
      <c r="B627" s="1631"/>
    </row>
    <row r="628" spans="2:2" s="1623" customFormat="1" x14ac:dyDescent="0.2">
      <c r="B628" s="1631"/>
    </row>
    <row r="629" spans="2:2" s="1623" customFormat="1" x14ac:dyDescent="0.2">
      <c r="B629" s="1631"/>
    </row>
    <row r="630" spans="2:2" s="1623" customFormat="1" x14ac:dyDescent="0.2">
      <c r="B630" s="1631"/>
    </row>
    <row r="631" spans="2:2" s="1623" customFormat="1" x14ac:dyDescent="0.2">
      <c r="B631" s="1631"/>
    </row>
    <row r="632" spans="2:2" s="1623" customFormat="1" x14ac:dyDescent="0.2">
      <c r="B632" s="1631"/>
    </row>
    <row r="633" spans="2:2" s="1623" customFormat="1" x14ac:dyDescent="0.2">
      <c r="B633" s="1631"/>
    </row>
    <row r="634" spans="2:2" s="1623" customFormat="1" x14ac:dyDescent="0.2">
      <c r="B634" s="1631"/>
    </row>
    <row r="635" spans="2:2" s="1623" customFormat="1" x14ac:dyDescent="0.2">
      <c r="B635" s="1631"/>
    </row>
    <row r="636" spans="2:2" s="1623" customFormat="1" x14ac:dyDescent="0.2">
      <c r="B636" s="1631"/>
    </row>
    <row r="637" spans="2:2" s="1623" customFormat="1" x14ac:dyDescent="0.2">
      <c r="B637" s="1631"/>
    </row>
    <row r="638" spans="2:2" s="1623" customFormat="1" x14ac:dyDescent="0.2">
      <c r="B638" s="1631"/>
    </row>
    <row r="639" spans="2:2" s="1623" customFormat="1" x14ac:dyDescent="0.2">
      <c r="B639" s="1631"/>
    </row>
    <row r="640" spans="2:2" s="1623" customFormat="1" x14ac:dyDescent="0.2">
      <c r="B640" s="1631"/>
    </row>
    <row r="641" spans="2:2" s="1623" customFormat="1" x14ac:dyDescent="0.2">
      <c r="B641" s="1631"/>
    </row>
    <row r="642" spans="2:2" s="1623" customFormat="1" x14ac:dyDescent="0.2">
      <c r="B642" s="1631"/>
    </row>
    <row r="643" spans="2:2" s="1623" customFormat="1" x14ac:dyDescent="0.2">
      <c r="B643" s="1631"/>
    </row>
    <row r="644" spans="2:2" s="1623" customFormat="1" x14ac:dyDescent="0.2">
      <c r="B644" s="1631"/>
    </row>
    <row r="645" spans="2:2" s="1623" customFormat="1" x14ac:dyDescent="0.2">
      <c r="B645" s="1631"/>
    </row>
    <row r="646" spans="2:2" s="1623" customFormat="1" x14ac:dyDescent="0.2">
      <c r="B646" s="1631"/>
    </row>
    <row r="647" spans="2:2" s="1623" customFormat="1" x14ac:dyDescent="0.2">
      <c r="B647" s="1631"/>
    </row>
    <row r="648" spans="2:2" s="1623" customFormat="1" x14ac:dyDescent="0.2">
      <c r="B648" s="1631"/>
    </row>
    <row r="649" spans="2:2" s="1623" customFormat="1" x14ac:dyDescent="0.2">
      <c r="B649" s="1631"/>
    </row>
    <row r="650" spans="2:2" s="1623" customFormat="1" x14ac:dyDescent="0.2">
      <c r="B650" s="1631"/>
    </row>
    <row r="651" spans="2:2" s="1623" customFormat="1" x14ac:dyDescent="0.2">
      <c r="B651" s="1631"/>
    </row>
    <row r="652" spans="2:2" s="1623" customFormat="1" x14ac:dyDescent="0.2">
      <c r="B652" s="1631"/>
    </row>
    <row r="653" spans="2:2" s="1623" customFormat="1" x14ac:dyDescent="0.2">
      <c r="B653" s="1631"/>
    </row>
    <row r="654" spans="2:2" s="1623" customFormat="1" x14ac:dyDescent="0.2">
      <c r="B654" s="1631"/>
    </row>
    <row r="655" spans="2:2" s="1623" customFormat="1" x14ac:dyDescent="0.2">
      <c r="B655" s="1631"/>
    </row>
    <row r="656" spans="2:2" s="1623" customFormat="1" x14ac:dyDescent="0.2">
      <c r="B656" s="1631"/>
    </row>
    <row r="657" spans="2:2" s="1623" customFormat="1" x14ac:dyDescent="0.2">
      <c r="B657" s="1631"/>
    </row>
    <row r="658" spans="2:2" s="1623" customFormat="1" x14ac:dyDescent="0.2">
      <c r="B658" s="1631"/>
    </row>
    <row r="659" spans="2:2" s="1623" customFormat="1" x14ac:dyDescent="0.2">
      <c r="B659" s="1631"/>
    </row>
    <row r="660" spans="2:2" s="1623" customFormat="1" x14ac:dyDescent="0.2">
      <c r="B660" s="1631"/>
    </row>
    <row r="661" spans="2:2" s="1623" customFormat="1" x14ac:dyDescent="0.2">
      <c r="B661" s="1631"/>
    </row>
    <row r="662" spans="2:2" s="1623" customFormat="1" x14ac:dyDescent="0.2">
      <c r="B662" s="1631"/>
    </row>
    <row r="663" spans="2:2" s="1623" customFormat="1" x14ac:dyDescent="0.2">
      <c r="B663" s="1631"/>
    </row>
    <row r="664" spans="2:2" s="1623" customFormat="1" x14ac:dyDescent="0.2">
      <c r="B664" s="1631"/>
    </row>
    <row r="665" spans="2:2" s="1623" customFormat="1" x14ac:dyDescent="0.2">
      <c r="B665" s="1631"/>
    </row>
    <row r="666" spans="2:2" s="1623" customFormat="1" x14ac:dyDescent="0.2">
      <c r="B666" s="1631"/>
    </row>
    <row r="667" spans="2:2" s="1623" customFormat="1" x14ac:dyDescent="0.2">
      <c r="B667" s="1631"/>
    </row>
    <row r="668" spans="2:2" s="1623" customFormat="1" x14ac:dyDescent="0.2">
      <c r="B668" s="1631"/>
    </row>
    <row r="669" spans="2:2" s="1623" customFormat="1" x14ac:dyDescent="0.2">
      <c r="B669" s="1631"/>
    </row>
    <row r="670" spans="2:2" s="1623" customFormat="1" x14ac:dyDescent="0.2">
      <c r="B670" s="1631"/>
    </row>
    <row r="671" spans="2:2" s="1623" customFormat="1" x14ac:dyDescent="0.2">
      <c r="B671" s="1631"/>
    </row>
    <row r="672" spans="2:2" s="1623" customFormat="1" x14ac:dyDescent="0.2">
      <c r="B672" s="1631"/>
    </row>
    <row r="673" spans="2:2" s="1623" customFormat="1" x14ac:dyDescent="0.2">
      <c r="B673" s="1631"/>
    </row>
    <row r="674" spans="2:2" s="1623" customFormat="1" x14ac:dyDescent="0.2">
      <c r="B674" s="1631"/>
    </row>
    <row r="675" spans="2:2" s="1623" customFormat="1" x14ac:dyDescent="0.2">
      <c r="B675" s="1631"/>
    </row>
    <row r="676" spans="2:2" s="1623" customFormat="1" x14ac:dyDescent="0.2">
      <c r="B676" s="1631"/>
    </row>
    <row r="677" spans="2:2" s="1623" customFormat="1" x14ac:dyDescent="0.2">
      <c r="B677" s="1631"/>
    </row>
    <row r="678" spans="2:2" s="1623" customFormat="1" x14ac:dyDescent="0.2">
      <c r="B678" s="1631"/>
    </row>
    <row r="679" spans="2:2" s="1623" customFormat="1" x14ac:dyDescent="0.2">
      <c r="B679" s="1631"/>
    </row>
    <row r="680" spans="2:2" s="1623" customFormat="1" x14ac:dyDescent="0.2">
      <c r="B680" s="1631"/>
    </row>
    <row r="681" spans="2:2" s="1623" customFormat="1" x14ac:dyDescent="0.2">
      <c r="B681" s="1631"/>
    </row>
    <row r="682" spans="2:2" s="1623" customFormat="1" x14ac:dyDescent="0.2">
      <c r="B682" s="1631"/>
    </row>
    <row r="683" spans="2:2" s="1623" customFormat="1" x14ac:dyDescent="0.2">
      <c r="B683" s="1631"/>
    </row>
    <row r="684" spans="2:2" s="1623" customFormat="1" x14ac:dyDescent="0.2">
      <c r="B684" s="1631"/>
    </row>
    <row r="685" spans="2:2" s="1623" customFormat="1" x14ac:dyDescent="0.2">
      <c r="B685" s="1631"/>
    </row>
    <row r="686" spans="2:2" s="1623" customFormat="1" x14ac:dyDescent="0.2">
      <c r="B686" s="1631"/>
    </row>
    <row r="687" spans="2:2" s="1623" customFormat="1" x14ac:dyDescent="0.2">
      <c r="B687" s="1631"/>
    </row>
    <row r="688" spans="2:2" s="1623" customFormat="1" x14ac:dyDescent="0.2">
      <c r="B688" s="1631"/>
    </row>
    <row r="689" spans="2:2" s="1623" customFormat="1" x14ac:dyDescent="0.2">
      <c r="B689" s="1631"/>
    </row>
    <row r="690" spans="2:2" s="1623" customFormat="1" x14ac:dyDescent="0.2">
      <c r="B690" s="1631"/>
    </row>
    <row r="691" spans="2:2" s="1623" customFormat="1" x14ac:dyDescent="0.2">
      <c r="B691" s="1631"/>
    </row>
    <row r="692" spans="2:2" s="1623" customFormat="1" x14ac:dyDescent="0.2">
      <c r="B692" s="1631"/>
    </row>
    <row r="693" spans="2:2" s="1623" customFormat="1" x14ac:dyDescent="0.2">
      <c r="B693" s="1631"/>
    </row>
    <row r="694" spans="2:2" s="1623" customFormat="1" x14ac:dyDescent="0.2">
      <c r="B694" s="1631"/>
    </row>
    <row r="695" spans="2:2" s="1623" customFormat="1" x14ac:dyDescent="0.2">
      <c r="B695" s="1631"/>
    </row>
    <row r="696" spans="2:2" s="1623" customFormat="1" x14ac:dyDescent="0.2">
      <c r="B696" s="1631"/>
    </row>
    <row r="697" spans="2:2" s="1623" customFormat="1" x14ac:dyDescent="0.2">
      <c r="B697" s="1631"/>
    </row>
    <row r="698" spans="2:2" s="1623" customFormat="1" x14ac:dyDescent="0.2">
      <c r="B698" s="1631"/>
    </row>
    <row r="699" spans="2:2" s="1623" customFormat="1" x14ac:dyDescent="0.2">
      <c r="B699" s="1631"/>
    </row>
    <row r="700" spans="2:2" s="1623" customFormat="1" x14ac:dyDescent="0.2">
      <c r="B700" s="1631"/>
    </row>
    <row r="701" spans="2:2" s="1623" customFormat="1" x14ac:dyDescent="0.2">
      <c r="B701" s="1631"/>
    </row>
    <row r="702" spans="2:2" s="1623" customFormat="1" x14ac:dyDescent="0.2">
      <c r="B702" s="1631"/>
    </row>
    <row r="703" spans="2:2" s="1623" customFormat="1" x14ac:dyDescent="0.2">
      <c r="B703" s="1631"/>
    </row>
    <row r="704" spans="2:2" s="1623" customFormat="1" x14ac:dyDescent="0.2">
      <c r="B704" s="1631"/>
    </row>
    <row r="705" spans="2:2" s="1623" customFormat="1" x14ac:dyDescent="0.2">
      <c r="B705" s="1631"/>
    </row>
    <row r="706" spans="2:2" s="1623" customFormat="1" x14ac:dyDescent="0.2">
      <c r="B706" s="1631"/>
    </row>
  </sheetData>
  <sheetProtection password="D0E7" sheet="1" objects="1" scenarios="1"/>
  <pageMargins left="0.7" right="0.7" top="0.75" bottom="0.75" header="0.3" footer="0.3"/>
  <pageSetup paperSize="9" orientation="portrait" verticalDpi="0"/>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5">
    <tabColor rgb="FF993366"/>
  </sheetPr>
  <dimension ref="A1:AF258"/>
  <sheetViews>
    <sheetView showGridLines="0" topLeftCell="A136" zoomScale="90" zoomScaleNormal="90" zoomScalePageLayoutView="70" workbookViewId="0">
      <selection activeCell="D159" sqref="D159:H159"/>
    </sheetView>
  </sheetViews>
  <sheetFormatPr baseColWidth="10" defaultColWidth="12" defaultRowHeight="12.75" x14ac:dyDescent="0.2"/>
  <cols>
    <col min="1" max="1" width="9" style="260" customWidth="1"/>
    <col min="2" max="2" width="22.33203125" style="260" customWidth="1"/>
    <col min="3" max="3" width="19.5" style="260" customWidth="1"/>
    <col min="4" max="4" width="12" style="260"/>
    <col min="5" max="5" width="12.83203125" style="260" bestFit="1" customWidth="1"/>
    <col min="6" max="6" width="12" style="260" customWidth="1"/>
    <col min="7" max="7" width="13.6640625" style="260" bestFit="1" customWidth="1"/>
    <col min="8" max="8" width="12.1640625" style="260" bestFit="1" customWidth="1"/>
    <col min="9" max="9" width="15.5" style="260" bestFit="1" customWidth="1"/>
    <col min="10" max="11" width="12.1640625" style="260" bestFit="1" customWidth="1"/>
    <col min="12" max="12" width="16.33203125" style="260" customWidth="1"/>
    <col min="13" max="13" width="15.5" style="260" bestFit="1" customWidth="1"/>
    <col min="14" max="14" width="15.5" style="260" customWidth="1"/>
    <col min="15" max="15" width="15.5" style="260" bestFit="1" customWidth="1"/>
    <col min="16" max="16" width="12" style="260"/>
    <col min="17" max="18" width="15.5" style="260" bestFit="1" customWidth="1"/>
    <col min="19" max="19" width="15.6640625" style="260" bestFit="1" customWidth="1"/>
    <col min="20" max="20" width="13.33203125" style="260" bestFit="1" customWidth="1"/>
    <col min="21" max="21" width="13.33203125" style="260" customWidth="1"/>
    <col min="22" max="22" width="12.1640625" style="260" bestFit="1" customWidth="1"/>
    <col min="23" max="16384" width="12" style="260"/>
  </cols>
  <sheetData>
    <row r="1" spans="1:17" s="689" customFormat="1" ht="15" x14ac:dyDescent="0.2">
      <c r="F1" s="690"/>
    </row>
    <row r="2" spans="1:17" ht="16.5" thickBot="1" x14ac:dyDescent="0.3">
      <c r="A2" s="2144" t="str">
        <f>'TRAD-Adults YEAR (2)'!B3</f>
        <v>Répartition prévue au début de la deuxième année pour les patients déjà pris en charge</v>
      </c>
      <c r="B2" s="2144"/>
      <c r="C2" s="2144"/>
      <c r="D2" s="2144"/>
      <c r="E2" s="2144"/>
      <c r="F2" s="2144"/>
      <c r="G2" s="2144"/>
      <c r="H2" s="2144"/>
      <c r="I2" s="2144"/>
      <c r="J2" s="2144"/>
      <c r="K2" s="2144"/>
      <c r="L2" s="2144"/>
      <c r="M2" s="497"/>
      <c r="N2" s="497"/>
      <c r="O2" s="497"/>
      <c r="P2" s="497"/>
      <c r="Q2" s="497"/>
    </row>
    <row r="3" spans="1:17" ht="13.5" thickBot="1" x14ac:dyDescent="0.25"/>
    <row r="4" spans="1:17" s="524" customFormat="1" ht="16.5" thickBot="1" x14ac:dyDescent="0.3">
      <c r="B4" s="525" t="str">
        <f>'General Data'!D14</f>
        <v>Année 2</v>
      </c>
      <c r="C4" s="526">
        <f>'General Data'!E14</f>
        <v>0</v>
      </c>
      <c r="D4" s="527"/>
    </row>
    <row r="5" spans="1:17" s="523" customFormat="1" ht="13.5" thickBot="1" x14ac:dyDescent="0.25"/>
    <row r="6" spans="1:17" s="524" customFormat="1" ht="16.5" thickBot="1" x14ac:dyDescent="0.3">
      <c r="B6" s="898" t="str">
        <f>'TRAD-Adults YEAR(1)'!B3</f>
        <v>Période réellement quantifiée :</v>
      </c>
      <c r="C6" s="899"/>
      <c r="D6" s="900" t="str">
        <f>IF('General Data'!G24="NA", "0", 'General Data'!G24)</f>
        <v>0</v>
      </c>
      <c r="E6" s="901" t="str">
        <f>'TRAD-Adults YEAR(1)'!B5</f>
        <v>mois</v>
      </c>
      <c r="G6" s="524" t="str">
        <f>'TRAD-Adults YEAR(1)'!B6</f>
        <v>Facteur multiplicateur</v>
      </c>
      <c r="I6" s="524">
        <f>D6*(D6+1)/2</f>
        <v>0</v>
      </c>
    </row>
    <row r="7" spans="1:17" s="524" customFormat="1" ht="16.5" thickBot="1" x14ac:dyDescent="0.3">
      <c r="B7" s="898" t="str">
        <f>'TRAD-Adults YEAR(1)'!B4</f>
        <v>Période quantifiée + tampon</v>
      </c>
      <c r="C7" s="899"/>
      <c r="D7" s="900">
        <f>D6+'General Data'!$E$30</f>
        <v>3</v>
      </c>
      <c r="E7" s="901" t="str">
        <f>'TRAD-Adults YEAR(1)'!B5</f>
        <v>mois</v>
      </c>
      <c r="F7" s="524">
        <f>A7*(A7+1)/2</f>
        <v>0</v>
      </c>
      <c r="G7" s="524" t="str">
        <f>'TRAD-Adults YEAR(1)'!B6</f>
        <v>Facteur multiplicateur</v>
      </c>
      <c r="I7" s="524">
        <f>D7*(D7+1)/2</f>
        <v>6</v>
      </c>
    </row>
    <row r="8" spans="1:17" ht="13.5" thickBot="1" x14ac:dyDescent="0.25">
      <c r="B8" s="719"/>
    </row>
    <row r="9" spans="1:17" ht="77.25" thickBot="1" x14ac:dyDescent="0.25">
      <c r="B9" s="354"/>
      <c r="C9" s="691" t="str">
        <f>'TRAD-Adults YEAR(1)'!B7</f>
        <v>Schémas</v>
      </c>
      <c r="D9" s="691" t="str">
        <f>'TRAD-Adults YEAR(1)'!B8</f>
        <v>Nb de patients théoriques pour XXX patients totaux</v>
      </c>
      <c r="E9" s="692" t="str">
        <f>'TRAD-Adults YEAR(1)'!B9</f>
        <v>Proportion prévue au début de la période</v>
      </c>
    </row>
    <row r="10" spans="1:17" x14ac:dyDescent="0.2">
      <c r="B10" s="693" t="str">
        <f>'TRAD-Adults YEAR(1)'!B10</f>
        <v>1ères lignes</v>
      </c>
      <c r="C10" s="14" t="str">
        <f>'Data &amp; hypothesis Adults'!C26</f>
        <v>AZT+3TC+NVP</v>
      </c>
      <c r="D10" s="694">
        <f>'Adults YEAR1'!F140+'Data &amp; hypothesis Adults'!D$9*E10</f>
        <v>10536.424547798304</v>
      </c>
      <c r="E10" s="695">
        <f>'Adults YEAR1'!G140</f>
        <v>0.53463773719697916</v>
      </c>
      <c r="G10" s="266" t="str">
        <f>'TRAD-Adults YEAR(1)'!B13</f>
        <v>Total Premières lignes</v>
      </c>
      <c r="H10" s="531"/>
      <c r="I10" s="532">
        <f>SUM(D10:D19)</f>
        <v>18636.545133317122</v>
      </c>
    </row>
    <row r="11" spans="1:17" ht="13.5" thickBot="1" x14ac:dyDescent="0.25">
      <c r="B11" s="696"/>
      <c r="C11" s="15" t="str">
        <f>'Data &amp; hypothesis Adults'!C27</f>
        <v>AZT+3TC+EFV</v>
      </c>
      <c r="D11" s="697">
        <f>'Adults YEAR1'!F141+'Data &amp; hypothesis Adults'!D$9*E11</f>
        <v>1360.7779809950976</v>
      </c>
      <c r="E11" s="698">
        <f>'Adults YEAR1'!G141</f>
        <v>6.9048400364497123E-2</v>
      </c>
      <c r="G11" s="535"/>
      <c r="H11" s="536" t="s">
        <v>51</v>
      </c>
      <c r="I11" s="537">
        <f>I10/D29</f>
        <v>0.94565288955901838</v>
      </c>
    </row>
    <row r="12" spans="1:17" x14ac:dyDescent="0.2">
      <c r="B12" s="696"/>
      <c r="C12" s="15" t="str">
        <f>'Data &amp; hypothesis Adults'!C28</f>
        <v>AZT+3TC+ABC</v>
      </c>
      <c r="D12" s="697">
        <f>'Adults YEAR1'!F142+'Data &amp; hypothesis Adults'!D$9*E12</f>
        <v>76.777819580949213</v>
      </c>
      <c r="E12" s="698">
        <f>'Adults YEAR1'!G142</f>
        <v>3.8958490654454579E-3</v>
      </c>
      <c r="G12" s="266" t="str">
        <f>'TRAD-Adults YEAR(1)'!B15</f>
        <v>Total Deuxièmes lignes</v>
      </c>
      <c r="H12" s="531"/>
      <c r="I12" s="532">
        <f>SUM(D20:D26)</f>
        <v>1071.0508980425523</v>
      </c>
    </row>
    <row r="13" spans="1:17" ht="13.5" thickBot="1" x14ac:dyDescent="0.25">
      <c r="B13" s="696"/>
      <c r="C13" s="16" t="str">
        <f>'Data &amp; hypothesis Adults'!C29</f>
        <v>AZT+3TC+LPV/r</v>
      </c>
      <c r="D13" s="697">
        <f>'Adults YEAR1'!F143+'Data &amp; hypothesis Adults'!D$9*E13</f>
        <v>673.98578722174659</v>
      </c>
      <c r="E13" s="698">
        <f>'Adults YEAR1'!G143</f>
        <v>3.4199289763666145E-2</v>
      </c>
      <c r="G13" s="535"/>
      <c r="H13" s="536" t="s">
        <v>51</v>
      </c>
      <c r="I13" s="537">
        <f>I12/D29</f>
        <v>5.4347110440981457E-2</v>
      </c>
    </row>
    <row r="14" spans="1:17" x14ac:dyDescent="0.2">
      <c r="B14" s="696"/>
      <c r="C14" s="16" t="str">
        <f>'Data &amp; hypothesis Adults'!C30</f>
        <v>ABC+3TC+EFV</v>
      </c>
      <c r="D14" s="697">
        <f>'Adults YEAR1'!F144+'Data &amp; hypothesis Adults'!D$9*E14</f>
        <v>42.657711974342675</v>
      </c>
      <c r="E14" s="698">
        <f>'Adults YEAR1'!G144</f>
        <v>2.1645314784443353E-3</v>
      </c>
      <c r="G14" s="497"/>
      <c r="H14" s="522"/>
      <c r="I14" s="1270"/>
    </row>
    <row r="15" spans="1:17" x14ac:dyDescent="0.2">
      <c r="B15" s="696"/>
      <c r="C15" s="15" t="str">
        <f>'Data &amp; hypothesis Adults'!C31</f>
        <v>TDF+FTC/3TC+EFV</v>
      </c>
      <c r="D15" s="697">
        <f>'Adults YEAR1'!F145+'Data &amp; hypothesis Adults'!D$9*E15</f>
        <v>5869.1434661657331</v>
      </c>
      <c r="E15" s="698">
        <f>'Adults YEAR1'!G145</f>
        <v>0.29781123262454079</v>
      </c>
    </row>
    <row r="16" spans="1:17" x14ac:dyDescent="0.2">
      <c r="B16" s="696"/>
      <c r="C16" s="15" t="str">
        <f>'Data &amp; hypothesis Adults'!C32</f>
        <v>TDF+FTC/3TC+LPV/r</v>
      </c>
      <c r="D16" s="697">
        <f>'Adults YEAR1'!F146+'Data &amp; hypothesis Adults'!D$9*E16</f>
        <v>0</v>
      </c>
      <c r="E16" s="698">
        <f>'Adults YEAR1'!G146</f>
        <v>0</v>
      </c>
    </row>
    <row r="17" spans="2:14" x14ac:dyDescent="0.2">
      <c r="B17" s="696"/>
      <c r="C17" s="15" t="str">
        <f>'Data &amp; hypothesis Adults'!C33</f>
        <v>ABC+3TC+LPV/r</v>
      </c>
      <c r="D17" s="697">
        <f>'Adults YEAR1'!F147+'Data &amp; hypothesis Adults'!D$9*E17</f>
        <v>24.169672465693711</v>
      </c>
      <c r="E17" s="698">
        <f>'Adults YEAR1'!G147</f>
        <v>1.2264140399079503E-3</v>
      </c>
    </row>
    <row r="18" spans="2:14" x14ac:dyDescent="0.2">
      <c r="B18" s="696"/>
      <c r="C18" s="36" t="str">
        <f>'Data &amp; hypothesis Adults'!C34</f>
        <v>TDF+3TC/FTC+ABC</v>
      </c>
      <c r="D18" s="697">
        <f>'Adults YEAR1'!F148+'Data &amp; hypothesis Adults'!D$9*E18</f>
        <v>52.608147115255498</v>
      </c>
      <c r="E18" s="698">
        <f>'Adults YEAR1'!G148</f>
        <v>2.6694350255375074E-3</v>
      </c>
    </row>
    <row r="19" spans="2:14" x14ac:dyDescent="0.2">
      <c r="B19" s="696"/>
      <c r="C19" s="1155">
        <f>'Data &amp; hypothesis Adults'!C35</f>
        <v>0</v>
      </c>
      <c r="D19" s="699">
        <f>'Adults YEAR1'!F149+'Data &amp; hypothesis Adults'!D$9*E19</f>
        <v>0</v>
      </c>
      <c r="E19" s="700">
        <f>'Adults YEAR1'!G149</f>
        <v>0</v>
      </c>
    </row>
    <row r="20" spans="2:14" x14ac:dyDescent="0.2">
      <c r="B20" s="701" t="str">
        <f>'TRAD-Adults YEAR(1)'!B11</f>
        <v>2èmes lignes</v>
      </c>
      <c r="C20" s="18" t="str">
        <f>'Data &amp; hypothesis Adults'!C36</f>
        <v>TDF+FTC/3TC+LPV/r</v>
      </c>
      <c r="D20" s="703">
        <f>'Adults YEAR1'!F150+'Data &amp; hypothesis Adults'!D$9*E20</f>
        <v>840.27166668287782</v>
      </c>
      <c r="E20" s="704">
        <f>'Adults YEAR1'!G150</f>
        <v>4.263694391471172E-2</v>
      </c>
    </row>
    <row r="21" spans="2:14" x14ac:dyDescent="0.2">
      <c r="B21" s="696"/>
      <c r="C21" s="16" t="str">
        <f>'Data &amp; hypothesis Adults'!C37</f>
        <v>TDF+FTC/3TC+ATV/r</v>
      </c>
      <c r="D21" s="697">
        <f>'Adults YEAR1'!F151+'Data &amp; hypothesis Adults'!D$9*E21</f>
        <v>34.903199999999998</v>
      </c>
      <c r="E21" s="698">
        <f>'Adults YEAR1'!G151</f>
        <v>1.7710531484641933E-3</v>
      </c>
    </row>
    <row r="22" spans="2:14" x14ac:dyDescent="0.2">
      <c r="B22" s="696"/>
      <c r="C22" s="16" t="str">
        <f>'Data &amp; hypothesis Adults'!C38</f>
        <v>ABC+DDI+LPV/r</v>
      </c>
      <c r="D22" s="697">
        <f>'Adults YEAR1'!F152+'Data &amp; hypothesis Adults'!D$9*E22</f>
        <v>0</v>
      </c>
      <c r="E22" s="698">
        <f>'Adults YEAR1'!G152</f>
        <v>0</v>
      </c>
    </row>
    <row r="23" spans="2:14" x14ac:dyDescent="0.2">
      <c r="B23" s="696"/>
      <c r="C23" s="15" t="str">
        <f>'Data &amp; hypothesis Adults'!C39</f>
        <v>TDF+3TC/FTC+ABC</v>
      </c>
      <c r="D23" s="697">
        <f>'Adults YEAR1'!F153+'Data &amp; hypothesis Adults'!D$9*E23</f>
        <v>0</v>
      </c>
      <c r="E23" s="698">
        <f>'Adults YEAR1'!G153</f>
        <v>0</v>
      </c>
    </row>
    <row r="24" spans="2:14" x14ac:dyDescent="0.2">
      <c r="B24" s="696"/>
      <c r="C24" s="15" t="str">
        <f>'Data &amp; hypothesis Adults'!C40</f>
        <v>AZT+3TC+LPV/r</v>
      </c>
      <c r="D24" s="697">
        <f>'Adults YEAR1'!F154+'Data &amp; hypothesis Adults'!D$9*E24</f>
        <v>195.87603135967444</v>
      </c>
      <c r="E24" s="698">
        <f>'Adults YEAR1'!G154</f>
        <v>9.9391133778055449E-3</v>
      </c>
    </row>
    <row r="25" spans="2:14" x14ac:dyDescent="0.2">
      <c r="B25" s="696"/>
      <c r="C25" s="36">
        <f>'Data &amp; hypothesis Adults'!C41</f>
        <v>0</v>
      </c>
      <c r="D25" s="697">
        <f>'Adults YEAR1'!F155+'Data &amp; hypothesis Adults'!D$9*E25</f>
        <v>0</v>
      </c>
      <c r="E25" s="698">
        <f>'Adults YEAR1'!G155</f>
        <v>0</v>
      </c>
    </row>
    <row r="26" spans="2:14" x14ac:dyDescent="0.2">
      <c r="B26" s="696"/>
      <c r="C26" s="1155">
        <f>'Data &amp; hypothesis Adults'!C42</f>
        <v>0</v>
      </c>
      <c r="D26" s="699">
        <f>'Adults YEAR1'!F156+'Data &amp; hypothesis Adults'!D$9*E26</f>
        <v>0</v>
      </c>
      <c r="E26" s="700">
        <f>'Adults YEAR1'!G156</f>
        <v>0</v>
      </c>
    </row>
    <row r="27" spans="2:14" x14ac:dyDescent="0.2">
      <c r="B27" s="701" t="str">
        <f>'TRAD-Adults YEAR(1)'!B12</f>
        <v>3èmes lignes</v>
      </c>
      <c r="C27" s="702" t="s">
        <v>195</v>
      </c>
      <c r="D27" s="703">
        <f>'Adults YEAR1'!F157+'Data &amp; hypothesis Adults'!D$9*E27</f>
        <v>0</v>
      </c>
      <c r="E27" s="704">
        <f>'Adults YEAR1'!G157</f>
        <v>0</v>
      </c>
    </row>
    <row r="28" spans="2:14" ht="13.5" thickBot="1" x14ac:dyDescent="0.25">
      <c r="B28" s="696"/>
      <c r="C28" s="497"/>
      <c r="D28" s="699">
        <f>'Adults YEAR1'!F158+'Data &amp; hypothesis Adults'!D$9*E28</f>
        <v>0</v>
      </c>
      <c r="E28" s="700">
        <f>'Adults YEAR1'!G158</f>
        <v>0</v>
      </c>
    </row>
    <row r="29" spans="2:14" ht="14.25" thickTop="1" thickBot="1" x14ac:dyDescent="0.25">
      <c r="B29" s="706"/>
      <c r="C29" s="707" t="s">
        <v>6</v>
      </c>
      <c r="D29" s="708">
        <f>'Adults YEAR1'!F159+'Data &amp; hypothesis Adults'!D$9</f>
        <v>19707.596031359677</v>
      </c>
      <c r="E29" s="836">
        <f>SUM(E10:E28)</f>
        <v>0.99999999999999989</v>
      </c>
    </row>
    <row r="31" spans="2:14" x14ac:dyDescent="0.2">
      <c r="B31" s="350" t="str">
        <f>'TRAD-Adults YEAR(1)'!B17</f>
        <v>Commentaire</v>
      </c>
      <c r="C31" s="291"/>
      <c r="D31" s="291"/>
      <c r="E31" s="291"/>
      <c r="F31" s="291"/>
      <c r="G31" s="291"/>
      <c r="H31" s="291"/>
      <c r="I31" s="291"/>
      <c r="J31" s="291"/>
      <c r="K31" s="291"/>
      <c r="L31" s="291"/>
      <c r="M31" s="291"/>
      <c r="N31" s="497"/>
    </row>
    <row r="32" spans="2:14" x14ac:dyDescent="0.2">
      <c r="C32" s="260" t="str">
        <f>'TRAD-Adults YEAR(1)'!B18</f>
        <v>considérant que le passage en 3ème ligne est théorique, le nombre total n'en tient pas compte de manière à laisser les quantités suffisantes en 2èmes lignes</v>
      </c>
    </row>
    <row r="34" spans="1:20" ht="16.5" thickBot="1" x14ac:dyDescent="0.3">
      <c r="A34" s="2144" t="str">
        <f>'TRAD-Adults YEAR (2)'!B8</f>
        <v>Evolution de la file active de patients sous traitement à prévoir pour la 2ème année</v>
      </c>
      <c r="B34" s="2144"/>
      <c r="C34" s="2144"/>
      <c r="D34" s="2144"/>
      <c r="E34" s="2144"/>
      <c r="F34" s="2144"/>
      <c r="G34" s="2144"/>
      <c r="H34" s="2144"/>
      <c r="I34" s="2144"/>
      <c r="J34" s="2144"/>
      <c r="K34" s="2144"/>
      <c r="L34" s="2144"/>
      <c r="M34" s="497"/>
      <c r="N34" s="497"/>
      <c r="O34" s="497"/>
      <c r="P34" s="497"/>
      <c r="Q34" s="497"/>
    </row>
    <row r="36" spans="1:20" ht="15" x14ac:dyDescent="0.2">
      <c r="B36" s="2143" t="str">
        <f>'TRAD-Adults YEAR(1)'!B19</f>
        <v>Répartition des Initiations</v>
      </c>
      <c r="C36" s="2143"/>
      <c r="D36" s="2143"/>
      <c r="E36" s="2143"/>
      <c r="F36" s="2143"/>
      <c r="G36" s="2143"/>
      <c r="H36" s="2143"/>
      <c r="I36" s="2143"/>
      <c r="J36" s="2143"/>
      <c r="K36" s="2143"/>
      <c r="L36" s="2143"/>
      <c r="M36" s="2143"/>
      <c r="N36" s="961"/>
      <c r="O36" s="497"/>
      <c r="P36" s="497"/>
      <c r="Q36" s="497"/>
    </row>
    <row r="37" spans="1:20" ht="13.5" thickBot="1" x14ac:dyDescent="0.25"/>
    <row r="38" spans="1:20" s="545" customFormat="1" ht="64.5" thickBot="1" x14ac:dyDescent="0.25">
      <c r="B38" s="709" t="str">
        <f>'TRAD-Adults YEAR(1)'!B20</f>
        <v>Schémas thérap. Initiations</v>
      </c>
      <c r="C38" s="963" t="str">
        <f>'TRAD-Adults YEAR(1)'!B21</f>
        <v>Critères</v>
      </c>
      <c r="D38" s="963" t="s">
        <v>51</v>
      </c>
      <c r="E38" s="963" t="str">
        <f>'TRAD-Adults YEAR(1)'!B23</f>
        <v>Nb de patients mensuels</v>
      </c>
      <c r="F38" s="710" t="str">
        <f>'TRAD-Adults YEAR(1)'!B24</f>
        <v>Nb de patients total sur la période définie</v>
      </c>
      <c r="M38" s="962"/>
      <c r="T38" s="962"/>
    </row>
    <row r="39" spans="1:20" ht="13.5" thickBot="1" x14ac:dyDescent="0.25">
      <c r="B39" s="711" t="str">
        <f>C10</f>
        <v>AZT+3TC+NVP</v>
      </c>
      <c r="C39" s="546">
        <f>'Data &amp; hypothesis Adults'!C56</f>
        <v>0</v>
      </c>
      <c r="D39" s="547">
        <f>'Data &amp; hypothesis Adults'!E56</f>
        <v>0</v>
      </c>
      <c r="E39" s="1195">
        <f>D39*E$49</f>
        <v>0</v>
      </c>
      <c r="F39" s="1501">
        <f t="shared" ref="F39:F46" si="0">E39*$D$6</f>
        <v>0</v>
      </c>
    </row>
    <row r="40" spans="1:20" ht="13.5" thickBot="1" x14ac:dyDescent="0.25">
      <c r="B40" s="712" t="str">
        <f t="shared" ref="B40:B46" si="1">C11</f>
        <v>AZT+3TC+EFV</v>
      </c>
      <c r="C40" s="546">
        <f>'Data &amp; hypothesis Adults'!C57</f>
        <v>0</v>
      </c>
      <c r="D40" s="550">
        <f>'Data &amp; hypothesis Adults'!E57</f>
        <v>0</v>
      </c>
      <c r="E40" s="734">
        <f t="shared" ref="E40:E46" si="2">D40*E$49</f>
        <v>0</v>
      </c>
      <c r="F40" s="1502">
        <f t="shared" si="0"/>
        <v>0</v>
      </c>
    </row>
    <row r="41" spans="1:20" ht="13.5" thickBot="1" x14ac:dyDescent="0.25">
      <c r="B41" s="712" t="str">
        <f t="shared" si="1"/>
        <v>AZT+3TC+ABC</v>
      </c>
      <c r="C41" s="546">
        <f>'Data &amp; hypothesis Adults'!C58</f>
        <v>0</v>
      </c>
      <c r="D41" s="550">
        <f>'Data &amp; hypothesis Adults'!E58</f>
        <v>0</v>
      </c>
      <c r="E41" s="734">
        <f t="shared" si="2"/>
        <v>0</v>
      </c>
      <c r="F41" s="1502">
        <f t="shared" si="0"/>
        <v>0</v>
      </c>
    </row>
    <row r="42" spans="1:20" ht="13.5" thickBot="1" x14ac:dyDescent="0.25">
      <c r="B42" s="712" t="str">
        <f t="shared" si="1"/>
        <v>AZT+3TC+LPV/r</v>
      </c>
      <c r="C42" s="546">
        <f>'Data &amp; hypothesis Adults'!C59</f>
        <v>0</v>
      </c>
      <c r="D42" s="550">
        <f>'Data &amp; hypothesis Adults'!E59</f>
        <v>0</v>
      </c>
      <c r="E42" s="734">
        <f t="shared" si="2"/>
        <v>0</v>
      </c>
      <c r="F42" s="1502">
        <f t="shared" si="0"/>
        <v>0</v>
      </c>
    </row>
    <row r="43" spans="1:20" ht="13.5" thickBot="1" x14ac:dyDescent="0.25">
      <c r="B43" s="713" t="str">
        <f t="shared" si="1"/>
        <v>ABC+3TC+EFV</v>
      </c>
      <c r="C43" s="546">
        <f>'Data &amp; hypothesis Adults'!C60</f>
        <v>0</v>
      </c>
      <c r="D43" s="550">
        <f>'Data &amp; hypothesis Adults'!E60</f>
        <v>0</v>
      </c>
      <c r="E43" s="734">
        <f t="shared" ref="E43" si="3">D43*E$49</f>
        <v>0</v>
      </c>
      <c r="F43" s="1502">
        <f t="shared" ref="F43" si="4">E43*$D$6</f>
        <v>0</v>
      </c>
    </row>
    <row r="44" spans="1:20" ht="13.5" thickBot="1" x14ac:dyDescent="0.25">
      <c r="B44" s="713" t="str">
        <f t="shared" si="1"/>
        <v>TDF+FTC/3TC+EFV</v>
      </c>
      <c r="C44" s="546">
        <f>'Data &amp; hypothesis Adults'!C61</f>
        <v>0</v>
      </c>
      <c r="D44" s="549">
        <f>'Data &amp; hypothesis Adults'!E61</f>
        <v>0</v>
      </c>
      <c r="E44" s="733">
        <f t="shared" si="2"/>
        <v>0</v>
      </c>
      <c r="F44" s="1503">
        <f t="shared" si="0"/>
        <v>0</v>
      </c>
    </row>
    <row r="45" spans="1:20" ht="13.5" thickBot="1" x14ac:dyDescent="0.25">
      <c r="B45" s="713" t="str">
        <f t="shared" si="1"/>
        <v>TDF+FTC/3TC+LPV/r</v>
      </c>
      <c r="C45" s="546">
        <f>'Data &amp; hypothesis Adults'!C62</f>
        <v>0</v>
      </c>
      <c r="D45" s="549">
        <f>'Data &amp; hypothesis Adults'!E62</f>
        <v>0</v>
      </c>
      <c r="E45" s="733">
        <f t="shared" si="2"/>
        <v>0</v>
      </c>
      <c r="F45" s="1503">
        <f t="shared" si="0"/>
        <v>0</v>
      </c>
    </row>
    <row r="46" spans="1:20" ht="13.5" thickBot="1" x14ac:dyDescent="0.25">
      <c r="B46" s="713" t="str">
        <f t="shared" si="1"/>
        <v>ABC+3TC+LPV/r</v>
      </c>
      <c r="C46" s="546">
        <f>'Data &amp; hypothesis Adults'!C63</f>
        <v>0</v>
      </c>
      <c r="D46" s="549">
        <f>'Data &amp; hypothesis Adults'!E63</f>
        <v>0</v>
      </c>
      <c r="E46" s="733">
        <f t="shared" si="2"/>
        <v>0</v>
      </c>
      <c r="F46" s="1503">
        <f t="shared" si="0"/>
        <v>0</v>
      </c>
    </row>
    <row r="47" spans="1:20" ht="13.5" thickBot="1" x14ac:dyDescent="0.25">
      <c r="B47" s="713" t="str">
        <f t="shared" ref="B47:B48" si="5">C18</f>
        <v>TDF+3TC/FTC+ABC</v>
      </c>
      <c r="C47" s="546">
        <f>'Data &amp; hypothesis Adults'!C64</f>
        <v>0</v>
      </c>
      <c r="D47" s="549">
        <f>'Data &amp; hypothesis Adults'!E64</f>
        <v>0</v>
      </c>
      <c r="E47" s="733">
        <f t="shared" ref="E47:E48" si="6">D47*E$49</f>
        <v>0</v>
      </c>
      <c r="F47" s="1503">
        <f t="shared" ref="F47:F48" si="7">E47*$D$6</f>
        <v>0</v>
      </c>
    </row>
    <row r="48" spans="1:20" ht="13.5" thickBot="1" x14ac:dyDescent="0.25">
      <c r="B48" s="713">
        <f t="shared" si="5"/>
        <v>0</v>
      </c>
      <c r="C48" s="546">
        <f>'Data &amp; hypothesis Adults'!C65</f>
        <v>0</v>
      </c>
      <c r="D48" s="549">
        <f>'Data &amp; hypothesis Adults'!E65</f>
        <v>0</v>
      </c>
      <c r="E48" s="733">
        <f t="shared" si="6"/>
        <v>0</v>
      </c>
      <c r="F48" s="1503">
        <f t="shared" si="7"/>
        <v>0</v>
      </c>
    </row>
    <row r="49" spans="1:21" ht="14.25" thickTop="1" thickBot="1" x14ac:dyDescent="0.25">
      <c r="B49" s="714" t="s">
        <v>6</v>
      </c>
      <c r="C49" s="715"/>
      <c r="D49" s="716"/>
      <c r="E49" s="716">
        <f>'Data &amp; hypothesis Adults'!E9</f>
        <v>0</v>
      </c>
      <c r="F49" s="717">
        <f>SUM(F39:F48)</f>
        <v>0</v>
      </c>
    </row>
    <row r="50" spans="1:21" x14ac:dyDescent="0.2">
      <c r="A50" s="528"/>
    </row>
    <row r="51" spans="1:21" ht="13.5" thickBot="1" x14ac:dyDescent="0.25">
      <c r="A51" s="528"/>
    </row>
    <row r="52" spans="1:21" s="545" customFormat="1" ht="64.5" thickBot="1" x14ac:dyDescent="0.25">
      <c r="B52" s="709" t="str">
        <f>'TRAD-Adults YEAR(1)'!B20</f>
        <v>Schémas thérap. Initiations</v>
      </c>
      <c r="C52" s="963" t="str">
        <f>'TRAD-Adults YEAR(1)'!B21</f>
        <v>Critères</v>
      </c>
      <c r="D52" s="963" t="str">
        <f>'TRAD-Adults YEAR(1)'!B23</f>
        <v>Nb de patients mensuels</v>
      </c>
      <c r="E52" s="963" t="str">
        <f>'TRAD-Adults YEAR(1)'!B26</f>
        <v>Total patients-mois</v>
      </c>
      <c r="F52" s="720" t="str">
        <f>'TRAD-Adults YEAR(1)'!B28</f>
        <v>Médicaments nécessaires</v>
      </c>
      <c r="G52" s="720"/>
      <c r="H52" s="963" t="str">
        <f>'TRAD-Adults YEAR(1)'!B29</f>
        <v>Total patients-mois AVEC Marge de sécurité</v>
      </c>
      <c r="I52" s="710" t="str">
        <f>'TRAD-Adults YEAR(1)'!B30</f>
        <v>Nb de patients-mois Marge de sécurité SEULE</v>
      </c>
      <c r="N52" s="962"/>
      <c r="U52" s="962"/>
    </row>
    <row r="53" spans="1:21" ht="13.5" thickBot="1" x14ac:dyDescent="0.25">
      <c r="B53" s="711" t="str">
        <f t="shared" ref="B53:B60" si="8">B39</f>
        <v>AZT+3TC+NVP</v>
      </c>
      <c r="C53" s="546">
        <f>'Data &amp; hypothesis Adults'!C56</f>
        <v>0</v>
      </c>
      <c r="D53" s="548">
        <f t="shared" ref="D53:D57" si="9">$E39</f>
        <v>0</v>
      </c>
      <c r="E53" s="721">
        <f t="shared" ref="E53:E60" si="10">D53*(D$6*(D$6+1)/2)</f>
        <v>0</v>
      </c>
      <c r="F53" s="546" t="s">
        <v>57</v>
      </c>
      <c r="G53" s="546"/>
      <c r="H53" s="721">
        <f>D53*((D$6+'General Data'!E$30)*(D$6+'General Data'!E$30+1)/2)</f>
        <v>0</v>
      </c>
      <c r="I53" s="722">
        <f t="shared" ref="I53:I60" si="11">H53-E53</f>
        <v>0</v>
      </c>
    </row>
    <row r="54" spans="1:21" ht="13.5" thickBot="1" x14ac:dyDescent="0.25">
      <c r="B54" s="712" t="str">
        <f t="shared" si="8"/>
        <v>AZT+3TC+EFV</v>
      </c>
      <c r="C54" s="546">
        <f>'Data &amp; hypothesis Adults'!C57</f>
        <v>0</v>
      </c>
      <c r="D54" s="324">
        <f t="shared" si="9"/>
        <v>0</v>
      </c>
      <c r="E54" s="721">
        <f t="shared" si="10"/>
        <v>0</v>
      </c>
      <c r="F54" s="323" t="s">
        <v>58</v>
      </c>
      <c r="G54" s="323" t="s">
        <v>17</v>
      </c>
      <c r="H54" s="721">
        <f>D54*((D$6+'General Data'!E$30)*(D$6+'General Data'!E$30+1)/2)</f>
        <v>0</v>
      </c>
      <c r="I54" s="722">
        <f t="shared" si="11"/>
        <v>0</v>
      </c>
    </row>
    <row r="55" spans="1:21" ht="13.5" thickBot="1" x14ac:dyDescent="0.25">
      <c r="B55" s="712" t="str">
        <f t="shared" si="8"/>
        <v>AZT+3TC+ABC</v>
      </c>
      <c r="C55" s="546">
        <f>'Data &amp; hypothesis Adults'!C58</f>
        <v>0</v>
      </c>
      <c r="D55" s="324">
        <f t="shared" si="9"/>
        <v>0</v>
      </c>
      <c r="E55" s="721">
        <f t="shared" si="10"/>
        <v>0</v>
      </c>
      <c r="F55" s="323" t="s">
        <v>345</v>
      </c>
      <c r="G55" s="323"/>
      <c r="H55" s="721">
        <f>D55*((D$6+'General Data'!E$30)*(D$6+'General Data'!E$30+1)/2)</f>
        <v>0</v>
      </c>
      <c r="I55" s="722">
        <f>H55-E55</f>
        <v>0</v>
      </c>
    </row>
    <row r="56" spans="1:21" ht="13.5" thickBot="1" x14ac:dyDescent="0.25">
      <c r="B56" s="712" t="str">
        <f t="shared" si="8"/>
        <v>AZT+3TC+LPV/r</v>
      </c>
      <c r="C56" s="546">
        <f>'Data &amp; hypothesis Adults'!C59</f>
        <v>0</v>
      </c>
      <c r="D56" s="324">
        <f t="shared" si="9"/>
        <v>0</v>
      </c>
      <c r="E56" s="721">
        <f t="shared" si="10"/>
        <v>0</v>
      </c>
      <c r="F56" s="323" t="s">
        <v>58</v>
      </c>
      <c r="G56" s="323" t="s">
        <v>33</v>
      </c>
      <c r="H56" s="721">
        <f>D56*((D$6+'General Data'!E$30)*(D$6+'General Data'!E$30+1)/2)</f>
        <v>0</v>
      </c>
      <c r="I56" s="722">
        <f>H56-E56</f>
        <v>0</v>
      </c>
    </row>
    <row r="57" spans="1:21" ht="13.5" thickBot="1" x14ac:dyDescent="0.25">
      <c r="B57" s="713" t="str">
        <f t="shared" si="8"/>
        <v>ABC+3TC+EFV</v>
      </c>
      <c r="C57" s="546">
        <f>'Data &amp; hypothesis Adults'!C60</f>
        <v>0</v>
      </c>
      <c r="D57" s="324">
        <f t="shared" si="9"/>
        <v>0</v>
      </c>
      <c r="E57" s="721">
        <f t="shared" ref="E57" si="12">D57*(D$6*(D$6+1)/2)</f>
        <v>0</v>
      </c>
      <c r="F57" s="323" t="s">
        <v>739</v>
      </c>
      <c r="G57" s="314" t="s">
        <v>17</v>
      </c>
      <c r="H57" s="721">
        <f>D57*((D$6+'General Data'!E$30)*(D$6+'General Data'!E$30+1)/2)</f>
        <v>0</v>
      </c>
      <c r="I57" s="722">
        <f>H57-E57</f>
        <v>0</v>
      </c>
    </row>
    <row r="58" spans="1:21" ht="13.5" thickBot="1" x14ac:dyDescent="0.25">
      <c r="B58" s="713" t="str">
        <f t="shared" si="8"/>
        <v>TDF+FTC/3TC+EFV</v>
      </c>
      <c r="C58" s="546">
        <f>'Data &amp; hypothesis Adults'!C61</f>
        <v>0</v>
      </c>
      <c r="D58" s="315">
        <f>$E44</f>
        <v>0</v>
      </c>
      <c r="E58" s="721">
        <f t="shared" si="10"/>
        <v>0</v>
      </c>
      <c r="F58" s="314" t="s">
        <v>59</v>
      </c>
      <c r="G58" s="314"/>
      <c r="H58" s="721">
        <f>D58*((D$6+'General Data'!E$30)*(D$6+'General Data'!E$30+1)/2)</f>
        <v>0</v>
      </c>
      <c r="I58" s="722">
        <f t="shared" si="11"/>
        <v>0</v>
      </c>
    </row>
    <row r="59" spans="1:21" ht="13.5" thickBot="1" x14ac:dyDescent="0.25">
      <c r="B59" s="713" t="str">
        <f t="shared" si="8"/>
        <v>TDF+FTC/3TC+LPV/r</v>
      </c>
      <c r="C59" s="546">
        <f>'Data &amp; hypothesis Adults'!C62</f>
        <v>0</v>
      </c>
      <c r="D59" s="315">
        <f>$E45</f>
        <v>0</v>
      </c>
      <c r="E59" s="721">
        <f t="shared" si="10"/>
        <v>0</v>
      </c>
      <c r="F59" s="314" t="s">
        <v>201</v>
      </c>
      <c r="G59" s="314" t="s">
        <v>17</v>
      </c>
      <c r="H59" s="721">
        <f>D59*((D$6+'General Data'!E$30)*(D$6+'General Data'!E$30+1)/2)</f>
        <v>0</v>
      </c>
      <c r="I59" s="722">
        <f t="shared" si="11"/>
        <v>0</v>
      </c>
    </row>
    <row r="60" spans="1:21" ht="13.5" thickBot="1" x14ac:dyDescent="0.25">
      <c r="B60" s="713" t="str">
        <f t="shared" si="8"/>
        <v>ABC+3TC+LPV/r</v>
      </c>
      <c r="C60" s="546">
        <f>'Data &amp; hypothesis Adults'!C63</f>
        <v>0</v>
      </c>
      <c r="D60" s="315">
        <f>$E46</f>
        <v>0</v>
      </c>
      <c r="E60" s="721">
        <f t="shared" si="10"/>
        <v>0</v>
      </c>
      <c r="F60" s="314" t="s">
        <v>60</v>
      </c>
      <c r="G60" s="314" t="s">
        <v>17</v>
      </c>
      <c r="H60" s="721">
        <f>D60*((D$6+'General Data'!E$30)*(D$6+'General Data'!E$30+1)/2)</f>
        <v>0</v>
      </c>
      <c r="I60" s="722">
        <f t="shared" si="11"/>
        <v>0</v>
      </c>
    </row>
    <row r="61" spans="1:21" ht="13.5" thickBot="1" x14ac:dyDescent="0.25">
      <c r="B61" s="713" t="str">
        <f t="shared" ref="B61:B62" si="13">B47</f>
        <v>TDF+3TC/FTC+ABC</v>
      </c>
      <c r="C61" s="546">
        <f>'Data &amp; hypothesis Adults'!C64</f>
        <v>0</v>
      </c>
      <c r="D61" s="2083"/>
      <c r="E61" s="2084"/>
      <c r="F61" s="803"/>
      <c r="G61" s="803"/>
      <c r="H61" s="2084"/>
      <c r="I61" s="2085"/>
    </row>
    <row r="62" spans="1:21" ht="13.5" thickBot="1" x14ac:dyDescent="0.25">
      <c r="B62" s="713">
        <f t="shared" si="13"/>
        <v>0</v>
      </c>
      <c r="C62" s="546">
        <f>'Data &amp; hypothesis Adults'!C65</f>
        <v>0</v>
      </c>
      <c r="D62" s="552">
        <f>$E48</f>
        <v>0</v>
      </c>
      <c r="E62" s="723">
        <f>D62*(D$6*(D$6+1)/2)</f>
        <v>0</v>
      </c>
      <c r="F62" s="551"/>
      <c r="G62" s="551"/>
      <c r="H62" s="723">
        <f>D62*((D$6+'General Data'!E$30)*(D$6+'General Data'!E$30+1)/2)</f>
        <v>0</v>
      </c>
      <c r="I62" s="724">
        <f>H62-E62</f>
        <v>0</v>
      </c>
    </row>
    <row r="63" spans="1:21" ht="14.25" thickTop="1" thickBot="1" x14ac:dyDescent="0.25">
      <c r="B63" s="725" t="s">
        <v>288</v>
      </c>
      <c r="C63" s="726"/>
      <c r="D63" s="727">
        <f>SUM(D53:D62)</f>
        <v>0</v>
      </c>
      <c r="E63" s="727">
        <f>SUM(E53:E62)</f>
        <v>0</v>
      </c>
      <c r="F63" s="726"/>
      <c r="G63" s="726"/>
      <c r="H63" s="727"/>
      <c r="I63" s="718"/>
    </row>
    <row r="64" spans="1:21" x14ac:dyDescent="0.2">
      <c r="R64" s="292"/>
    </row>
    <row r="66" spans="2:20" ht="15" x14ac:dyDescent="0.2">
      <c r="B66" s="2143" t="str">
        <f>'TRAD-Adults YEAR(1)'!B31</f>
        <v>Passage en 2ème ligne</v>
      </c>
      <c r="C66" s="2143"/>
      <c r="D66" s="2143"/>
      <c r="E66" s="2143"/>
      <c r="F66" s="2143"/>
      <c r="G66" s="2143"/>
      <c r="H66" s="2143"/>
      <c r="I66" s="2143"/>
      <c r="J66" s="2143"/>
      <c r="K66" s="2143"/>
      <c r="L66" s="2143"/>
      <c r="M66" s="2143"/>
      <c r="N66" s="961"/>
    </row>
    <row r="68" spans="2:20" x14ac:dyDescent="0.2">
      <c r="B68" s="528" t="str">
        <f>'TRAD-Adults YEAR(1)'!B32</f>
        <v>Taux de passage en 2ème ligne</v>
      </c>
      <c r="C68" s="528"/>
      <c r="D68" s="728">
        <f>'Data &amp; hypothesis Adults'!D73</f>
        <v>0</v>
      </c>
      <c r="E68" s="528" t="str">
        <f>'TRAD-Adults YEAR(1)'!B43</f>
        <v>des patients de 2ème ligne à la fin de l'année</v>
      </c>
      <c r="F68" s="528"/>
      <c r="G68" s="528"/>
      <c r="H68" s="566">
        <f>ROUNDUP(D68*(D29+F49), 0)</f>
        <v>0</v>
      </c>
    </row>
    <row r="69" spans="2:20" s="523" customFormat="1" ht="13.5" thickBot="1" x14ac:dyDescent="0.25">
      <c r="E69" s="567"/>
      <c r="G69" s="565" t="str">
        <f>'TRAD-Adults YEAR(1)'!B34</f>
        <v>Nb de patients en 2ème ligne au début de l'année :</v>
      </c>
      <c r="H69" s="568">
        <f>$I$12</f>
        <v>1071.0508980425523</v>
      </c>
    </row>
    <row r="70" spans="2:20" ht="13.5" thickBot="1" x14ac:dyDescent="0.25">
      <c r="B70" s="528"/>
      <c r="C70" s="528"/>
      <c r="D70" s="569"/>
      <c r="E70" s="570"/>
      <c r="F70" s="571"/>
      <c r="G70" s="572" t="str">
        <f>'TRAD-Adults YEAR(1)'!B35</f>
        <v>Nb de patients ayant switché dans l'année :</v>
      </c>
      <c r="H70" s="729">
        <f>IF((H68-$I$12)&gt;0, H68-$I$12, 0)</f>
        <v>0</v>
      </c>
      <c r="J70" s="730" t="str">
        <f>'TRAD-Adults YEAR(1)'!B36</f>
        <v>Proportion mensuelle</v>
      </c>
      <c r="K70" s="570"/>
      <c r="L70" s="731" t="e">
        <f>H70/D6</f>
        <v>#DIV/0!</v>
      </c>
    </row>
    <row r="71" spans="2:20" ht="13.5" thickBot="1" x14ac:dyDescent="0.25"/>
    <row r="72" spans="2:20" s="545" customFormat="1" ht="39" thickBot="1" x14ac:dyDescent="0.25">
      <c r="B72" s="709" t="str">
        <f>'TRAD-Adults YEAR(1)'!B37</f>
        <v>Schémas thérap. 2èmes lignes</v>
      </c>
      <c r="C72" s="963" t="str">
        <f>'TRAD-Adults YEAR(1)'!B38</f>
        <v>TOTAL n de patients</v>
      </c>
      <c r="D72" s="963" t="str">
        <f>'TRAD-Adults YEAR(1)'!B23</f>
        <v>Nb de patients mensuels</v>
      </c>
      <c r="E72" s="963" t="s">
        <v>51</v>
      </c>
      <c r="F72" s="963" t="str">
        <f>'TRAD-Adults YEAR(1)'!B39</f>
        <v>Nb de patients-mois</v>
      </c>
      <c r="G72" s="963" t="e">
        <f>'TRAD-Adults YEAR(1)'!#REF!</f>
        <v>#REF!</v>
      </c>
      <c r="H72" s="710" t="str">
        <f>'TRAD-Adults YEAR(1)'!B40</f>
        <v>Nb de patients-mois</v>
      </c>
      <c r="M72" s="962"/>
      <c r="T72" s="962"/>
    </row>
    <row r="73" spans="2:20" x14ac:dyDescent="0.2">
      <c r="B73" s="1910" t="str">
        <f>C20</f>
        <v>TDF+FTC/3TC+LPV/r</v>
      </c>
      <c r="C73" s="1911">
        <f>'Data &amp; hypothesis Adults'!C106</f>
        <v>424.34186668287776</v>
      </c>
      <c r="D73" s="1911" t="e">
        <f>C73/$D$6</f>
        <v>#DIV/0!</v>
      </c>
      <c r="E73" s="1912">
        <f>C73/C$80</f>
        <v>1</v>
      </c>
      <c r="F73" s="1913" t="e">
        <f>D73*(D$6*(D$6+1)/2)</f>
        <v>#DIV/0!</v>
      </c>
      <c r="G73" s="1913" t="e">
        <f>D73*((D$6+'General Data'!E$30)*(D$6+'General Data'!E$30+1)/2)</f>
        <v>#DIV/0!</v>
      </c>
      <c r="H73" s="1914" t="e">
        <f>G73-F73</f>
        <v>#DIV/0!</v>
      </c>
    </row>
    <row r="74" spans="2:20" x14ac:dyDescent="0.2">
      <c r="B74" s="1915" t="str">
        <f t="shared" ref="B74:B79" si="14">C21</f>
        <v>TDF+FTC/3TC+ATV/r</v>
      </c>
      <c r="C74" s="587">
        <f>'Data &amp; hypothesis Adults'!C107</f>
        <v>0</v>
      </c>
      <c r="D74" s="1196" t="e">
        <f>C74/$D$6</f>
        <v>#DIV/0!</v>
      </c>
      <c r="E74" s="534">
        <f>C74/C$80</f>
        <v>0</v>
      </c>
      <c r="F74" s="1142" t="e">
        <f>D74*(D$6*(D$6+1)/2)</f>
        <v>#DIV/0!</v>
      </c>
      <c r="G74" s="1142" t="e">
        <f>D74*((D$6+'General Data'!E$30)*(D$6+'General Data'!E$30+1)/2)</f>
        <v>#DIV/0!</v>
      </c>
      <c r="H74" s="1143" t="e">
        <f>G74-F74</f>
        <v>#DIV/0!</v>
      </c>
    </row>
    <row r="75" spans="2:20" x14ac:dyDescent="0.2">
      <c r="B75" s="1916" t="str">
        <f t="shared" si="14"/>
        <v>ABC+DDI+LPV/r</v>
      </c>
      <c r="C75" s="734">
        <f>'Data &amp; hypothesis Adults'!C108</f>
        <v>0</v>
      </c>
      <c r="D75" s="734" t="e">
        <f>C75/$D$6</f>
        <v>#DIV/0!</v>
      </c>
      <c r="E75" s="735">
        <f>C75/C$80</f>
        <v>0</v>
      </c>
      <c r="F75" s="1142" t="e">
        <f>D75*(D$6*(D$6+1)/2)</f>
        <v>#DIV/0!</v>
      </c>
      <c r="G75" s="1142" t="e">
        <f>D75*((D$6+'General Data'!E$30)*(D$6+'General Data'!E$30+1)/2)</f>
        <v>#DIV/0!</v>
      </c>
      <c r="H75" s="1143" t="e">
        <f>G75-F75</f>
        <v>#DIV/0!</v>
      </c>
    </row>
    <row r="76" spans="2:20" ht="13.5" thickBot="1" x14ac:dyDescent="0.25">
      <c r="B76" s="1915" t="str">
        <f t="shared" si="14"/>
        <v>TDF+3TC/FTC+ABC</v>
      </c>
      <c r="C76" s="591">
        <f>'Data &amp; hypothesis Adults'!C109</f>
        <v>0</v>
      </c>
      <c r="D76" s="1144" t="e">
        <f>C76/$D$6</f>
        <v>#DIV/0!</v>
      </c>
      <c r="E76" s="539">
        <f>C76/C$80</f>
        <v>0</v>
      </c>
      <c r="F76" s="737" t="e">
        <f>D76*(D$6*(D$6+1)/2)</f>
        <v>#DIV/0!</v>
      </c>
      <c r="G76" s="737" t="e">
        <f>D76*((D$6+'General Data'!E$30)*(D$6+'General Data'!E$30+1)/2)</f>
        <v>#DIV/0!</v>
      </c>
      <c r="H76" s="738" t="e">
        <f>G76-F76</f>
        <v>#DIV/0!</v>
      </c>
    </row>
    <row r="77" spans="2:20" ht="14.25" thickTop="1" thickBot="1" x14ac:dyDescent="0.25">
      <c r="B77" s="1916" t="str">
        <f t="shared" si="14"/>
        <v>AZT+3TC+LPV/r</v>
      </c>
      <c r="C77" s="591">
        <f>'Data &amp; hypothesis Adults'!C110</f>
        <v>195.87603135967444</v>
      </c>
      <c r="D77" s="1144" t="e">
        <f t="shared" ref="D77:D79" si="15">C77/$D$6</f>
        <v>#DIV/0!</v>
      </c>
      <c r="E77" s="539">
        <f t="shared" ref="E77:E79" si="16">C77/C$80</f>
        <v>0.46159958924358963</v>
      </c>
      <c r="F77" s="737" t="e">
        <f t="shared" ref="F77:F79" si="17">D77*(D$6*(D$6+1)/2)</f>
        <v>#DIV/0!</v>
      </c>
      <c r="G77" s="737" t="e">
        <f>D77*((D$6+'General Data'!E$30)*(D$6+'General Data'!E$30+1)/2)</f>
        <v>#DIV/0!</v>
      </c>
      <c r="H77" s="738" t="e">
        <f t="shared" ref="H77:H79" si="18">G77-F77</f>
        <v>#DIV/0!</v>
      </c>
    </row>
    <row r="78" spans="2:20" ht="14.25" thickTop="1" thickBot="1" x14ac:dyDescent="0.25">
      <c r="B78" s="1915">
        <f t="shared" si="14"/>
        <v>0</v>
      </c>
      <c r="C78" s="591">
        <f>'Data &amp; hypothesis Adults'!C111</f>
        <v>0</v>
      </c>
      <c r="D78" s="1144" t="e">
        <f t="shared" si="15"/>
        <v>#DIV/0!</v>
      </c>
      <c r="E78" s="539">
        <f t="shared" si="16"/>
        <v>0</v>
      </c>
      <c r="F78" s="737" t="e">
        <f t="shared" si="17"/>
        <v>#DIV/0!</v>
      </c>
      <c r="G78" s="737" t="e">
        <f>D78*((D$6+'General Data'!E$30)*(D$6+'General Data'!E$30+1)/2)</f>
        <v>#DIV/0!</v>
      </c>
      <c r="H78" s="738" t="e">
        <f t="shared" si="18"/>
        <v>#DIV/0!</v>
      </c>
    </row>
    <row r="79" spans="2:20" ht="14.25" thickTop="1" thickBot="1" x14ac:dyDescent="0.25">
      <c r="B79" s="1917">
        <f t="shared" si="14"/>
        <v>0</v>
      </c>
      <c r="C79" s="1922">
        <f>'Data &amp; hypothesis Adults'!C112</f>
        <v>0</v>
      </c>
      <c r="D79" s="1923" t="e">
        <f t="shared" si="15"/>
        <v>#DIV/0!</v>
      </c>
      <c r="E79" s="1924">
        <f t="shared" si="16"/>
        <v>0</v>
      </c>
      <c r="F79" s="1920" t="e">
        <f t="shared" si="17"/>
        <v>#DIV/0!</v>
      </c>
      <c r="G79" s="1920" t="e">
        <f>D79*((D$6+'General Data'!E$30)*(D$6+'General Data'!E$30+1)/2)</f>
        <v>#DIV/0!</v>
      </c>
      <c r="H79" s="1921" t="e">
        <f t="shared" si="18"/>
        <v>#DIV/0!</v>
      </c>
    </row>
    <row r="80" spans="2:20" ht="13.5" thickBot="1" x14ac:dyDescent="0.25">
      <c r="B80" s="739" t="s">
        <v>6</v>
      </c>
      <c r="C80" s="740">
        <f>SUM(C73:C76)</f>
        <v>424.34186668287776</v>
      </c>
      <c r="D80" s="740" t="e">
        <f>SUM(D73:D76)</f>
        <v>#DIV/0!</v>
      </c>
      <c r="E80" s="740"/>
      <c r="F80" s="740" t="e">
        <f t="shared" ref="F80:G80" si="19">SUM(F73:F76)</f>
        <v>#DIV/0!</v>
      </c>
      <c r="G80" s="740" t="e">
        <f t="shared" si="19"/>
        <v>#DIV/0!</v>
      </c>
      <c r="H80" s="741"/>
    </row>
    <row r="83" spans="2:21" ht="15" x14ac:dyDescent="0.2">
      <c r="B83" s="2143" t="str">
        <f>'TRAD-Adults YEAR(1)'!B41</f>
        <v>Passage en 3ème ligne</v>
      </c>
      <c r="C83" s="2143"/>
      <c r="D83" s="2143"/>
      <c r="E83" s="2143"/>
      <c r="F83" s="2143"/>
      <c r="G83" s="2143"/>
      <c r="H83" s="2143"/>
      <c r="I83" s="2143"/>
      <c r="J83" s="2143"/>
      <c r="K83" s="2143"/>
      <c r="L83" s="2143"/>
      <c r="M83" s="2143"/>
      <c r="N83" s="961"/>
    </row>
    <row r="85" spans="2:21" x14ac:dyDescent="0.2">
      <c r="B85" s="528" t="str">
        <f>'TRAD-Adults YEAR(1)'!B42</f>
        <v>Taux de passage en 3ème ligne</v>
      </c>
      <c r="C85" s="528"/>
      <c r="D85" s="728">
        <f>'Data &amp; hypothesis Adults'!D133</f>
        <v>0</v>
      </c>
      <c r="E85" s="528" t="str">
        <f>'TRAD-Adults YEAR(1)'!B43</f>
        <v>des patients de 2ème ligne à la fin de l'année</v>
      </c>
      <c r="F85" s="528"/>
      <c r="G85" s="528"/>
      <c r="H85" s="568">
        <f>D85*MAX(H68:H69)</f>
        <v>0</v>
      </c>
    </row>
    <row r="86" spans="2:21" s="523" customFormat="1" ht="13.5" thickBot="1" x14ac:dyDescent="0.25">
      <c r="E86" s="567"/>
      <c r="G86" s="565" t="str">
        <f>'TRAD-Adults YEAR(1)'!B44</f>
        <v>Nb de patients en 3ème ligne au début de l'année :</v>
      </c>
      <c r="H86" s="568">
        <f>D27</f>
        <v>0</v>
      </c>
    </row>
    <row r="87" spans="2:21" ht="13.5" thickBot="1" x14ac:dyDescent="0.25">
      <c r="B87" s="528"/>
      <c r="C87" s="528"/>
      <c r="D87" s="569"/>
      <c r="E87" s="570"/>
      <c r="F87" s="571"/>
      <c r="G87" s="572" t="str">
        <f>'TRAD-Adults YEAR(1)'!B45</f>
        <v>Nb de patients ayant switché dans l'année :</v>
      </c>
      <c r="H87" s="729">
        <f>IF((H85-SUM(D27:D28))&gt;0, H85-SUM(D27:D28), 0)</f>
        <v>0</v>
      </c>
      <c r="J87" s="730" t="e">
        <f>'TRAD-Adults YEAR(1)'!#REF!</f>
        <v>#REF!</v>
      </c>
      <c r="K87" s="570"/>
      <c r="L87" s="731" t="e">
        <f>H87/D6</f>
        <v>#DIV/0!</v>
      </c>
    </row>
    <row r="89" spans="2:21" x14ac:dyDescent="0.2">
      <c r="B89" s="290" t="e">
        <f>'TRAD-Adults YEAR(1)'!#REF!</f>
        <v>#REF!</v>
      </c>
      <c r="C89" s="291"/>
      <c r="D89" s="291"/>
      <c r="E89" s="291"/>
      <c r="F89" s="291"/>
      <c r="G89" s="291"/>
      <c r="H89" s="291"/>
      <c r="I89" s="291"/>
      <c r="J89" s="291"/>
      <c r="K89" s="291"/>
      <c r="L89" s="291"/>
      <c r="M89" s="291"/>
      <c r="N89" s="497"/>
    </row>
    <row r="90" spans="2:21" ht="24" customHeight="1" x14ac:dyDescent="0.2">
      <c r="B90" s="2145" t="str">
        <f>'TRAD-Adults YEAR(1)'!B46</f>
        <v>Pour les 3èmes lignes, la méthode n'est pas la même et ne repose pas sur les lignes. Nous avons considéré la proportion de patients et les molécules nécessaires pour les prendre en charge. Cela permet ainsi de faire plusieurs combinaisons.</v>
      </c>
      <c r="C90" s="2145"/>
      <c r="D90" s="2145"/>
      <c r="E90" s="2145"/>
      <c r="F90" s="2145"/>
      <c r="G90" s="2145"/>
      <c r="H90" s="2145"/>
      <c r="I90" s="2145"/>
      <c r="J90" s="2145"/>
      <c r="K90" s="2145"/>
      <c r="L90" s="2145"/>
      <c r="M90" s="2145"/>
      <c r="N90" s="962"/>
    </row>
    <row r="91" spans="2:21" ht="13.5" thickBot="1" x14ac:dyDescent="0.25"/>
    <row r="92" spans="2:21" s="545" customFormat="1" ht="64.5" thickBot="1" x14ac:dyDescent="0.25">
      <c r="B92" s="742" t="str">
        <f>'TRAD-Adults YEAR(1)'!B47</f>
        <v>Classe pharmaco</v>
      </c>
      <c r="C92" s="963" t="str">
        <f>'TRAD-Adults YEAR(1)'!B48</f>
        <v>Molécules à avoir en plus pour des 3èmes lignes possibles</v>
      </c>
      <c r="D92" s="963" t="str">
        <f>'TRAD-Adults YEAR(1)'!B49</f>
        <v>Proportion du nombre de patients sous 3ème lignes</v>
      </c>
      <c r="E92" s="1857" t="str">
        <f>'TRAD-Adults YEAR(1)'!B50</f>
        <v>Nombre de patient par schéma par mois</v>
      </c>
      <c r="F92" s="963" t="str">
        <f>'TRAD-Adults YEAR(1)'!B51</f>
        <v>TOTAL nb de patients sur l'année</v>
      </c>
      <c r="G92" s="963" t="str">
        <f>'TRAD-Adults YEAR(1)'!B39</f>
        <v>Nb de patients-mois</v>
      </c>
      <c r="H92" s="1856" t="str">
        <f>'TRAD-Adults YEAR(1)'!B29</f>
        <v>Total patients-mois AVEC Marge de sécurité</v>
      </c>
      <c r="I92" s="710" t="str">
        <f>'TRAD-Adults YEAR(1)'!B40</f>
        <v>Nb de patients-mois</v>
      </c>
      <c r="N92" s="962"/>
      <c r="U92" s="962"/>
    </row>
    <row r="93" spans="2:21" x14ac:dyDescent="0.2">
      <c r="B93" s="696" t="s">
        <v>85</v>
      </c>
      <c r="C93" s="743" t="s">
        <v>25</v>
      </c>
      <c r="D93" s="732">
        <f>'Data &amp; hypothesis Adults'!E144</f>
        <v>0</v>
      </c>
      <c r="E93" s="744" t="e">
        <f t="shared" ref="E93:E99" si="20">$D93*$L$87</f>
        <v>#DIV/0!</v>
      </c>
      <c r="F93" s="745" t="e">
        <f t="shared" ref="F93:F102" si="21">E93*D$6</f>
        <v>#DIV/0!</v>
      </c>
      <c r="G93" s="746" t="e">
        <f t="shared" ref="G93:G102" si="22">E93*(D$6*(D$6+1)/2)</f>
        <v>#DIV/0!</v>
      </c>
      <c r="H93" s="746" t="e">
        <f>E93*((D$6+'General Data'!E$30)*(D$6+'General Data'!E$30+1)/2)</f>
        <v>#DIV/0!</v>
      </c>
      <c r="I93" s="747" t="e">
        <f>H93-G93</f>
        <v>#DIV/0!</v>
      </c>
    </row>
    <row r="94" spans="2:21" x14ac:dyDescent="0.2">
      <c r="B94" s="696"/>
      <c r="C94" s="748" t="s">
        <v>28</v>
      </c>
      <c r="D94" s="732">
        <f>'Data &amp; hypothesis Adults'!E145</f>
        <v>0</v>
      </c>
      <c r="E94" s="744" t="e">
        <f t="shared" si="20"/>
        <v>#DIV/0!</v>
      </c>
      <c r="F94" s="745" t="e">
        <f t="shared" si="21"/>
        <v>#DIV/0!</v>
      </c>
      <c r="G94" s="746" t="e">
        <f t="shared" si="22"/>
        <v>#DIV/0!</v>
      </c>
      <c r="H94" s="746" t="e">
        <f>E94*((D$6+'General Data'!E$30)*(D$6+'General Data'!E$30+1)/2)</f>
        <v>#DIV/0!</v>
      </c>
      <c r="I94" s="747" t="e">
        <f t="shared" ref="I94:I102" si="23">H94-G94</f>
        <v>#DIV/0!</v>
      </c>
    </row>
    <row r="95" spans="2:21" x14ac:dyDescent="0.2">
      <c r="B95" s="696"/>
      <c r="C95" s="748" t="s">
        <v>350</v>
      </c>
      <c r="D95" s="732">
        <f>'Data &amp; hypothesis Adults'!E146</f>
        <v>0</v>
      </c>
      <c r="E95" s="744" t="e">
        <f t="shared" si="20"/>
        <v>#DIV/0!</v>
      </c>
      <c r="F95" s="745" t="e">
        <f t="shared" si="21"/>
        <v>#DIV/0!</v>
      </c>
      <c r="G95" s="746" t="e">
        <f t="shared" si="22"/>
        <v>#DIV/0!</v>
      </c>
      <c r="H95" s="746" t="e">
        <f>E95*((D$6+'General Data'!E$30)*(D$6+'General Data'!E$30+1)/2)</f>
        <v>#DIV/0!</v>
      </c>
      <c r="I95" s="747" t="e">
        <f t="shared" si="23"/>
        <v>#DIV/0!</v>
      </c>
    </row>
    <row r="96" spans="2:21" x14ac:dyDescent="0.2">
      <c r="B96" s="749"/>
      <c r="C96" s="750" t="s">
        <v>349</v>
      </c>
      <c r="D96" s="751">
        <f>'Data &amp; hypothesis Adults'!E147</f>
        <v>0</v>
      </c>
      <c r="E96" s="752" t="e">
        <f t="shared" si="20"/>
        <v>#DIV/0!</v>
      </c>
      <c r="F96" s="752" t="e">
        <f t="shared" si="21"/>
        <v>#DIV/0!</v>
      </c>
      <c r="G96" s="753" t="e">
        <f t="shared" si="22"/>
        <v>#DIV/0!</v>
      </c>
      <c r="H96" s="753" t="e">
        <f>E96*((D$6+'General Data'!E$30)*(D$6+'General Data'!E$30+1)/2)</f>
        <v>#DIV/0!</v>
      </c>
      <c r="I96" s="754" t="e">
        <f t="shared" si="23"/>
        <v>#DIV/0!</v>
      </c>
    </row>
    <row r="97" spans="1:17" x14ac:dyDescent="0.2">
      <c r="B97" s="696" t="s">
        <v>87</v>
      </c>
      <c r="C97" s="748" t="s">
        <v>69</v>
      </c>
      <c r="D97" s="732">
        <f>'Data &amp; hypothesis Adults'!E148</f>
        <v>0</v>
      </c>
      <c r="E97" s="744" t="e">
        <f t="shared" si="20"/>
        <v>#DIV/0!</v>
      </c>
      <c r="F97" s="744" t="e">
        <f t="shared" si="21"/>
        <v>#DIV/0!</v>
      </c>
      <c r="G97" s="746" t="e">
        <f t="shared" si="22"/>
        <v>#DIV/0!</v>
      </c>
      <c r="H97" s="746" t="e">
        <f>E97*((D$6+'General Data'!E$30)*(D$6+'General Data'!E$30+1)/2)</f>
        <v>#DIV/0!</v>
      </c>
      <c r="I97" s="747" t="e">
        <f t="shared" si="23"/>
        <v>#DIV/0!</v>
      </c>
    </row>
    <row r="98" spans="1:17" x14ac:dyDescent="0.2">
      <c r="B98" s="696"/>
      <c r="C98" s="748" t="s">
        <v>68</v>
      </c>
      <c r="D98" s="732">
        <f>'Data &amp; hypothesis Adults'!E149</f>
        <v>0</v>
      </c>
      <c r="E98" s="744" t="e">
        <f t="shared" si="20"/>
        <v>#DIV/0!</v>
      </c>
      <c r="F98" s="745" t="e">
        <f t="shared" si="21"/>
        <v>#DIV/0!</v>
      </c>
      <c r="G98" s="746" t="e">
        <f t="shared" si="22"/>
        <v>#DIV/0!</v>
      </c>
      <c r="H98" s="746" t="e">
        <f>E98*((D$6+'General Data'!E$30)*(D$6+'General Data'!E$30+1)/2)</f>
        <v>#DIV/0!</v>
      </c>
      <c r="I98" s="747" t="e">
        <f t="shared" si="23"/>
        <v>#DIV/0!</v>
      </c>
    </row>
    <row r="99" spans="1:17" x14ac:dyDescent="0.2">
      <c r="B99" s="696"/>
      <c r="C99" s="748" t="s">
        <v>576</v>
      </c>
      <c r="D99" s="732">
        <f>'Data &amp; hypothesis Adults'!E150</f>
        <v>0</v>
      </c>
      <c r="E99" s="744" t="e">
        <f t="shared" si="20"/>
        <v>#DIV/0!</v>
      </c>
      <c r="F99" s="745" t="e">
        <f t="shared" si="21"/>
        <v>#DIV/0!</v>
      </c>
      <c r="G99" s="746" t="e">
        <f t="shared" si="22"/>
        <v>#DIV/0!</v>
      </c>
      <c r="H99" s="746" t="e">
        <f>E99*((D$6+'General Data'!E$30)*(D$6+'General Data'!E$30+1)/2)</f>
        <v>#DIV/0!</v>
      </c>
      <c r="I99" s="747" t="e">
        <f t="shared" si="23"/>
        <v>#DIV/0!</v>
      </c>
    </row>
    <row r="100" spans="1:17" x14ac:dyDescent="0.2">
      <c r="B100" s="749"/>
      <c r="C100" s="750" t="s">
        <v>328</v>
      </c>
      <c r="D100" s="751">
        <f>'Data &amp; hypothesis Adults'!E151</f>
        <v>0</v>
      </c>
      <c r="E100" s="752" t="e">
        <f>$D100*$L$87</f>
        <v>#DIV/0!</v>
      </c>
      <c r="F100" s="752" t="e">
        <f t="shared" si="21"/>
        <v>#DIV/0!</v>
      </c>
      <c r="G100" s="753" t="e">
        <f t="shared" si="22"/>
        <v>#DIV/0!</v>
      </c>
      <c r="H100" s="753" t="e">
        <f>E100*((D$6+'General Data'!E$30)*(D$6+'General Data'!E$30+1)/2)</f>
        <v>#DIV/0!</v>
      </c>
      <c r="I100" s="754" t="e">
        <f t="shared" si="23"/>
        <v>#DIV/0!</v>
      </c>
    </row>
    <row r="101" spans="1:17" x14ac:dyDescent="0.2">
      <c r="B101" s="755" t="s">
        <v>331</v>
      </c>
      <c r="C101" s="756" t="s">
        <v>329</v>
      </c>
      <c r="D101" s="757">
        <f>'Data &amp; hypothesis Adults'!E152</f>
        <v>0</v>
      </c>
      <c r="E101" s="758" t="e">
        <f>$D101*$L$87</f>
        <v>#DIV/0!</v>
      </c>
      <c r="F101" s="758" t="e">
        <f t="shared" si="21"/>
        <v>#DIV/0!</v>
      </c>
      <c r="G101" s="759" t="e">
        <f t="shared" si="22"/>
        <v>#DIV/0!</v>
      </c>
      <c r="H101" s="759" t="e">
        <f>E101*((D$6+'General Data'!E$30)*(D$6+'General Data'!E$30+1)/2)</f>
        <v>#DIV/0!</v>
      </c>
      <c r="I101" s="760" t="e">
        <f t="shared" si="23"/>
        <v>#DIV/0!</v>
      </c>
    </row>
    <row r="102" spans="1:17" ht="13.5" thickBot="1" x14ac:dyDescent="0.25">
      <c r="B102" s="696" t="s">
        <v>84</v>
      </c>
      <c r="C102" s="556" t="s">
        <v>330</v>
      </c>
      <c r="D102" s="736">
        <f>'Data &amp; hypothesis Adults'!E153</f>
        <v>0</v>
      </c>
      <c r="E102" s="761" t="e">
        <f>$D102*$L$87</f>
        <v>#DIV/0!</v>
      </c>
      <c r="F102" s="761" t="e">
        <f t="shared" si="21"/>
        <v>#DIV/0!</v>
      </c>
      <c r="G102" s="762" t="e">
        <f t="shared" si="22"/>
        <v>#DIV/0!</v>
      </c>
      <c r="H102" s="762" t="e">
        <f>E102*((D$6+'General Data'!E$30)*(D$6+'General Data'!E$30+1)/2)</f>
        <v>#DIV/0!</v>
      </c>
      <c r="I102" s="763" t="e">
        <f t="shared" si="23"/>
        <v>#DIV/0!</v>
      </c>
    </row>
    <row r="103" spans="1:17" ht="14.25" thickTop="1" thickBot="1" x14ac:dyDescent="0.25">
      <c r="B103" s="764"/>
      <c r="C103" s="726" t="s">
        <v>6</v>
      </c>
      <c r="D103" s="765">
        <f>SUM(D93:D102)</f>
        <v>0</v>
      </c>
      <c r="E103" s="740" t="e">
        <f>SUM(E93:E102)</f>
        <v>#DIV/0!</v>
      </c>
      <c r="F103" s="766" t="e">
        <f>SUM(F93:F102)</f>
        <v>#DIV/0!</v>
      </c>
      <c r="G103" s="727"/>
      <c r="H103" s="727"/>
      <c r="I103" s="718"/>
    </row>
    <row r="106" spans="1:17" ht="16.5" thickBot="1" x14ac:dyDescent="0.3">
      <c r="A106" s="2144" t="str">
        <f>'TRAD-Adults YEAR(1)'!B52</f>
        <v>Evolution des lignes thérapeutiques sur l'année</v>
      </c>
      <c r="B106" s="2144"/>
      <c r="C106" s="2144"/>
      <c r="D106" s="2144"/>
      <c r="E106" s="2144"/>
      <c r="F106" s="2144"/>
      <c r="G106" s="2144"/>
      <c r="H106" s="2144"/>
      <c r="I106" s="2144"/>
      <c r="J106" s="2144"/>
      <c r="K106" s="2144"/>
      <c r="L106" s="2144"/>
      <c r="M106" s="497"/>
      <c r="N106" s="497"/>
      <c r="O106" s="497"/>
      <c r="P106" s="497"/>
      <c r="Q106" s="497"/>
    </row>
    <row r="108" spans="1:17" ht="13.5" thickBot="1" x14ac:dyDescent="0.25">
      <c r="C108" s="497"/>
      <c r="D108" s="497"/>
    </row>
    <row r="109" spans="1:17" ht="77.25" thickBot="1" x14ac:dyDescent="0.25">
      <c r="B109" s="354"/>
      <c r="C109" s="691" t="str">
        <f>'TRAD-Adults YEAR(1)'!B7</f>
        <v>Schémas</v>
      </c>
      <c r="D109" s="691" t="str">
        <f>'TRAD-Adults YEAR(1)'!B53</f>
        <v>Données en début d'année</v>
      </c>
      <c r="E109" s="691" t="str">
        <f>'TRAD-Adults YEAR(1)'!B54</f>
        <v xml:space="preserve">Initiations première </v>
      </c>
      <c r="F109" s="691" t="str">
        <f>'TRAD-Adults YEAR(1)'!B55</f>
        <v>Passage en 2ème ligne et défalcation des 1ères lignes [1]</v>
      </c>
      <c r="G109" s="692" t="str">
        <f>'TRAD-Adults YEAR(1)'!B56</f>
        <v>Répartition en fin de période</v>
      </c>
    </row>
    <row r="110" spans="1:17" ht="13.5" thickBot="1" x14ac:dyDescent="0.25">
      <c r="B110" s="693" t="str">
        <f>'TRAD-Adults YEAR(1)'!B10</f>
        <v>1ères lignes</v>
      </c>
      <c r="C110" s="546" t="str">
        <f>C10</f>
        <v>AZT+3TC+NVP</v>
      </c>
      <c r="D110" s="767">
        <f t="shared" ref="D110:D114" si="24">D10</f>
        <v>10536.424547798304</v>
      </c>
      <c r="E110" s="582">
        <f t="shared" ref="E110:E113" si="25">F39</f>
        <v>0</v>
      </c>
      <c r="F110" s="1145">
        <f t="shared" ref="F110:F119" si="26">-(SUM(D110:E110)/SUM(D$110:E$119))*C$80</f>
        <v>-239.90745220169606</v>
      </c>
      <c r="G110" s="1146">
        <f>D110+E110+F110</f>
        <v>10296.517095596608</v>
      </c>
    </row>
    <row r="111" spans="1:17" x14ac:dyDescent="0.2">
      <c r="B111" s="696"/>
      <c r="C111" s="323" t="str">
        <f t="shared" ref="C111:D126" si="27">C11</f>
        <v>AZT+3TC+EFV</v>
      </c>
      <c r="D111" s="768">
        <f t="shared" si="24"/>
        <v>1360.7779809950976</v>
      </c>
      <c r="E111" s="585">
        <f t="shared" si="25"/>
        <v>0</v>
      </c>
      <c r="F111" s="769">
        <f t="shared" si="26"/>
        <v>-30.984019004902304</v>
      </c>
      <c r="G111" s="770">
        <f t="shared" ref="G111:G118" si="28">D111+E111+F111</f>
        <v>1329.7939619901952</v>
      </c>
      <c r="I111" s="546"/>
    </row>
    <row r="112" spans="1:17" x14ac:dyDescent="0.2">
      <c r="B112" s="696"/>
      <c r="C112" s="323" t="str">
        <f t="shared" si="27"/>
        <v>AZT+3TC+ABC</v>
      </c>
      <c r="D112" s="768">
        <f t="shared" si="24"/>
        <v>76.777819580949213</v>
      </c>
      <c r="E112" s="585">
        <f t="shared" si="25"/>
        <v>0</v>
      </c>
      <c r="F112" s="769">
        <f t="shared" si="26"/>
        <v>-1.7481804190507848</v>
      </c>
      <c r="G112" s="770">
        <f t="shared" si="28"/>
        <v>75.02963916189843</v>
      </c>
      <c r="I112" s="323"/>
    </row>
    <row r="113" spans="2:9" x14ac:dyDescent="0.2">
      <c r="B113" s="696"/>
      <c r="C113" s="533" t="str">
        <f t="shared" si="27"/>
        <v>AZT+3TC+LPV/r</v>
      </c>
      <c r="D113" s="768">
        <f t="shared" si="24"/>
        <v>673.98578722174659</v>
      </c>
      <c r="E113" s="585">
        <f t="shared" si="25"/>
        <v>0</v>
      </c>
      <c r="F113" s="769">
        <f t="shared" si="26"/>
        <v>-15.346212778253259</v>
      </c>
      <c r="G113" s="770">
        <f t="shared" si="28"/>
        <v>658.6395744434933</v>
      </c>
      <c r="I113" s="323"/>
    </row>
    <row r="114" spans="2:9" x14ac:dyDescent="0.2">
      <c r="B114" s="696"/>
      <c r="C114" s="533" t="str">
        <f t="shared" si="27"/>
        <v>ABC+3TC+EFV</v>
      </c>
      <c r="D114" s="768">
        <f t="shared" si="24"/>
        <v>42.657711974342675</v>
      </c>
      <c r="E114" s="585">
        <f t="shared" ref="E114" si="29">F43</f>
        <v>0</v>
      </c>
      <c r="F114" s="769">
        <f t="shared" si="26"/>
        <v>-0.97128802565731964</v>
      </c>
      <c r="G114" s="770">
        <f t="shared" ref="G114" si="30">D114+E114+F114</f>
        <v>41.686423948685352</v>
      </c>
      <c r="I114" s="533"/>
    </row>
    <row r="115" spans="2:9" x14ac:dyDescent="0.2">
      <c r="B115" s="696"/>
      <c r="C115" s="323" t="str">
        <f t="shared" si="27"/>
        <v>TDF+FTC/3TC+EFV</v>
      </c>
      <c r="D115" s="768">
        <f t="shared" ref="D115:D123" si="31">D15</f>
        <v>5869.1434661657331</v>
      </c>
      <c r="E115" s="585">
        <f>F44</f>
        <v>0</v>
      </c>
      <c r="F115" s="769">
        <f t="shared" si="26"/>
        <v>-133.63653383426728</v>
      </c>
      <c r="G115" s="770">
        <f t="shared" si="28"/>
        <v>5735.5069323314656</v>
      </c>
      <c r="I115" s="533"/>
    </row>
    <row r="116" spans="2:9" x14ac:dyDescent="0.2">
      <c r="B116" s="696"/>
      <c r="C116" s="323" t="str">
        <f t="shared" si="27"/>
        <v>TDF+FTC/3TC+LPV/r</v>
      </c>
      <c r="D116" s="768">
        <f t="shared" si="31"/>
        <v>0</v>
      </c>
      <c r="E116" s="585">
        <f>F45</f>
        <v>0</v>
      </c>
      <c r="F116" s="769">
        <f t="shared" si="26"/>
        <v>0</v>
      </c>
      <c r="G116" s="770">
        <f t="shared" si="28"/>
        <v>0</v>
      </c>
      <c r="I116" s="323"/>
    </row>
    <row r="117" spans="2:9" x14ac:dyDescent="0.2">
      <c r="B117" s="696"/>
      <c r="C117" s="323" t="str">
        <f t="shared" si="27"/>
        <v>ABC+3TC+LPV/r</v>
      </c>
      <c r="D117" s="768">
        <f t="shared" si="31"/>
        <v>24.169672465693711</v>
      </c>
      <c r="E117" s="585">
        <f>F46</f>
        <v>0</v>
      </c>
      <c r="F117" s="769">
        <f t="shared" si="26"/>
        <v>-0.55032753430628578</v>
      </c>
      <c r="G117" s="770">
        <f t="shared" si="28"/>
        <v>23.619344931387424</v>
      </c>
      <c r="I117" s="323"/>
    </row>
    <row r="118" spans="2:9" x14ac:dyDescent="0.2">
      <c r="B118" s="696"/>
      <c r="C118" s="323" t="str">
        <f t="shared" si="27"/>
        <v>TDF+3TC/FTC+ABC</v>
      </c>
      <c r="D118" s="768">
        <f t="shared" si="31"/>
        <v>52.608147115255498</v>
      </c>
      <c r="E118" s="585">
        <f>F46</f>
        <v>0</v>
      </c>
      <c r="F118" s="769">
        <f t="shared" si="26"/>
        <v>-1.1978528847444989</v>
      </c>
      <c r="G118" s="770">
        <f t="shared" si="28"/>
        <v>51.410294230510999</v>
      </c>
      <c r="I118" s="323"/>
    </row>
    <row r="119" spans="2:9" x14ac:dyDescent="0.2">
      <c r="B119" s="696"/>
      <c r="C119" s="705">
        <f t="shared" si="27"/>
        <v>0</v>
      </c>
      <c r="D119" s="1147">
        <f t="shared" si="31"/>
        <v>0</v>
      </c>
      <c r="E119" s="772">
        <f>F48</f>
        <v>0</v>
      </c>
      <c r="F119" s="773">
        <f t="shared" si="26"/>
        <v>0</v>
      </c>
      <c r="G119" s="774">
        <f>D119+E119+F119</f>
        <v>0</v>
      </c>
      <c r="I119" s="323"/>
    </row>
    <row r="120" spans="2:9" x14ac:dyDescent="0.2">
      <c r="B120" s="701" t="str">
        <f>'TRAD-Adults YEAR(1)'!B11</f>
        <v>2èmes lignes</v>
      </c>
      <c r="C120" s="702" t="str">
        <f t="shared" si="27"/>
        <v>TDF+FTC/3TC+LPV/r</v>
      </c>
      <c r="D120" s="775">
        <f t="shared" si="31"/>
        <v>840.27166668287782</v>
      </c>
      <c r="E120" s="1148"/>
      <c r="F120" s="1149">
        <f>C73</f>
        <v>424.34186668287776</v>
      </c>
      <c r="G120" s="1150">
        <f>D120+F120</f>
        <v>1264.6135333657555</v>
      </c>
      <c r="I120" s="705"/>
    </row>
    <row r="121" spans="2:9" x14ac:dyDescent="0.2">
      <c r="B121" s="696"/>
      <c r="C121" s="533" t="str">
        <f t="shared" si="27"/>
        <v>TDF+FTC/3TC+ATV/r</v>
      </c>
      <c r="D121" s="768">
        <f t="shared" si="31"/>
        <v>34.903199999999998</v>
      </c>
      <c r="E121" s="585"/>
      <c r="F121" s="587">
        <f>C74</f>
        <v>0</v>
      </c>
      <c r="G121" s="770">
        <f>D121+F121</f>
        <v>34.903199999999998</v>
      </c>
      <c r="I121" s="702"/>
    </row>
    <row r="122" spans="2:9" x14ac:dyDescent="0.2">
      <c r="B122" s="696"/>
      <c r="C122" s="533" t="str">
        <f t="shared" si="27"/>
        <v>ABC+DDI+LPV/r</v>
      </c>
      <c r="D122" s="768">
        <f t="shared" si="31"/>
        <v>0</v>
      </c>
      <c r="E122" s="585"/>
      <c r="F122" s="587">
        <f>C75</f>
        <v>0</v>
      </c>
      <c r="G122" s="770">
        <f>D122+F122</f>
        <v>0</v>
      </c>
      <c r="I122" s="533"/>
    </row>
    <row r="123" spans="2:9" x14ac:dyDescent="0.2">
      <c r="B123" s="696"/>
      <c r="C123" s="533" t="str">
        <f t="shared" si="27"/>
        <v>TDF+3TC/FTC+ABC</v>
      </c>
      <c r="D123" s="585">
        <f t="shared" si="31"/>
        <v>0</v>
      </c>
      <c r="E123" s="585"/>
      <c r="F123" s="585">
        <f>C76</f>
        <v>0</v>
      </c>
      <c r="G123" s="770">
        <f>D123+F123</f>
        <v>0</v>
      </c>
      <c r="I123" s="533"/>
    </row>
    <row r="124" spans="2:9" x14ac:dyDescent="0.2">
      <c r="B124" s="696"/>
      <c r="C124" s="533" t="str">
        <f t="shared" si="27"/>
        <v>AZT+3TC+LPV/r</v>
      </c>
      <c r="D124" s="585">
        <f t="shared" si="27"/>
        <v>195.87603135967444</v>
      </c>
      <c r="E124" s="585"/>
      <c r="F124" s="585">
        <f t="shared" ref="F124:F126" si="32">C77</f>
        <v>195.87603135967444</v>
      </c>
      <c r="G124" s="770">
        <f t="shared" ref="G124:G126" si="33">D124+F124</f>
        <v>391.75206271934888</v>
      </c>
      <c r="I124" s="705"/>
    </row>
    <row r="125" spans="2:9" x14ac:dyDescent="0.2">
      <c r="B125" s="696"/>
      <c r="C125" s="533">
        <f t="shared" si="27"/>
        <v>0</v>
      </c>
      <c r="D125" s="585">
        <f t="shared" si="27"/>
        <v>0</v>
      </c>
      <c r="E125" s="585"/>
      <c r="F125" s="585">
        <f t="shared" si="32"/>
        <v>0</v>
      </c>
      <c r="G125" s="770">
        <f t="shared" si="33"/>
        <v>0</v>
      </c>
    </row>
    <row r="126" spans="2:9" x14ac:dyDescent="0.2">
      <c r="B126" s="696"/>
      <c r="C126" s="705">
        <f t="shared" si="27"/>
        <v>0</v>
      </c>
      <c r="D126" s="772">
        <f t="shared" si="27"/>
        <v>0</v>
      </c>
      <c r="E126" s="772"/>
      <c r="F126" s="772">
        <f t="shared" si="32"/>
        <v>0</v>
      </c>
      <c r="G126" s="774">
        <f t="shared" si="33"/>
        <v>0</v>
      </c>
    </row>
    <row r="127" spans="2:9" x14ac:dyDescent="0.2">
      <c r="B127" s="701" t="str">
        <f>'TRAD-Adults YEAR(1)'!B12</f>
        <v>3èmes lignes</v>
      </c>
      <c r="C127" s="533" t="str">
        <f>'TRAD-Adults YEAR(1)'!B57</f>
        <v>total divers 3èmes l</v>
      </c>
      <c r="D127" s="776">
        <f t="shared" ref="D127" si="34">D27</f>
        <v>0</v>
      </c>
      <c r="E127" s="1357"/>
      <c r="F127" s="1909">
        <f>H87</f>
        <v>0</v>
      </c>
      <c r="G127" s="1925">
        <f>D127+F127</f>
        <v>0</v>
      </c>
    </row>
    <row r="128" spans="2:9" ht="13.5" thickBot="1" x14ac:dyDescent="0.25">
      <c r="B128" s="696"/>
      <c r="C128" s="497"/>
      <c r="D128" s="776"/>
      <c r="E128" s="589"/>
      <c r="F128" s="589"/>
      <c r="G128" s="778"/>
    </row>
    <row r="129" spans="2:21" ht="14.25" thickTop="1" thickBot="1" x14ac:dyDescent="0.25">
      <c r="B129" s="706"/>
      <c r="C129" s="707" t="s">
        <v>6</v>
      </c>
      <c r="D129" s="779">
        <f>SUM(D110:D128)</f>
        <v>19707.596031359677</v>
      </c>
      <c r="E129" s="727"/>
      <c r="F129" s="727"/>
      <c r="G129" s="780">
        <f>SUM(G110:G123)</f>
        <v>19511.719999999998</v>
      </c>
    </row>
    <row r="131" spans="2:21" x14ac:dyDescent="0.2">
      <c r="B131" s="290" t="str">
        <f>'TRAD-Adults YEAR(1)'!B17</f>
        <v>Commentaire</v>
      </c>
      <c r="C131" s="291"/>
      <c r="D131" s="291"/>
      <c r="E131" s="291"/>
      <c r="F131" s="291"/>
      <c r="G131" s="291"/>
      <c r="H131" s="291"/>
      <c r="I131" s="291"/>
      <c r="J131" s="291"/>
    </row>
    <row r="132" spans="2:21" x14ac:dyDescent="0.2">
      <c r="B132" s="292" t="s">
        <v>240</v>
      </c>
      <c r="C132" s="293" t="str">
        <f>'TRAD-Adults YEAR(1)'!B58</f>
        <v>La défalcation sur les premières lignes est obtenue par le calcul suivant :</v>
      </c>
    </row>
    <row r="133" spans="2:21" x14ac:dyDescent="0.2">
      <c r="B133" s="292"/>
      <c r="C133" s="293" t="str">
        <f>'TRAD-Adults YEAR(1)'!B59</f>
        <v xml:space="preserve"> = - Proportion du schéma dans les 1ères lignes à la fin de l'année * nb de patients passant en 2èmes lignes</v>
      </c>
    </row>
    <row r="135" spans="2:21" ht="15" x14ac:dyDescent="0.2">
      <c r="B135" s="2143" t="str">
        <f>'TRAD-Adults YEAR(1)'!B60</f>
        <v>Synthèse de la situation envisagée en fin d'année</v>
      </c>
      <c r="C135" s="2143"/>
      <c r="D135" s="2143"/>
      <c r="E135" s="2143"/>
      <c r="F135" s="2143"/>
      <c r="G135" s="781"/>
      <c r="H135" s="781"/>
      <c r="I135" s="781"/>
      <c r="J135" s="781"/>
      <c r="K135" s="781"/>
      <c r="L135" s="2143"/>
      <c r="M135" s="2143"/>
      <c r="N135" s="961"/>
    </row>
    <row r="137" spans="2:21" ht="13.5" thickBot="1" x14ac:dyDescent="0.25">
      <c r="B137" s="497"/>
      <c r="C137" s="497"/>
    </row>
    <row r="138" spans="2:21" s="545" customFormat="1" ht="78.75" customHeight="1" thickBot="1" x14ac:dyDescent="0.25">
      <c r="B138" s="782"/>
      <c r="C138" s="782"/>
      <c r="D138" s="2147" t="str">
        <f>'TRAD-Adults YEAR(1)'!B61</f>
        <v>SANS DEFALCATION des passages en 2èmes lignes sur les 1ères lignes</v>
      </c>
      <c r="E138" s="2148"/>
      <c r="F138" s="2147" t="str">
        <f>'TRAD-Adults YEAR(1)'!B62</f>
        <v>AVEC DEFALCATION PROPORTIONNELLE à la répartition des patients en 1ère ligne</v>
      </c>
      <c r="G138" s="2148"/>
      <c r="H138" s="2147" t="str">
        <f>'TRAD-Adults YEAR(1)'!B63</f>
        <v>AVEC DEFALCATION SUR SCHEMA MAJORITAIRE 1ère ligne</v>
      </c>
      <c r="I138" s="2148"/>
      <c r="N138" s="962"/>
      <c r="U138" s="962"/>
    </row>
    <row r="139" spans="2:21" ht="64.5" customHeight="1" thickBot="1" x14ac:dyDescent="0.25">
      <c r="B139" s="354"/>
      <c r="C139" s="439" t="str">
        <f>'TRAD-Adults YEAR(1)'!B64</f>
        <v>Schéma therpeutique</v>
      </c>
      <c r="D139" s="405" t="str">
        <f>'TRAD-Adults YEAR(1)'!B67</f>
        <v>Nb de patients en fin de période</v>
      </c>
      <c r="E139" s="439" t="s">
        <v>51</v>
      </c>
      <c r="F139" s="405" t="str">
        <f>'TRAD-Adults YEAR(1)'!B67</f>
        <v>Nb de patients en fin de période</v>
      </c>
      <c r="G139" s="439" t="s">
        <v>51</v>
      </c>
      <c r="H139" s="405" t="str">
        <f>'TRAD-Adults YEAR(1)'!B67</f>
        <v>Nb de patients en fin de période</v>
      </c>
      <c r="I139" s="439" t="s">
        <v>51</v>
      </c>
    </row>
    <row r="140" spans="2:21" x14ac:dyDescent="0.2">
      <c r="B140" s="693" t="str">
        <f>'Data &amp; hypothesis Adults'!$B$26</f>
        <v>1ères lignes</v>
      </c>
      <c r="C140" s="546" t="str">
        <f>C10</f>
        <v>AZT+3TC+NVP</v>
      </c>
      <c r="D140" s="359">
        <f t="shared" ref="D140:D143" si="35">D110+E110</f>
        <v>10536.424547798304</v>
      </c>
      <c r="E140" s="269">
        <f t="shared" ref="E140:E157" si="36">D140/D$159</f>
        <v>0.5183255112621028</v>
      </c>
      <c r="F140" s="783">
        <f t="shared" ref="F140:F143" si="37">G110</f>
        <v>10296.517095596608</v>
      </c>
      <c r="G140" s="784">
        <f t="shared" ref="G140:G147" si="38">F140/F$159</f>
        <v>0.51732265924007981</v>
      </c>
      <c r="H140" s="359">
        <f>D110+E110-C80</f>
        <v>10112.082681115426</v>
      </c>
      <c r="I140" s="269">
        <f t="shared" ref="I140:I147" si="39">H140/H$159</f>
        <v>0.50805621497849573</v>
      </c>
    </row>
    <row r="141" spans="2:21" x14ac:dyDescent="0.2">
      <c r="B141" s="696"/>
      <c r="C141" s="323" t="str">
        <f t="shared" ref="C141:C156" si="40">C11</f>
        <v>AZT+3TC+EFV</v>
      </c>
      <c r="D141" s="362">
        <f t="shared" si="35"/>
        <v>1360.7779809950976</v>
      </c>
      <c r="E141" s="273">
        <f t="shared" si="36"/>
        <v>6.6941678319224637E-2</v>
      </c>
      <c r="F141" s="785">
        <f t="shared" si="37"/>
        <v>1329.7939619901952</v>
      </c>
      <c r="G141" s="786">
        <f t="shared" si="38"/>
        <v>6.6812160099493201E-2</v>
      </c>
      <c r="H141" s="362">
        <f t="shared" ref="H141:H143" si="41">D111+E111</f>
        <v>1360.7779809950976</v>
      </c>
      <c r="I141" s="273">
        <f t="shared" si="39"/>
        <v>6.8368874370614646E-2</v>
      </c>
    </row>
    <row r="142" spans="2:21" x14ac:dyDescent="0.2">
      <c r="B142" s="696"/>
      <c r="C142" s="323" t="str">
        <f t="shared" si="40"/>
        <v>AZT+3TC+ABC</v>
      </c>
      <c r="D142" s="362">
        <f t="shared" si="35"/>
        <v>76.777819580949213</v>
      </c>
      <c r="E142" s="273">
        <f t="shared" si="36"/>
        <v>3.7769835874922825E-3</v>
      </c>
      <c r="F142" s="785">
        <f t="shared" si="37"/>
        <v>75.02963916189843</v>
      </c>
      <c r="G142" s="786">
        <f t="shared" si="38"/>
        <v>3.7696759100857794E-3</v>
      </c>
      <c r="H142" s="362">
        <f t="shared" si="41"/>
        <v>76.777819580949213</v>
      </c>
      <c r="I142" s="273">
        <f t="shared" si="39"/>
        <v>3.8575088476527496E-3</v>
      </c>
    </row>
    <row r="143" spans="2:21" x14ac:dyDescent="0.2">
      <c r="B143" s="696"/>
      <c r="C143" s="533" t="str">
        <f t="shared" si="40"/>
        <v>AZT+3TC+LPV/r</v>
      </c>
      <c r="D143" s="362">
        <f t="shared" si="35"/>
        <v>673.98578722174659</v>
      </c>
      <c r="E143" s="273">
        <f t="shared" si="36"/>
        <v>3.3155842018353532E-2</v>
      </c>
      <c r="F143" s="785">
        <f t="shared" si="37"/>
        <v>658.6395744434933</v>
      </c>
      <c r="G143" s="786">
        <f t="shared" si="38"/>
        <v>3.3091692362418178E-2</v>
      </c>
      <c r="H143" s="362">
        <f t="shared" si="41"/>
        <v>673.98578722174659</v>
      </c>
      <c r="I143" s="273">
        <f t="shared" si="39"/>
        <v>3.3862724307492612E-2</v>
      </c>
    </row>
    <row r="144" spans="2:21" x14ac:dyDescent="0.2">
      <c r="B144" s="696"/>
      <c r="C144" s="533" t="str">
        <f t="shared" si="40"/>
        <v>ABC+3TC+EFV</v>
      </c>
      <c r="D144" s="362">
        <f t="shared" ref="D144" si="42">D114+E114</f>
        <v>42.657711974342675</v>
      </c>
      <c r="E144" s="273">
        <f t="shared" ref="E144" si="43">D144/D$159</f>
        <v>2.0984898879186612E-3</v>
      </c>
      <c r="F144" s="785">
        <f t="shared" ref="F144" si="44">G114</f>
        <v>41.686423948685352</v>
      </c>
      <c r="G144" s="786">
        <f t="shared" ref="G144" si="45">F144/F$159</f>
        <v>2.0944297465951712E-3</v>
      </c>
      <c r="H144" s="362">
        <f t="shared" ref="H144" si="46">D114+E114</f>
        <v>42.657711974342675</v>
      </c>
      <c r="I144" s="273">
        <f t="shared" ref="I144" si="47">H144/H$159</f>
        <v>2.1432296757028474E-3</v>
      </c>
    </row>
    <row r="145" spans="2:9" x14ac:dyDescent="0.2">
      <c r="B145" s="696"/>
      <c r="C145" s="323" t="str">
        <f t="shared" si="40"/>
        <v>TDF+FTC/3TC+EFV</v>
      </c>
      <c r="D145" s="362">
        <f>D115+E115</f>
        <v>5869.1434661657331</v>
      </c>
      <c r="E145" s="273">
        <f t="shared" si="36"/>
        <v>0.28872477318756751</v>
      </c>
      <c r="F145" s="785">
        <f t="shared" ref="F145:F153" si="48">G115</f>
        <v>5735.5069323314656</v>
      </c>
      <c r="G145" s="786">
        <f t="shared" si="38"/>
        <v>0.28816615082322689</v>
      </c>
      <c r="H145" s="362">
        <f>D115+E115</f>
        <v>5869.1434661657331</v>
      </c>
      <c r="I145" s="273">
        <f t="shared" si="39"/>
        <v>0.29488038306437325</v>
      </c>
    </row>
    <row r="146" spans="2:9" x14ac:dyDescent="0.2">
      <c r="B146" s="696"/>
      <c r="C146" s="323" t="str">
        <f t="shared" si="40"/>
        <v>TDF+FTC/3TC+LPV/r</v>
      </c>
      <c r="D146" s="362">
        <f>D116+E116</f>
        <v>0</v>
      </c>
      <c r="E146" s="273">
        <f t="shared" si="36"/>
        <v>0</v>
      </c>
      <c r="F146" s="785">
        <f t="shared" si="48"/>
        <v>0</v>
      </c>
      <c r="G146" s="786">
        <f t="shared" si="38"/>
        <v>0</v>
      </c>
      <c r="H146" s="362">
        <f>D116+E116</f>
        <v>0</v>
      </c>
      <c r="I146" s="273">
        <f t="shared" si="39"/>
        <v>0</v>
      </c>
    </row>
    <row r="147" spans="2:9" x14ac:dyDescent="0.2">
      <c r="B147" s="696"/>
      <c r="C147" s="323" t="str">
        <f t="shared" si="40"/>
        <v>ABC+3TC+LPV/r</v>
      </c>
      <c r="D147" s="362">
        <f>D117+E117</f>
        <v>24.169672465693711</v>
      </c>
      <c r="E147" s="273">
        <f t="shared" si="36"/>
        <v>1.1889951644399209E-3</v>
      </c>
      <c r="F147" s="785">
        <f t="shared" si="48"/>
        <v>23.619344931387424</v>
      </c>
      <c r="G147" s="786">
        <f t="shared" si="38"/>
        <v>1.1866947061778322E-3</v>
      </c>
      <c r="H147" s="362">
        <f>D117+E117</f>
        <v>24.169672465693711</v>
      </c>
      <c r="I147" s="273">
        <f t="shared" si="39"/>
        <v>1.2143445319254256E-3</v>
      </c>
    </row>
    <row r="148" spans="2:9" x14ac:dyDescent="0.2">
      <c r="B148" s="696"/>
      <c r="C148" s="323" t="str">
        <f t="shared" si="40"/>
        <v>TDF+3TC/FTC+ABC</v>
      </c>
      <c r="D148" s="362">
        <f>D118+E118</f>
        <v>52.608147115255498</v>
      </c>
      <c r="E148" s="273">
        <f t="shared" si="36"/>
        <v>2.5879884230523616E-3</v>
      </c>
      <c r="F148" s="785">
        <f t="shared" si="48"/>
        <v>51.410294230510999</v>
      </c>
      <c r="G148" s="786">
        <f t="shared" ref="G148:G157" si="49">F148/F$159</f>
        <v>2.5829812039079468E-3</v>
      </c>
      <c r="H148" s="362">
        <f>D118+E118</f>
        <v>52.608147115255498</v>
      </c>
      <c r="I148" s="273">
        <f t="shared" ref="I148:I157" si="50">H148/H$159</f>
        <v>2.643164315727324E-3</v>
      </c>
    </row>
    <row r="149" spans="2:9" x14ac:dyDescent="0.2">
      <c r="B149" s="696"/>
      <c r="C149" s="705">
        <f t="shared" si="40"/>
        <v>0</v>
      </c>
      <c r="D149" s="787">
        <f>D119+E119</f>
        <v>0</v>
      </c>
      <c r="E149" s="281">
        <f>D149/D$159</f>
        <v>0</v>
      </c>
      <c r="F149" s="788">
        <f t="shared" si="48"/>
        <v>0</v>
      </c>
      <c r="G149" s="789">
        <f t="shared" si="49"/>
        <v>0</v>
      </c>
      <c r="H149" s="787">
        <f>D119+E119</f>
        <v>0</v>
      </c>
      <c r="I149" s="281">
        <f t="shared" si="50"/>
        <v>0</v>
      </c>
    </row>
    <row r="150" spans="2:9" x14ac:dyDescent="0.2">
      <c r="B150" s="701" t="str">
        <f>'Data &amp; hypothesis Adults'!$B$36</f>
        <v>2èmes lignes</v>
      </c>
      <c r="C150" s="702" t="str">
        <f t="shared" si="40"/>
        <v>TDF+FTC/3TC+LPV/r</v>
      </c>
      <c r="D150" s="1151">
        <f>D120+F120</f>
        <v>1264.6135333657555</v>
      </c>
      <c r="E150" s="1140">
        <f>D150/D$159</f>
        <v>6.2210995130008238E-2</v>
      </c>
      <c r="F150" s="1152">
        <f t="shared" si="48"/>
        <v>1264.6135333657555</v>
      </c>
      <c r="G150" s="1141">
        <f t="shared" si="49"/>
        <v>6.3537333053285155E-2</v>
      </c>
      <c r="H150" s="1151">
        <f>D120+F120</f>
        <v>1264.6135333657555</v>
      </c>
      <c r="I150" s="1140">
        <f t="shared" si="50"/>
        <v>6.3537333053285142E-2</v>
      </c>
    </row>
    <row r="151" spans="2:9" x14ac:dyDescent="0.2">
      <c r="B151" s="696"/>
      <c r="C151" s="533" t="str">
        <f t="shared" si="40"/>
        <v>TDF+FTC/3TC+ATV/r</v>
      </c>
      <c r="D151" s="362">
        <f>D121+F121</f>
        <v>34.903199999999998</v>
      </c>
      <c r="E151" s="273">
        <f>D151/D$159</f>
        <v>1.7170168972038789E-3</v>
      </c>
      <c r="F151" s="785">
        <f t="shared" si="48"/>
        <v>34.903199999999998</v>
      </c>
      <c r="G151" s="786">
        <f t="shared" si="49"/>
        <v>1.7536236838484195E-3</v>
      </c>
      <c r="H151" s="362">
        <f>D121+F121</f>
        <v>34.903199999999998</v>
      </c>
      <c r="I151" s="273">
        <f t="shared" si="50"/>
        <v>1.753623683848419E-3</v>
      </c>
    </row>
    <row r="152" spans="2:9" x14ac:dyDescent="0.2">
      <c r="B152" s="696"/>
      <c r="C152" s="533" t="str">
        <f t="shared" si="40"/>
        <v>ABC+DDI+LPV/r</v>
      </c>
      <c r="D152" s="362">
        <f>D122+F122</f>
        <v>0</v>
      </c>
      <c r="E152" s="273">
        <f>D152/D$159</f>
        <v>0</v>
      </c>
      <c r="F152" s="785">
        <f t="shared" si="48"/>
        <v>0</v>
      </c>
      <c r="G152" s="786">
        <f t="shared" si="49"/>
        <v>0</v>
      </c>
      <c r="H152" s="362">
        <f>D122+F122</f>
        <v>0</v>
      </c>
      <c r="I152" s="273">
        <f t="shared" si="50"/>
        <v>0</v>
      </c>
    </row>
    <row r="153" spans="2:9" x14ac:dyDescent="0.2">
      <c r="B153" s="696"/>
      <c r="C153" s="533" t="str">
        <f t="shared" si="40"/>
        <v>TDF+3TC/FTC+ABC</v>
      </c>
      <c r="D153" s="362">
        <f>D123+F123</f>
        <v>0</v>
      </c>
      <c r="E153" s="273">
        <f>D153/D$159</f>
        <v>0</v>
      </c>
      <c r="F153" s="785">
        <f t="shared" si="48"/>
        <v>0</v>
      </c>
      <c r="G153" s="786">
        <f t="shared" si="49"/>
        <v>0</v>
      </c>
      <c r="H153" s="362">
        <f>D123+F123</f>
        <v>0</v>
      </c>
      <c r="I153" s="273">
        <f t="shared" si="50"/>
        <v>0</v>
      </c>
    </row>
    <row r="154" spans="2:9" x14ac:dyDescent="0.2">
      <c r="B154" s="696"/>
      <c r="C154" s="533" t="str">
        <f t="shared" si="40"/>
        <v>AZT+3TC+LPV/r</v>
      </c>
      <c r="D154" s="362">
        <f t="shared" ref="D154:D156" si="51">D124+F124</f>
        <v>391.75206271934888</v>
      </c>
      <c r="E154" s="273">
        <f t="shared" ref="E154:E156" si="52">D154/D$159</f>
        <v>1.9271726122636199E-2</v>
      </c>
      <c r="F154" s="785">
        <f>G124</f>
        <v>391.75206271934888</v>
      </c>
      <c r="G154" s="786">
        <f>F154/F$159</f>
        <v>1.96825991708818E-2</v>
      </c>
      <c r="H154" s="362">
        <f>D124+F124</f>
        <v>391.75206271934888</v>
      </c>
      <c r="I154" s="273">
        <f>H154/H$159</f>
        <v>1.9682599170881797E-2</v>
      </c>
    </row>
    <row r="155" spans="2:9" x14ac:dyDescent="0.2">
      <c r="B155" s="696"/>
      <c r="C155" s="533">
        <f t="shared" si="40"/>
        <v>0</v>
      </c>
      <c r="D155" s="362">
        <f t="shared" si="51"/>
        <v>0</v>
      </c>
      <c r="E155" s="273">
        <f t="shared" si="52"/>
        <v>0</v>
      </c>
      <c r="F155" s="785">
        <f t="shared" ref="F155:F156" si="53">G125</f>
        <v>0</v>
      </c>
      <c r="G155" s="786">
        <f t="shared" ref="G155:G156" si="54">F155/F$159</f>
        <v>0</v>
      </c>
      <c r="H155" s="362">
        <f t="shared" ref="H155:H156" si="55">D125+F125</f>
        <v>0</v>
      </c>
      <c r="I155" s="273">
        <f t="shared" ref="I155:I156" si="56">H155/H$159</f>
        <v>0</v>
      </c>
    </row>
    <row r="156" spans="2:9" x14ac:dyDescent="0.2">
      <c r="B156" s="696"/>
      <c r="C156" s="705">
        <f t="shared" si="40"/>
        <v>0</v>
      </c>
      <c r="D156" s="787">
        <f t="shared" si="51"/>
        <v>0</v>
      </c>
      <c r="E156" s="281">
        <f t="shared" si="52"/>
        <v>0</v>
      </c>
      <c r="F156" s="785">
        <f t="shared" si="53"/>
        <v>0</v>
      </c>
      <c r="G156" s="786">
        <f t="shared" si="54"/>
        <v>0</v>
      </c>
      <c r="H156" s="362">
        <f t="shared" si="55"/>
        <v>0</v>
      </c>
      <c r="I156" s="273">
        <f t="shared" si="56"/>
        <v>0</v>
      </c>
    </row>
    <row r="157" spans="2:9" ht="25.5" x14ac:dyDescent="0.2">
      <c r="B157" s="701" t="str">
        <f>'Data &amp; hypothesis Adults'!$B$43</f>
        <v>3èmes lignes</v>
      </c>
      <c r="C157" s="790" t="str">
        <f>'TRAD-Adults YEAR(1)'!B16</f>
        <v>nb de patient total 3èmes lignes</v>
      </c>
      <c r="D157" s="791">
        <f>F127</f>
        <v>0</v>
      </c>
      <c r="E157" s="283">
        <f t="shared" si="36"/>
        <v>0</v>
      </c>
      <c r="F157" s="792">
        <f t="shared" ref="F157:F158" si="57">G127</f>
        <v>0</v>
      </c>
      <c r="G157" s="793">
        <f t="shared" si="49"/>
        <v>0</v>
      </c>
      <c r="H157" s="794">
        <f>K127</f>
        <v>0</v>
      </c>
      <c r="I157" s="283">
        <f t="shared" si="50"/>
        <v>0</v>
      </c>
    </row>
    <row r="158" spans="2:9" ht="13.5" thickBot="1" x14ac:dyDescent="0.25">
      <c r="B158" s="696"/>
      <c r="C158" s="285"/>
      <c r="D158" s="794">
        <f>G128</f>
        <v>0</v>
      </c>
      <c r="E158" s="283"/>
      <c r="F158" s="792">
        <f t="shared" si="57"/>
        <v>0</v>
      </c>
      <c r="G158" s="793"/>
      <c r="H158" s="794">
        <f>K128</f>
        <v>0</v>
      </c>
      <c r="I158" s="283"/>
    </row>
    <row r="159" spans="2:9" ht="14.25" thickTop="1" thickBot="1" x14ac:dyDescent="0.25">
      <c r="B159" s="795"/>
      <c r="C159" s="796" t="s">
        <v>6</v>
      </c>
      <c r="D159" s="797">
        <f>SUM(D140:D156)</f>
        <v>20327.813929402226</v>
      </c>
      <c r="E159" s="798"/>
      <c r="F159" s="797">
        <f>SUM(F140:F156)</f>
        <v>19903.472062719346</v>
      </c>
      <c r="G159" s="799">
        <f>SUM(G140:G156)</f>
        <v>1.0000000000000002</v>
      </c>
      <c r="H159" s="797">
        <f>SUM(H140:H156)</f>
        <v>19903.472062719349</v>
      </c>
      <c r="I159" s="798"/>
    </row>
    <row r="160" spans="2:9" x14ac:dyDescent="0.2">
      <c r="C160" s="260" t="str">
        <f>'TRAD-Adults YEAR(1)'!B69</f>
        <v>Total 1ères lignes</v>
      </c>
      <c r="D160" s="800">
        <f>SUM(D140:D148)</f>
        <v>18636.545133317122</v>
      </c>
    </row>
    <row r="163" spans="1:32" x14ac:dyDescent="0.2">
      <c r="B163" s="290" t="str">
        <f>'TRAD-Adults YEAR(1)'!B17</f>
        <v>Commentaire</v>
      </c>
      <c r="C163" s="291"/>
      <c r="D163" s="291"/>
      <c r="E163" s="291"/>
      <c r="F163" s="291"/>
      <c r="G163" s="291"/>
      <c r="H163" s="291"/>
      <c r="I163" s="291"/>
      <c r="J163" s="291"/>
      <c r="K163" s="291"/>
      <c r="L163" s="291"/>
      <c r="M163" s="291"/>
      <c r="N163" s="497"/>
    </row>
    <row r="164" spans="1:32" x14ac:dyDescent="0.2">
      <c r="B164" s="801"/>
      <c r="C164" s="293" t="str">
        <f>'TRAD-Adults YEAR(1)'!B70</f>
        <v>Le nombre de patients en 3èmes lignes n'est volontairement pas pris en compte dans le total.</v>
      </c>
    </row>
    <row r="165" spans="1:32" x14ac:dyDescent="0.2">
      <c r="B165" s="293"/>
      <c r="C165" s="293" t="str">
        <f>'TRAD-Adults YEAR(1)'!B71</f>
        <v>Pour les années suivantes, nous avons pris en compte une défalcation proportionnelle à la répartition des initiations en premières lignes (données en rouge)</v>
      </c>
    </row>
    <row r="167" spans="1:32" ht="16.5" thickBot="1" x14ac:dyDescent="0.3">
      <c r="A167" s="802" t="str">
        <f>'TRAD-Adults YEAR (2)'!B13</f>
        <v>Quantification des besoins en ARV pour la prise en charge médicale pour la deuxième année selon la répartition envisagée</v>
      </c>
      <c r="B167" s="802"/>
      <c r="C167" s="802"/>
      <c r="D167" s="802"/>
      <c r="E167" s="802"/>
      <c r="F167" s="802"/>
      <c r="G167" s="802"/>
      <c r="H167" s="802"/>
      <c r="I167" s="802"/>
      <c r="J167" s="802"/>
      <c r="K167" s="802"/>
      <c r="L167" s="802"/>
    </row>
    <row r="169" spans="1:32" ht="15" x14ac:dyDescent="0.2">
      <c r="B169" s="2143" t="str">
        <f>'TRAD-Adults YEAR(1)'!B72</f>
        <v>Détails des calculs</v>
      </c>
      <c r="C169" s="2143"/>
      <c r="D169" s="2143"/>
      <c r="E169" s="2143"/>
      <c r="F169" s="2143"/>
      <c r="G169" s="1158"/>
      <c r="H169" s="1158"/>
      <c r="I169" s="1158"/>
      <c r="J169" s="1158"/>
      <c r="K169" s="1158"/>
      <c r="L169" s="2143"/>
      <c r="M169" s="2143"/>
      <c r="N169" s="1158"/>
    </row>
    <row r="172" spans="1:32" x14ac:dyDescent="0.2">
      <c r="C172" s="1162"/>
      <c r="D172" s="1163" t="s">
        <v>75</v>
      </c>
      <c r="E172" s="1163"/>
      <c r="F172" s="1163"/>
      <c r="G172" s="1164"/>
      <c r="H172" s="1164"/>
      <c r="I172" s="1164"/>
      <c r="J172" s="1164"/>
      <c r="K172" s="1164"/>
      <c r="L172" s="1163"/>
      <c r="M172" s="1163" t="s">
        <v>84</v>
      </c>
      <c r="N172" s="1163"/>
      <c r="O172" s="1163" t="s">
        <v>85</v>
      </c>
      <c r="P172" s="1163"/>
      <c r="Q172" s="1163"/>
      <c r="R172" s="1164"/>
      <c r="S172" s="1164"/>
      <c r="T172" s="1163"/>
      <c r="U172" s="1163" t="s">
        <v>87</v>
      </c>
      <c r="V172" s="1164"/>
      <c r="W172" s="1164"/>
      <c r="X172" s="1164"/>
      <c r="Y172" s="1164"/>
      <c r="Z172" s="1164"/>
      <c r="AA172" s="1163" t="s">
        <v>331</v>
      </c>
      <c r="AB172" s="1163" t="str">
        <f>'TRAD-Adults YEAR(1)'!B132</f>
        <v>NNRTI 3ème ligne</v>
      </c>
      <c r="AC172" s="260" t="str">
        <f>'TRAD-Adults YEAR(1)'!B132</f>
        <v>NNRTI 3ème ligne</v>
      </c>
    </row>
    <row r="173" spans="1:32" ht="63.75" x14ac:dyDescent="0.2">
      <c r="C173" s="1165" t="str">
        <f>'TRAD-Adults YEAR(1)'!B73</f>
        <v>Composition</v>
      </c>
      <c r="D173" s="1166" t="s">
        <v>7</v>
      </c>
      <c r="E173" s="1166" t="s">
        <v>140</v>
      </c>
      <c r="F173" s="1166" t="s">
        <v>731</v>
      </c>
      <c r="G173" s="1166" t="s">
        <v>11</v>
      </c>
      <c r="H173" s="1166" t="s">
        <v>586</v>
      </c>
      <c r="I173" s="1166" t="s">
        <v>50</v>
      </c>
      <c r="J173" s="1166" t="s">
        <v>81</v>
      </c>
      <c r="K173" s="1166" t="s">
        <v>348</v>
      </c>
      <c r="L173" s="1166" t="s">
        <v>349</v>
      </c>
      <c r="M173" s="1166" t="s">
        <v>17</v>
      </c>
      <c r="N173" s="1166" t="s">
        <v>19</v>
      </c>
      <c r="O173" s="1166" t="s">
        <v>39</v>
      </c>
      <c r="P173" s="1166" t="s">
        <v>350</v>
      </c>
      <c r="Q173" s="1166" t="s">
        <v>25</v>
      </c>
      <c r="R173" s="1166" t="s">
        <v>28</v>
      </c>
      <c r="S173" s="1166" t="s">
        <v>28</v>
      </c>
      <c r="T173" s="1166" t="s">
        <v>22</v>
      </c>
      <c r="U173" s="1166" t="s">
        <v>33</v>
      </c>
      <c r="V173" s="1166" t="s">
        <v>69</v>
      </c>
      <c r="W173" s="1166" t="s">
        <v>335</v>
      </c>
      <c r="X173" s="1166" t="s">
        <v>68</v>
      </c>
      <c r="Y173" s="1166" t="s">
        <v>576</v>
      </c>
      <c r="Z173" s="1166" t="s">
        <v>343</v>
      </c>
      <c r="AA173" s="1166" t="s">
        <v>329</v>
      </c>
      <c r="AB173" s="1166" t="s">
        <v>330</v>
      </c>
      <c r="AC173" s="1167" t="str">
        <f>'TRAD-Adults YEAR(1)'!B133</f>
        <v>Patients sous traitement</v>
      </c>
      <c r="AD173" s="1167" t="str">
        <f>'TRAD-Adults YEAR(1)'!B134</f>
        <v>Patients initiés/swichés / mois</v>
      </c>
      <c r="AE173" s="1167" t="str">
        <f>'TRAD-Adults YEAR(1)'!B134</f>
        <v>Patients initiés/swichés / mois</v>
      </c>
      <c r="AF173" s="1167" t="str">
        <f>'TRAD-Adults YEAR(1)'!B135</f>
        <v>Défalcation (nb patients switchés/mois)</v>
      </c>
    </row>
    <row r="174" spans="1:32" ht="25.5" x14ac:dyDescent="0.2">
      <c r="C174" s="1165" t="str">
        <f>'TRAD-Adults YEAR(1)'!B74</f>
        <v>Nom du médicament</v>
      </c>
      <c r="D174" s="1166" t="s">
        <v>76</v>
      </c>
      <c r="E174" s="1166"/>
      <c r="F174" s="1166"/>
      <c r="G174" s="1166" t="s">
        <v>78</v>
      </c>
      <c r="H174" s="1166"/>
      <c r="I174" s="1166" t="s">
        <v>79</v>
      </c>
      <c r="J174" s="1166" t="s">
        <v>82</v>
      </c>
      <c r="K174" s="1166"/>
      <c r="L174" s="1166"/>
      <c r="M174" s="1166"/>
      <c r="N174" s="1166"/>
      <c r="O174" s="1166"/>
      <c r="P174" s="1166"/>
      <c r="Q174" s="1166"/>
      <c r="R174" s="1166"/>
      <c r="S174" s="1166"/>
      <c r="T174" s="1166"/>
      <c r="U174" s="1166"/>
      <c r="V174" s="1166"/>
      <c r="W174" s="1166"/>
      <c r="X174" s="1166"/>
      <c r="Y174" s="1166"/>
      <c r="Z174" s="1166"/>
      <c r="AA174" s="1166"/>
      <c r="AB174" s="1166"/>
      <c r="AC174" s="1168"/>
      <c r="AD174" s="1168"/>
      <c r="AE174" s="1168"/>
      <c r="AF174" s="1168"/>
    </row>
    <row r="175" spans="1:32" x14ac:dyDescent="0.2">
      <c r="C175" s="1165" t="str">
        <f>'TRAD-Adults YEAR(1)'!B75</f>
        <v>Forme galénique</v>
      </c>
      <c r="D175" s="1166" t="s">
        <v>521</v>
      </c>
      <c r="E175" s="1166" t="s">
        <v>521</v>
      </c>
      <c r="F175" s="1166" t="s">
        <v>521</v>
      </c>
      <c r="G175" s="1166" t="s">
        <v>521</v>
      </c>
      <c r="H175" s="1166" t="s">
        <v>521</v>
      </c>
      <c r="I175" s="1166" t="s">
        <v>521</v>
      </c>
      <c r="J175" s="1166" t="s">
        <v>521</v>
      </c>
      <c r="K175" s="1166" t="s">
        <v>521</v>
      </c>
      <c r="L175" s="1166" t="s">
        <v>521</v>
      </c>
      <c r="M175" s="1166" t="s">
        <v>521</v>
      </c>
      <c r="N175" s="1166" t="s">
        <v>521</v>
      </c>
      <c r="O175" s="1166" t="s">
        <v>521</v>
      </c>
      <c r="P175" s="1166" t="s">
        <v>521</v>
      </c>
      <c r="Q175" s="1166" t="s">
        <v>521</v>
      </c>
      <c r="R175" s="1166" t="s">
        <v>86</v>
      </c>
      <c r="S175" s="1166" t="s">
        <v>86</v>
      </c>
      <c r="T175" s="1166" t="s">
        <v>521</v>
      </c>
      <c r="U175" s="1166" t="s">
        <v>521</v>
      </c>
      <c r="V175" s="1166" t="s">
        <v>86</v>
      </c>
      <c r="W175" s="1166" t="s">
        <v>88</v>
      </c>
      <c r="X175" s="1166" t="s">
        <v>88</v>
      </c>
      <c r="Y175" s="1166" t="s">
        <v>599</v>
      </c>
      <c r="Z175" s="1166" t="s">
        <v>521</v>
      </c>
      <c r="AA175" s="1166" t="s">
        <v>521</v>
      </c>
      <c r="AB175" s="1166" t="s">
        <v>521</v>
      </c>
      <c r="AC175" s="1168"/>
      <c r="AD175" s="1168"/>
      <c r="AE175" s="1168"/>
      <c r="AF175" s="1168"/>
    </row>
    <row r="176" spans="1:32" x14ac:dyDescent="0.2">
      <c r="C176" s="1165" t="str">
        <f>'TRAD-Adults YEAR(1)'!B76</f>
        <v>Dosage</v>
      </c>
      <c r="D176" s="1173" t="s">
        <v>9</v>
      </c>
      <c r="E176" s="1173" t="s">
        <v>334</v>
      </c>
      <c r="F176" s="1173" t="s">
        <v>734</v>
      </c>
      <c r="G176" s="1173" t="s">
        <v>12</v>
      </c>
      <c r="H176" s="1173" t="s">
        <v>649</v>
      </c>
      <c r="I176" s="1173" t="s">
        <v>80</v>
      </c>
      <c r="J176" s="1173" t="s">
        <v>83</v>
      </c>
      <c r="K176" s="1173" t="s">
        <v>244</v>
      </c>
      <c r="L176" s="1173" t="s">
        <v>24</v>
      </c>
      <c r="M176" s="1173" t="s">
        <v>18</v>
      </c>
      <c r="N176" s="1173" t="s">
        <v>20</v>
      </c>
      <c r="O176" s="1173" t="s">
        <v>23</v>
      </c>
      <c r="P176" s="1173" t="s">
        <v>16</v>
      </c>
      <c r="Q176" s="1173" t="s">
        <v>23</v>
      </c>
      <c r="R176" s="1173" t="s">
        <v>29</v>
      </c>
      <c r="S176" s="1173" t="s">
        <v>32</v>
      </c>
      <c r="T176" s="1173" t="s">
        <v>23</v>
      </c>
      <c r="U176" s="1173" t="s">
        <v>34</v>
      </c>
      <c r="V176" s="1173" t="s">
        <v>32</v>
      </c>
      <c r="W176" s="1173" t="s">
        <v>89</v>
      </c>
      <c r="X176" s="1173" t="s">
        <v>20</v>
      </c>
      <c r="Y176" s="1173" t="s">
        <v>577</v>
      </c>
      <c r="Z176" s="1173" t="s">
        <v>18</v>
      </c>
      <c r="AA176" s="1173" t="s">
        <v>32</v>
      </c>
      <c r="AB176" s="1173" t="s">
        <v>89</v>
      </c>
      <c r="AC176" s="1169"/>
      <c r="AD176" s="1169"/>
      <c r="AE176" s="1169"/>
      <c r="AF176" s="1169"/>
    </row>
    <row r="177" spans="2:32" ht="25.5" x14ac:dyDescent="0.2">
      <c r="C177" s="1165" t="str">
        <f>'TRAD-Adults YEAR(1)'!B77</f>
        <v>Nb cdt/mois/patient</v>
      </c>
      <c r="D177" s="1182">
        <f>'Data &amp; hypothesis Adults'!$K$228</f>
        <v>1</v>
      </c>
      <c r="E177" s="1182">
        <f>'Data &amp; hypothesis Adults'!$K$229</f>
        <v>1</v>
      </c>
      <c r="F177" s="1182">
        <f>'Data &amp; hypothesis Adults'!$K$230</f>
        <v>1</v>
      </c>
      <c r="G177" s="1182">
        <f>'Data &amp; hypothesis Adults'!$K$231</f>
        <v>1</v>
      </c>
      <c r="H177" s="1182">
        <f>'Data &amp; hypothesis Adults'!$K$232</f>
        <v>1</v>
      </c>
      <c r="I177" s="1182">
        <f>'Data &amp; hypothesis Adults'!$K$233</f>
        <v>1</v>
      </c>
      <c r="J177" s="1182">
        <f>'Data &amp; hypothesis Adults'!$K$234</f>
        <v>1</v>
      </c>
      <c r="K177" s="1182">
        <f>'Data &amp; hypothesis Adults'!$K$235</f>
        <v>1</v>
      </c>
      <c r="L177" s="1182">
        <f>'Data &amp; hypothesis Adults'!$K$236</f>
        <v>1</v>
      </c>
      <c r="M177" s="1182">
        <f>'Data &amp; hypothesis Adults'!$K$237</f>
        <v>1</v>
      </c>
      <c r="N177" s="1182">
        <f>'Data &amp; hypothesis Adults'!$K$238</f>
        <v>1</v>
      </c>
      <c r="O177" s="1182">
        <f>'Data &amp; hypothesis Adults'!$K$239</f>
        <v>1</v>
      </c>
      <c r="P177" s="1182">
        <f>'Data &amp; hypothesis Adults'!$K$240</f>
        <v>1</v>
      </c>
      <c r="Q177" s="1182">
        <f>'Data &amp; hypothesis Adults'!$K$241</f>
        <v>1</v>
      </c>
      <c r="R177" s="1182">
        <f>'Data &amp; hypothesis Adults'!$K$242</f>
        <v>1</v>
      </c>
      <c r="S177" s="1182">
        <f>'Data &amp; hypothesis Adults'!$K$243</f>
        <v>1</v>
      </c>
      <c r="T177" s="1182">
        <f>'Data &amp; hypothesis Adults'!$K$244</f>
        <v>1</v>
      </c>
      <c r="U177" s="1182">
        <f>'Data &amp; hypothesis Adults'!$K$245</f>
        <v>1</v>
      </c>
      <c r="V177" s="1182">
        <f>'Data &amp; hypothesis Adults'!$K$246</f>
        <v>0.66666666666666663</v>
      </c>
      <c r="W177" s="1182">
        <f>'Data &amp; hypothesis Adults'!$K$247</f>
        <v>0.7142857142857143</v>
      </c>
      <c r="X177" s="1182">
        <f>'Data &amp; hypothesis Adults'!$K$248</f>
        <v>1</v>
      </c>
      <c r="Y177" s="1182">
        <f>'Data &amp; hypothesis Adults'!$K$249</f>
        <v>1</v>
      </c>
      <c r="Z177" s="1182">
        <f>'Data &amp; hypothesis Adults'!$K$250</f>
        <v>1</v>
      </c>
      <c r="AA177" s="1182">
        <f>'Data &amp; hypothesis Adults'!$K$251</f>
        <v>1</v>
      </c>
      <c r="AB177" s="1182">
        <f>'Data &amp; hypothesis Adults'!$K$252</f>
        <v>1</v>
      </c>
      <c r="AC177" s="1169"/>
      <c r="AD177" s="1169"/>
      <c r="AE177" s="1169"/>
      <c r="AF177" s="1169"/>
    </row>
    <row r="178" spans="2:32" ht="38.25" x14ac:dyDescent="0.2">
      <c r="C178" s="1165" t="str">
        <f>'TRAD-Adults YEAR(1)'!B78</f>
        <v>Répartitions spécifiques (DDI, 3ème ligne)</v>
      </c>
      <c r="D178" s="1183"/>
      <c r="E178" s="1183"/>
      <c r="F178" s="1183"/>
      <c r="G178" s="1183"/>
      <c r="H178" s="1183"/>
      <c r="I178" s="1183"/>
      <c r="J178" s="1183"/>
      <c r="K178" s="1183"/>
      <c r="L178" s="1183"/>
      <c r="M178" s="1183"/>
      <c r="N178" s="1183"/>
      <c r="O178" s="1183"/>
      <c r="P178" s="1183"/>
      <c r="Q178" s="1183"/>
      <c r="R178" s="1184">
        <f>'Data &amp; hypothesis Adults'!D168</f>
        <v>0</v>
      </c>
      <c r="S178" s="1184">
        <f>'Data &amp; hypothesis Adults'!D169</f>
        <v>1</v>
      </c>
      <c r="T178" s="1183"/>
      <c r="U178" s="1183"/>
      <c r="V178" s="1185"/>
      <c r="W178" s="1185"/>
      <c r="X178" s="1185"/>
      <c r="Y178" s="1185"/>
      <c r="Z178" s="1185"/>
      <c r="AA178" s="1185"/>
      <c r="AB178" s="1185"/>
      <c r="AC178" s="1169"/>
      <c r="AD178" s="1169"/>
      <c r="AE178" s="1169"/>
      <c r="AF178" s="1169"/>
    </row>
    <row r="179" spans="2:32" ht="38.25" x14ac:dyDescent="0.2">
      <c r="C179" s="1165" t="str">
        <f>'TRAD-Adults YEAR(1)'!B79</f>
        <v>Répartitions spécifiques 3ème ligne</v>
      </c>
      <c r="D179" s="1183"/>
      <c r="E179" s="1183"/>
      <c r="F179" s="1183"/>
      <c r="G179" s="1183"/>
      <c r="H179" s="1183"/>
      <c r="I179" s="1183"/>
      <c r="J179" s="1183"/>
      <c r="K179" s="1183"/>
      <c r="L179" s="1183">
        <f>'Data &amp; hypothesis Adults'!D147</f>
        <v>0</v>
      </c>
      <c r="M179" s="1183"/>
      <c r="N179" s="1183"/>
      <c r="O179" s="1183"/>
      <c r="P179" s="1183">
        <f>'Data &amp; hypothesis Adults'!D146</f>
        <v>0</v>
      </c>
      <c r="Q179" s="1183">
        <f>'Data &amp; hypothesis Adults'!D144</f>
        <v>0</v>
      </c>
      <c r="R179" s="1184">
        <f>'Data &amp; hypothesis Adults'!D145</f>
        <v>0</v>
      </c>
      <c r="S179" s="1184">
        <f>'Data &amp; hypothesis Adults'!D145</f>
        <v>0</v>
      </c>
      <c r="T179" s="1183"/>
      <c r="U179" s="1183"/>
      <c r="V179" s="1183">
        <f>'Data &amp; hypothesis Adults'!D148</f>
        <v>0</v>
      </c>
      <c r="W179" s="1183">
        <f>V179+X179+Z179</f>
        <v>0</v>
      </c>
      <c r="X179" s="1183">
        <f>'Data &amp; hypothesis Adults'!D149</f>
        <v>0</v>
      </c>
      <c r="Y179" s="1183">
        <f>'Data &amp; hypothesis Adults'!D150</f>
        <v>0</v>
      </c>
      <c r="Z179" s="1183">
        <f>'Data &amp; hypothesis Adults'!D151</f>
        <v>0</v>
      </c>
      <c r="AA179" s="1183">
        <f>'Data &amp; hypothesis Adults'!D152</f>
        <v>0</v>
      </c>
      <c r="AB179" s="1183">
        <f>'Data &amp; hypothesis Adults'!D153</f>
        <v>0</v>
      </c>
      <c r="AC179" s="1169"/>
      <c r="AD179" s="1169"/>
      <c r="AE179" s="1169"/>
      <c r="AF179" s="1169"/>
    </row>
    <row r="180" spans="2:32" x14ac:dyDescent="0.2">
      <c r="B180" s="1172"/>
      <c r="C180" s="1610" t="str">
        <f>'TRAD-Adults YEAR(1)'!B7</f>
        <v>Schémas</v>
      </c>
      <c r="D180" s="1172"/>
      <c r="E180" s="1172"/>
      <c r="F180" s="1172"/>
      <c r="G180" s="1172"/>
      <c r="H180" s="1172"/>
      <c r="I180" s="1172"/>
      <c r="J180" s="1172"/>
      <c r="K180" s="1172"/>
      <c r="L180" s="1172"/>
      <c r="M180" s="1172"/>
      <c r="N180" s="1172"/>
      <c r="O180" s="1172"/>
      <c r="P180" s="1172"/>
      <c r="Q180" s="1172"/>
      <c r="R180" s="1179"/>
      <c r="S180" s="1179"/>
      <c r="T180" s="1172"/>
      <c r="U180" s="1172"/>
      <c r="V180" s="1172"/>
      <c r="W180" s="1172"/>
      <c r="X180" s="1172"/>
      <c r="Y180" s="1172"/>
      <c r="Z180" s="1172"/>
      <c r="AA180" s="1172"/>
      <c r="AB180" s="1172"/>
      <c r="AC180" s="1172"/>
      <c r="AD180" s="1172"/>
      <c r="AE180" s="1172"/>
      <c r="AF180" s="1172"/>
    </row>
    <row r="181" spans="2:32" ht="15" x14ac:dyDescent="0.25">
      <c r="B181" s="1174" t="str">
        <f>'TRAD-Adults YEAR(1)'!B10</f>
        <v>1ères lignes</v>
      </c>
      <c r="C181" s="1166" t="str">
        <f>C10</f>
        <v>AZT+3TC+NVP</v>
      </c>
      <c r="D181" s="1175" t="str">
        <f>'Data &amp; hypothesis Adults'!E200</f>
        <v>X</v>
      </c>
      <c r="E181" s="1175">
        <f>'Data &amp; hypothesis Adults'!F200</f>
        <v>0</v>
      </c>
      <c r="F181" s="1175">
        <f>'Data &amp; hypothesis Adults'!G200</f>
        <v>0</v>
      </c>
      <c r="G181" s="1175">
        <f>'Data &amp; hypothesis Adults'!H200</f>
        <v>0</v>
      </c>
      <c r="H181" s="1175">
        <f>'Data &amp; hypothesis Adults'!I200</f>
        <v>0</v>
      </c>
      <c r="I181" s="1175">
        <f>'Data &amp; hypothesis Adults'!J200</f>
        <v>0</v>
      </c>
      <c r="J181" s="1175">
        <f>'Data &amp; hypothesis Adults'!K200</f>
        <v>0</v>
      </c>
      <c r="K181" s="1175">
        <f>'Data &amp; hypothesis Adults'!L200</f>
        <v>0</v>
      </c>
      <c r="L181" s="1175">
        <f>'Data &amp; hypothesis Adults'!M200</f>
        <v>0</v>
      </c>
      <c r="M181" s="1175">
        <f>'Data &amp; hypothesis Adults'!N200</f>
        <v>0</v>
      </c>
      <c r="N181" s="1175">
        <f>'Data &amp; hypothesis Adults'!O200</f>
        <v>0</v>
      </c>
      <c r="O181" s="1175">
        <f>'Data &amp; hypothesis Adults'!P200</f>
        <v>0</v>
      </c>
      <c r="P181" s="1175">
        <f>'Data &amp; hypothesis Adults'!Q200</f>
        <v>0</v>
      </c>
      <c r="Q181" s="1175">
        <f>'Data &amp; hypothesis Adults'!R200</f>
        <v>0</v>
      </c>
      <c r="R181" s="1175">
        <f>'Data &amp; hypothesis Adults'!S200</f>
        <v>0</v>
      </c>
      <c r="S181" s="1175">
        <f>'Data &amp; hypothesis Adults'!T200</f>
        <v>0</v>
      </c>
      <c r="T181" s="1175">
        <f>'Data &amp; hypothesis Adults'!U200</f>
        <v>0</v>
      </c>
      <c r="U181" s="1175">
        <f>'Data &amp; hypothesis Adults'!V200</f>
        <v>0</v>
      </c>
      <c r="V181" s="1175">
        <f>'Data &amp; hypothesis Adults'!W200</f>
        <v>0</v>
      </c>
      <c r="W181" s="1175">
        <f>'Data &amp; hypothesis Adults'!X200</f>
        <v>0</v>
      </c>
      <c r="X181" s="1175">
        <f>'Data &amp; hypothesis Adults'!Y200</f>
        <v>0</v>
      </c>
      <c r="Y181" s="1175">
        <f>'Data &amp; hypothesis Adults'!Z200</f>
        <v>0</v>
      </c>
      <c r="Z181" s="1175">
        <f>'Data &amp; hypothesis Adults'!AA200</f>
        <v>0</v>
      </c>
      <c r="AA181" s="1175">
        <f>'Data &amp; hypothesis Adults'!AB200</f>
        <v>0</v>
      </c>
      <c r="AB181" s="1175">
        <f>'Data &amp; hypothesis Adults'!AC200</f>
        <v>0</v>
      </c>
      <c r="AC181" s="1177">
        <f t="shared" ref="AC181:AC194" si="58">D10</f>
        <v>10536.424547798304</v>
      </c>
      <c r="AD181" s="1172">
        <f>E39</f>
        <v>0</v>
      </c>
      <c r="AE181" s="1192"/>
      <c r="AF181" s="1199" t="e">
        <f>-F110/$D$6</f>
        <v>#DIV/0!</v>
      </c>
    </row>
    <row r="182" spans="2:32" ht="15" x14ac:dyDescent="0.25">
      <c r="B182" s="1174"/>
      <c r="C182" s="1166" t="str">
        <f t="shared" ref="C182:C197" si="59">C11</f>
        <v>AZT+3TC+EFV</v>
      </c>
      <c r="D182" s="1175">
        <f>'Data &amp; hypothesis Adults'!E201</f>
        <v>0</v>
      </c>
      <c r="E182" s="1175">
        <f>'Data &amp; hypothesis Adults'!F201</f>
        <v>0</v>
      </c>
      <c r="F182" s="1175">
        <f>'Data &amp; hypothesis Adults'!G201</f>
        <v>0</v>
      </c>
      <c r="G182" s="1175" t="str">
        <f>'Data &amp; hypothesis Adults'!H201</f>
        <v>X</v>
      </c>
      <c r="H182" s="1175">
        <f>'Data &amp; hypothesis Adults'!I201</f>
        <v>0</v>
      </c>
      <c r="I182" s="1175">
        <f>'Data &amp; hypothesis Adults'!J201</f>
        <v>0</v>
      </c>
      <c r="J182" s="1175">
        <f>'Data &amp; hypothesis Adults'!K201</f>
        <v>0</v>
      </c>
      <c r="K182" s="1175">
        <f>'Data &amp; hypothesis Adults'!L201</f>
        <v>0</v>
      </c>
      <c r="L182" s="1175">
        <f>'Data &amp; hypothesis Adults'!M201</f>
        <v>0</v>
      </c>
      <c r="M182" s="1175" t="str">
        <f>'Data &amp; hypothesis Adults'!N201</f>
        <v>X</v>
      </c>
      <c r="N182" s="1175">
        <f>'Data &amp; hypothesis Adults'!O201</f>
        <v>0</v>
      </c>
      <c r="O182" s="1175">
        <f>'Data &amp; hypothesis Adults'!P201</f>
        <v>0</v>
      </c>
      <c r="P182" s="1175">
        <f>'Data &amp; hypothesis Adults'!Q201</f>
        <v>0</v>
      </c>
      <c r="Q182" s="1175">
        <f>'Data &amp; hypothesis Adults'!R201</f>
        <v>0</v>
      </c>
      <c r="R182" s="1175">
        <f>'Data &amp; hypothesis Adults'!S201</f>
        <v>0</v>
      </c>
      <c r="S182" s="1175">
        <f>'Data &amp; hypothesis Adults'!T201</f>
        <v>0</v>
      </c>
      <c r="T182" s="1175">
        <f>'Data &amp; hypothesis Adults'!U201</f>
        <v>0</v>
      </c>
      <c r="U182" s="1175">
        <f>'Data &amp; hypothesis Adults'!V201</f>
        <v>0</v>
      </c>
      <c r="V182" s="1175">
        <f>'Data &amp; hypothesis Adults'!W201</f>
        <v>0</v>
      </c>
      <c r="W182" s="1175">
        <f>'Data &amp; hypothesis Adults'!X201</f>
        <v>0</v>
      </c>
      <c r="X182" s="1175">
        <f>'Data &amp; hypothesis Adults'!Y201</f>
        <v>0</v>
      </c>
      <c r="Y182" s="1175">
        <f>'Data &amp; hypothesis Adults'!Z201</f>
        <v>0</v>
      </c>
      <c r="Z182" s="1175">
        <f>'Data &amp; hypothesis Adults'!AA201</f>
        <v>0</v>
      </c>
      <c r="AA182" s="1175">
        <f>'Data &amp; hypothesis Adults'!AB201</f>
        <v>0</v>
      </c>
      <c r="AB182" s="1175">
        <f>'Data &amp; hypothesis Adults'!AC201</f>
        <v>0</v>
      </c>
      <c r="AC182" s="1172">
        <f t="shared" si="58"/>
        <v>1360.7779809950976</v>
      </c>
      <c r="AD182" s="1172">
        <f>E40</f>
        <v>0</v>
      </c>
      <c r="AE182" s="1192"/>
      <c r="AF182" s="1199" t="e">
        <f>-F111/$D$6</f>
        <v>#DIV/0!</v>
      </c>
    </row>
    <row r="183" spans="2:32" ht="15" x14ac:dyDescent="0.25">
      <c r="B183" s="1174"/>
      <c r="C183" s="1166" t="str">
        <f t="shared" si="59"/>
        <v>AZT+3TC+ABC</v>
      </c>
      <c r="D183" s="1175">
        <f>'Data &amp; hypothesis Adults'!E202</f>
        <v>0</v>
      </c>
      <c r="E183" s="1175" t="str">
        <f>'Data &amp; hypothesis Adults'!F202</f>
        <v>X</v>
      </c>
      <c r="F183" s="1175">
        <f>'Data &amp; hypothesis Adults'!G202</f>
        <v>0</v>
      </c>
      <c r="G183" s="1175">
        <f>'Data &amp; hypothesis Adults'!H202</f>
        <v>0</v>
      </c>
      <c r="H183" s="1175">
        <f>'Data &amp; hypothesis Adults'!I202</f>
        <v>0</v>
      </c>
      <c r="I183" s="1175">
        <f>'Data &amp; hypothesis Adults'!J202</f>
        <v>0</v>
      </c>
      <c r="J183" s="1175">
        <f>'Data &amp; hypothesis Adults'!K202</f>
        <v>0</v>
      </c>
      <c r="K183" s="1175">
        <f>'Data &amp; hypothesis Adults'!L202</f>
        <v>0</v>
      </c>
      <c r="L183" s="1175">
        <f>'Data &amp; hypothesis Adults'!M202</f>
        <v>0</v>
      </c>
      <c r="M183" s="1175">
        <f>'Data &amp; hypothesis Adults'!N202</f>
        <v>0</v>
      </c>
      <c r="N183" s="1175">
        <f>'Data &amp; hypothesis Adults'!O202</f>
        <v>0</v>
      </c>
      <c r="O183" s="1175">
        <f>'Data &amp; hypothesis Adults'!P202</f>
        <v>0</v>
      </c>
      <c r="P183" s="1175">
        <f>'Data &amp; hypothesis Adults'!Q202</f>
        <v>0</v>
      </c>
      <c r="Q183" s="1175">
        <f>'Data &amp; hypothesis Adults'!R202</f>
        <v>0</v>
      </c>
      <c r="R183" s="1175">
        <f>'Data &amp; hypothesis Adults'!S202</f>
        <v>0</v>
      </c>
      <c r="S183" s="1175">
        <f>'Data &amp; hypothesis Adults'!T202</f>
        <v>0</v>
      </c>
      <c r="T183" s="1175">
        <f>'Data &amp; hypothesis Adults'!U202</f>
        <v>0</v>
      </c>
      <c r="U183" s="1175">
        <f>'Data &amp; hypothesis Adults'!V202</f>
        <v>0</v>
      </c>
      <c r="V183" s="1175">
        <f>'Data &amp; hypothesis Adults'!W202</f>
        <v>0</v>
      </c>
      <c r="W183" s="1175">
        <f>'Data &amp; hypothesis Adults'!X202</f>
        <v>0</v>
      </c>
      <c r="X183" s="1175">
        <f>'Data &amp; hypothesis Adults'!Y202</f>
        <v>0</v>
      </c>
      <c r="Y183" s="1175">
        <f>'Data &amp; hypothesis Adults'!Z202</f>
        <v>0</v>
      </c>
      <c r="Z183" s="1175">
        <f>'Data &amp; hypothesis Adults'!AA202</f>
        <v>0</v>
      </c>
      <c r="AA183" s="1175">
        <f>'Data &amp; hypothesis Adults'!AB202</f>
        <v>0</v>
      </c>
      <c r="AB183" s="1175">
        <f>'Data &amp; hypothesis Adults'!AC202</f>
        <v>0</v>
      </c>
      <c r="AC183" s="1172">
        <f t="shared" si="58"/>
        <v>76.777819580949213</v>
      </c>
      <c r="AD183" s="1172">
        <f>E41</f>
        <v>0</v>
      </c>
      <c r="AE183" s="1192"/>
      <c r="AF183" s="1199" t="e">
        <f>-F112/$D$6</f>
        <v>#DIV/0!</v>
      </c>
    </row>
    <row r="184" spans="2:32" ht="15" x14ac:dyDescent="0.25">
      <c r="B184" s="1174"/>
      <c r="C184" s="1166" t="str">
        <f t="shared" si="59"/>
        <v>AZT+3TC+LPV/r</v>
      </c>
      <c r="D184" s="1175">
        <f>'Data &amp; hypothesis Adults'!E203</f>
        <v>0</v>
      </c>
      <c r="E184" s="1175">
        <f>'Data &amp; hypothesis Adults'!F203</f>
        <v>0</v>
      </c>
      <c r="F184" s="1175">
        <f>'Data &amp; hypothesis Adults'!G203</f>
        <v>0</v>
      </c>
      <c r="G184" s="1175" t="str">
        <f>'Data &amp; hypothesis Adults'!H203</f>
        <v>X</v>
      </c>
      <c r="H184" s="1175">
        <f>'Data &amp; hypothesis Adults'!I203</f>
        <v>0</v>
      </c>
      <c r="I184" s="1175">
        <f>'Data &amp; hypothesis Adults'!J203</f>
        <v>0</v>
      </c>
      <c r="J184" s="1175">
        <f>'Data &amp; hypothesis Adults'!K203</f>
        <v>0</v>
      </c>
      <c r="K184" s="1175">
        <f>'Data &amp; hypothesis Adults'!L203</f>
        <v>0</v>
      </c>
      <c r="L184" s="1175">
        <f>'Data &amp; hypothesis Adults'!M203</f>
        <v>0</v>
      </c>
      <c r="M184" s="1175">
        <f>'Data &amp; hypothesis Adults'!N203</f>
        <v>0</v>
      </c>
      <c r="N184" s="1175">
        <f>'Data &amp; hypothesis Adults'!O203</f>
        <v>0</v>
      </c>
      <c r="O184" s="1175">
        <f>'Data &amp; hypothesis Adults'!P203</f>
        <v>0</v>
      </c>
      <c r="P184" s="1175">
        <f>'Data &amp; hypothesis Adults'!Q203</f>
        <v>0</v>
      </c>
      <c r="Q184" s="1175">
        <f>'Data &amp; hypothesis Adults'!R203</f>
        <v>0</v>
      </c>
      <c r="R184" s="1175">
        <f>'Data &amp; hypothesis Adults'!S203</f>
        <v>0</v>
      </c>
      <c r="S184" s="1175">
        <f>'Data &amp; hypothesis Adults'!T203</f>
        <v>0</v>
      </c>
      <c r="T184" s="1175">
        <f>'Data &amp; hypothesis Adults'!U203</f>
        <v>0</v>
      </c>
      <c r="U184" s="1175" t="str">
        <f>'Data &amp; hypothesis Adults'!V203</f>
        <v>X</v>
      </c>
      <c r="V184" s="1175">
        <f>'Data &amp; hypothesis Adults'!W203</f>
        <v>0</v>
      </c>
      <c r="W184" s="1175">
        <f>'Data &amp; hypothesis Adults'!X203</f>
        <v>0</v>
      </c>
      <c r="X184" s="1175">
        <f>'Data &amp; hypothesis Adults'!Y203</f>
        <v>0</v>
      </c>
      <c r="Y184" s="1175">
        <f>'Data &amp; hypothesis Adults'!Z203</f>
        <v>0</v>
      </c>
      <c r="Z184" s="1175">
        <f>'Data &amp; hypothesis Adults'!AA203</f>
        <v>0</v>
      </c>
      <c r="AA184" s="1175">
        <f>'Data &amp; hypothesis Adults'!AB203</f>
        <v>0</v>
      </c>
      <c r="AB184" s="1175">
        <f>'Data &amp; hypothesis Adults'!AC203</f>
        <v>0</v>
      </c>
      <c r="AC184" s="1172">
        <f t="shared" si="58"/>
        <v>673.98578722174659</v>
      </c>
      <c r="AD184" s="1172">
        <f>E42</f>
        <v>0</v>
      </c>
      <c r="AE184" s="1192"/>
      <c r="AF184" s="1199" t="e">
        <f>-F113/$D$6</f>
        <v>#DIV/0!</v>
      </c>
    </row>
    <row r="185" spans="2:32" ht="15" x14ac:dyDescent="0.25">
      <c r="B185" s="1174"/>
      <c r="C185" s="1166" t="str">
        <f t="shared" si="59"/>
        <v>ABC+3TC+EFV</v>
      </c>
      <c r="D185" s="1175">
        <f>'Data &amp; hypothesis Adults'!E204</f>
        <v>0</v>
      </c>
      <c r="E185" s="1175">
        <f>'Data &amp; hypothesis Adults'!F204</f>
        <v>0</v>
      </c>
      <c r="F185" s="1175">
        <f>'Data &amp; hypothesis Adults'!G204</f>
        <v>0</v>
      </c>
      <c r="G185" s="1175">
        <f>'Data &amp; hypothesis Adults'!H204</f>
        <v>0</v>
      </c>
      <c r="H185" s="1175" t="str">
        <f>'Data &amp; hypothesis Adults'!I204</f>
        <v>X</v>
      </c>
      <c r="I185" s="1175">
        <f>'Data &amp; hypothesis Adults'!J204</f>
        <v>0</v>
      </c>
      <c r="J185" s="1175">
        <f>'Data &amp; hypothesis Adults'!K204</f>
        <v>0</v>
      </c>
      <c r="K185" s="1175">
        <f>'Data &amp; hypothesis Adults'!L204</f>
        <v>0</v>
      </c>
      <c r="L185" s="1175">
        <f>'Data &amp; hypothesis Adults'!M204</f>
        <v>0</v>
      </c>
      <c r="M185" s="1175" t="str">
        <f>'Data &amp; hypothesis Adults'!N204</f>
        <v>X</v>
      </c>
      <c r="N185" s="1175">
        <f>'Data &amp; hypothesis Adults'!O204</f>
        <v>0</v>
      </c>
      <c r="O185" s="1175">
        <f>'Data &amp; hypothesis Adults'!P204</f>
        <v>0</v>
      </c>
      <c r="P185" s="1175">
        <f>'Data &amp; hypothesis Adults'!Q204</f>
        <v>0</v>
      </c>
      <c r="Q185" s="1175">
        <f>'Data &amp; hypothesis Adults'!R204</f>
        <v>0</v>
      </c>
      <c r="R185" s="1175">
        <f>'Data &amp; hypothesis Adults'!S204</f>
        <v>0</v>
      </c>
      <c r="S185" s="1175">
        <f>'Data &amp; hypothesis Adults'!T204</f>
        <v>0</v>
      </c>
      <c r="T185" s="1175">
        <f>'Data &amp; hypothesis Adults'!U204</f>
        <v>0</v>
      </c>
      <c r="U185" s="1175">
        <f>'Data &amp; hypothesis Adults'!V204</f>
        <v>0</v>
      </c>
      <c r="V185" s="1175">
        <f>'Data &amp; hypothesis Adults'!W204</f>
        <v>0</v>
      </c>
      <c r="W185" s="1175">
        <f>'Data &amp; hypothesis Adults'!X204</f>
        <v>0</v>
      </c>
      <c r="X185" s="1175">
        <f>'Data &amp; hypothesis Adults'!Y204</f>
        <v>0</v>
      </c>
      <c r="Y185" s="1175">
        <f>'Data &amp; hypothesis Adults'!Z204</f>
        <v>0</v>
      </c>
      <c r="Z185" s="1175">
        <f>'Data &amp; hypothesis Adults'!AA204</f>
        <v>0</v>
      </c>
      <c r="AA185" s="1175">
        <f>'Data &amp; hypothesis Adults'!AB204</f>
        <v>0</v>
      </c>
      <c r="AB185" s="1175">
        <f>'Data &amp; hypothesis Adults'!AC204</f>
        <v>0</v>
      </c>
      <c r="AC185" s="1172">
        <f t="shared" si="58"/>
        <v>42.657711974342675</v>
      </c>
      <c r="AD185" s="1172">
        <f>E43</f>
        <v>0</v>
      </c>
      <c r="AE185" s="1192"/>
      <c r="AF185" s="1199" t="e">
        <f>-F114/$D$6</f>
        <v>#DIV/0!</v>
      </c>
    </row>
    <row r="186" spans="2:32" ht="15" x14ac:dyDescent="0.25">
      <c r="B186" s="1174"/>
      <c r="C186" s="1166" t="str">
        <f t="shared" si="59"/>
        <v>TDF+FTC/3TC+EFV</v>
      </c>
      <c r="D186" s="1175">
        <f>'Data &amp; hypothesis Adults'!E205</f>
        <v>0</v>
      </c>
      <c r="E186" s="1175">
        <f>'Data &amp; hypothesis Adults'!F205</f>
        <v>0</v>
      </c>
      <c r="F186" s="1175">
        <f>'Data &amp; hypothesis Adults'!G205</f>
        <v>0</v>
      </c>
      <c r="G186" s="1175">
        <f>'Data &amp; hypothesis Adults'!H205</f>
        <v>0</v>
      </c>
      <c r="H186" s="1175">
        <f>'Data &amp; hypothesis Adults'!I205</f>
        <v>0</v>
      </c>
      <c r="I186" s="1175">
        <f>'Data &amp; hypothesis Adults'!J205</f>
        <v>0</v>
      </c>
      <c r="J186" s="1175">
        <f>'Data &amp; hypothesis Adults'!K205</f>
        <v>0</v>
      </c>
      <c r="K186" s="1175" t="str">
        <f>'Data &amp; hypothesis Adults'!L205</f>
        <v>X</v>
      </c>
      <c r="L186" s="1175">
        <f>'Data &amp; hypothesis Adults'!M205</f>
        <v>0</v>
      </c>
      <c r="M186" s="1175">
        <f>'Data &amp; hypothesis Adults'!N205</f>
        <v>0</v>
      </c>
      <c r="N186" s="1175">
        <f>'Data &amp; hypothesis Adults'!O205</f>
        <v>0</v>
      </c>
      <c r="O186" s="1175">
        <f>'Data &amp; hypothesis Adults'!P205</f>
        <v>0</v>
      </c>
      <c r="P186" s="1175">
        <f>'Data &amp; hypothesis Adults'!Q205</f>
        <v>0</v>
      </c>
      <c r="Q186" s="1175">
        <f>'Data &amp; hypothesis Adults'!R205</f>
        <v>0</v>
      </c>
      <c r="R186" s="1175">
        <f>'Data &amp; hypothesis Adults'!S205</f>
        <v>0</v>
      </c>
      <c r="S186" s="1175">
        <f>'Data &amp; hypothesis Adults'!T205</f>
        <v>0</v>
      </c>
      <c r="T186" s="1175">
        <f>'Data &amp; hypothesis Adults'!U205</f>
        <v>0</v>
      </c>
      <c r="U186" s="1175">
        <f>'Data &amp; hypothesis Adults'!V205</f>
        <v>0</v>
      </c>
      <c r="V186" s="1175">
        <f>'Data &amp; hypothesis Adults'!W205</f>
        <v>0</v>
      </c>
      <c r="W186" s="1175">
        <f>'Data &amp; hypothesis Adults'!X205</f>
        <v>0</v>
      </c>
      <c r="X186" s="1175">
        <f>'Data &amp; hypothesis Adults'!Y205</f>
        <v>0</v>
      </c>
      <c r="Y186" s="1175">
        <f>'Data &amp; hypothesis Adults'!Z205</f>
        <v>0</v>
      </c>
      <c r="Z186" s="1175">
        <f>'Data &amp; hypothesis Adults'!AA205</f>
        <v>0</v>
      </c>
      <c r="AA186" s="1175">
        <f>'Data &amp; hypothesis Adults'!AB205</f>
        <v>0</v>
      </c>
      <c r="AB186" s="1175">
        <f>'Data &amp; hypothesis Adults'!AC205</f>
        <v>0</v>
      </c>
      <c r="AC186" s="1172">
        <f t="shared" si="58"/>
        <v>5869.1434661657331</v>
      </c>
      <c r="AD186" s="1172">
        <f t="shared" ref="AD186:AD187" si="60">E44</f>
        <v>0</v>
      </c>
      <c r="AE186" s="1192"/>
      <c r="AF186" s="1199" t="e">
        <f t="shared" ref="AF186:AF190" si="61">-F115/$D$6</f>
        <v>#DIV/0!</v>
      </c>
    </row>
    <row r="187" spans="2:32" ht="15" x14ac:dyDescent="0.25">
      <c r="B187" s="1174"/>
      <c r="C187" s="1166" t="str">
        <f t="shared" si="59"/>
        <v>TDF+FTC/3TC+LPV/r</v>
      </c>
      <c r="D187" s="1175">
        <f>'Data &amp; hypothesis Adults'!E206</f>
        <v>0</v>
      </c>
      <c r="E187" s="1175">
        <f>'Data &amp; hypothesis Adults'!F206</f>
        <v>0</v>
      </c>
      <c r="F187" s="1175">
        <f>'Data &amp; hypothesis Adults'!G206</f>
        <v>0</v>
      </c>
      <c r="G187" s="1175">
        <f>'Data &amp; hypothesis Adults'!H206</f>
        <v>0</v>
      </c>
      <c r="H187" s="1175">
        <f>'Data &amp; hypothesis Adults'!I206</f>
        <v>0</v>
      </c>
      <c r="I187" s="1175">
        <f>'Data &amp; hypothesis Adults'!J206</f>
        <v>0</v>
      </c>
      <c r="J187" s="1175">
        <f>'Data &amp; hypothesis Adults'!K206</f>
        <v>0</v>
      </c>
      <c r="K187" s="1175">
        <f>'Data &amp; hypothesis Adults'!L206</f>
        <v>0</v>
      </c>
      <c r="L187" s="1175" t="str">
        <f>'Data &amp; hypothesis Adults'!M206</f>
        <v>X</v>
      </c>
      <c r="M187" s="1175">
        <f>'Data &amp; hypothesis Adults'!N206</f>
        <v>0</v>
      </c>
      <c r="N187" s="1175">
        <f>'Data &amp; hypothesis Adults'!O206</f>
        <v>0</v>
      </c>
      <c r="O187" s="1175">
        <f>'Data &amp; hypothesis Adults'!P206</f>
        <v>0</v>
      </c>
      <c r="P187" s="1175">
        <f>'Data &amp; hypothesis Adults'!Q206</f>
        <v>0</v>
      </c>
      <c r="Q187" s="1175">
        <f>'Data &amp; hypothesis Adults'!R206</f>
        <v>0</v>
      </c>
      <c r="R187" s="1175">
        <f>'Data &amp; hypothesis Adults'!S206</f>
        <v>0</v>
      </c>
      <c r="S187" s="1175">
        <f>'Data &amp; hypothesis Adults'!T206</f>
        <v>0</v>
      </c>
      <c r="T187" s="1175">
        <f>'Data &amp; hypothesis Adults'!U206</f>
        <v>0</v>
      </c>
      <c r="U187" s="1175" t="str">
        <f>'Data &amp; hypothesis Adults'!V206</f>
        <v>X</v>
      </c>
      <c r="V187" s="1175">
        <f>'Data &amp; hypothesis Adults'!W206</f>
        <v>0</v>
      </c>
      <c r="W187" s="1175">
        <f>'Data &amp; hypothesis Adults'!X206</f>
        <v>0</v>
      </c>
      <c r="X187" s="1175">
        <f>'Data &amp; hypothesis Adults'!Y206</f>
        <v>0</v>
      </c>
      <c r="Y187" s="1175">
        <f>'Data &amp; hypothesis Adults'!Z206</f>
        <v>0</v>
      </c>
      <c r="Z187" s="1175">
        <f>'Data &amp; hypothesis Adults'!AA206</f>
        <v>0</v>
      </c>
      <c r="AA187" s="1175">
        <f>'Data &amp; hypothesis Adults'!AB206</f>
        <v>0</v>
      </c>
      <c r="AB187" s="1175">
        <f>'Data &amp; hypothesis Adults'!AC206</f>
        <v>0</v>
      </c>
      <c r="AC187" s="1172">
        <f t="shared" si="58"/>
        <v>0</v>
      </c>
      <c r="AD187" s="1172">
        <f t="shared" si="60"/>
        <v>0</v>
      </c>
      <c r="AE187" s="1192"/>
      <c r="AF187" s="1199" t="e">
        <f t="shared" si="61"/>
        <v>#DIV/0!</v>
      </c>
    </row>
    <row r="188" spans="2:32" ht="15" x14ac:dyDescent="0.25">
      <c r="B188" s="1174"/>
      <c r="C188" s="1166" t="str">
        <f t="shared" si="59"/>
        <v>ABC+3TC+LPV/r</v>
      </c>
      <c r="D188" s="1175">
        <f>'Data &amp; hypothesis Adults'!E207</f>
        <v>0</v>
      </c>
      <c r="E188" s="1175">
        <f>'Data &amp; hypothesis Adults'!F207</f>
        <v>0</v>
      </c>
      <c r="F188" s="1175">
        <f>'Data &amp; hypothesis Adults'!G207</f>
        <v>0</v>
      </c>
      <c r="G188" s="1175">
        <f>'Data &amp; hypothesis Adults'!H207</f>
        <v>0</v>
      </c>
      <c r="H188" s="1175" t="str">
        <f>'Data &amp; hypothesis Adults'!I207</f>
        <v>X</v>
      </c>
      <c r="I188" s="1175">
        <f>'Data &amp; hypothesis Adults'!J207</f>
        <v>0</v>
      </c>
      <c r="J188" s="1175">
        <f>'Data &amp; hypothesis Adults'!K207</f>
        <v>0</v>
      </c>
      <c r="K188" s="1175">
        <f>'Data &amp; hypothesis Adults'!L207</f>
        <v>0</v>
      </c>
      <c r="L188" s="1175">
        <f>'Data &amp; hypothesis Adults'!M207</f>
        <v>0</v>
      </c>
      <c r="M188" s="1175">
        <f>'Data &amp; hypothesis Adults'!N207</f>
        <v>0</v>
      </c>
      <c r="N188" s="1175">
        <f>'Data &amp; hypothesis Adults'!O207</f>
        <v>0</v>
      </c>
      <c r="O188" s="1175">
        <f>'Data &amp; hypothesis Adults'!P207</f>
        <v>0</v>
      </c>
      <c r="P188" s="1175">
        <f>'Data &amp; hypothesis Adults'!Q207</f>
        <v>0</v>
      </c>
      <c r="Q188" s="1175">
        <f>'Data &amp; hypothesis Adults'!R207</f>
        <v>0</v>
      </c>
      <c r="R188" s="1175">
        <f>'Data &amp; hypothesis Adults'!S207</f>
        <v>0</v>
      </c>
      <c r="S188" s="1175">
        <f>'Data &amp; hypothesis Adults'!T207</f>
        <v>0</v>
      </c>
      <c r="T188" s="1175">
        <f>'Data &amp; hypothesis Adults'!U207</f>
        <v>0</v>
      </c>
      <c r="U188" s="1175" t="str">
        <f>'Data &amp; hypothesis Adults'!V207</f>
        <v>X</v>
      </c>
      <c r="V188" s="1175">
        <f>'Data &amp; hypothesis Adults'!W207</f>
        <v>0</v>
      </c>
      <c r="W188" s="1175">
        <f>'Data &amp; hypothesis Adults'!X207</f>
        <v>0</v>
      </c>
      <c r="X188" s="1175">
        <f>'Data &amp; hypothesis Adults'!Y207</f>
        <v>0</v>
      </c>
      <c r="Y188" s="1175">
        <f>'Data &amp; hypothesis Adults'!Z207</f>
        <v>0</v>
      </c>
      <c r="Z188" s="1175">
        <f>'Data &amp; hypothesis Adults'!AA207</f>
        <v>0</v>
      </c>
      <c r="AA188" s="1175">
        <f>'Data &amp; hypothesis Adults'!AB207</f>
        <v>0</v>
      </c>
      <c r="AB188" s="1175">
        <f>'Data &amp; hypothesis Adults'!AC207</f>
        <v>0</v>
      </c>
      <c r="AC188" s="1172">
        <f t="shared" si="58"/>
        <v>24.169672465693711</v>
      </c>
      <c r="AD188" s="1192"/>
      <c r="AE188" s="1192"/>
      <c r="AF188" s="1199" t="e">
        <f t="shared" si="61"/>
        <v>#DIV/0!</v>
      </c>
    </row>
    <row r="189" spans="2:32" ht="15" x14ac:dyDescent="0.25">
      <c r="B189" s="1174"/>
      <c r="C189" s="1166" t="str">
        <f t="shared" si="59"/>
        <v>TDF+3TC/FTC+ABC</v>
      </c>
      <c r="D189" s="1175">
        <f>'Data &amp; hypothesis Adults'!E208</f>
        <v>0</v>
      </c>
      <c r="E189" s="1175">
        <f>'Data &amp; hypothesis Adults'!F208</f>
        <v>0</v>
      </c>
      <c r="F189" s="1175">
        <f>'Data &amp; hypothesis Adults'!G208</f>
        <v>0</v>
      </c>
      <c r="G189" s="1175">
        <f>'Data &amp; hypothesis Adults'!H208</f>
        <v>0</v>
      </c>
      <c r="H189" s="1175">
        <f>'Data &amp; hypothesis Adults'!I208</f>
        <v>0</v>
      </c>
      <c r="I189" s="1175">
        <f>'Data &amp; hypothesis Adults'!J208</f>
        <v>0</v>
      </c>
      <c r="J189" s="1175">
        <f>'Data &amp; hypothesis Adults'!K208</f>
        <v>0</v>
      </c>
      <c r="K189" s="1175">
        <f>'Data &amp; hypothesis Adults'!L208</f>
        <v>0</v>
      </c>
      <c r="L189" s="1175">
        <f>'Data &amp; hypothesis Adults'!M208</f>
        <v>0</v>
      </c>
      <c r="M189" s="1175">
        <f>'Data &amp; hypothesis Adults'!N208</f>
        <v>0</v>
      </c>
      <c r="N189" s="1175">
        <f>'Data &amp; hypothesis Adults'!O208</f>
        <v>0</v>
      </c>
      <c r="O189" s="1175">
        <f>'Data &amp; hypothesis Adults'!P208</f>
        <v>0</v>
      </c>
      <c r="P189" s="1175">
        <f>'Data &amp; hypothesis Adults'!Q208</f>
        <v>0</v>
      </c>
      <c r="Q189" s="1175">
        <f>'Data &amp; hypothesis Adults'!R208</f>
        <v>0</v>
      </c>
      <c r="R189" s="1175">
        <f>'Data &amp; hypothesis Adults'!S208</f>
        <v>0</v>
      </c>
      <c r="S189" s="1175">
        <f>'Data &amp; hypothesis Adults'!T208</f>
        <v>0</v>
      </c>
      <c r="T189" s="1175">
        <f>'Data &amp; hypothesis Adults'!U208</f>
        <v>0</v>
      </c>
      <c r="U189" s="1175">
        <f>'Data &amp; hypothesis Adults'!V208</f>
        <v>0</v>
      </c>
      <c r="V189" s="1175">
        <f>'Data &amp; hypothesis Adults'!W208</f>
        <v>0</v>
      </c>
      <c r="W189" s="1175">
        <f>'Data &amp; hypothesis Adults'!X208</f>
        <v>0</v>
      </c>
      <c r="X189" s="1175">
        <f>'Data &amp; hypothesis Adults'!Y208</f>
        <v>0</v>
      </c>
      <c r="Y189" s="1175">
        <f>'Data &amp; hypothesis Adults'!Z208</f>
        <v>0</v>
      </c>
      <c r="Z189" s="1175">
        <f>'Data &amp; hypothesis Adults'!AA208</f>
        <v>0</v>
      </c>
      <c r="AA189" s="1175">
        <f>'Data &amp; hypothesis Adults'!AB208</f>
        <v>0</v>
      </c>
      <c r="AB189" s="1175">
        <f>'Data &amp; hypothesis Adults'!AC208</f>
        <v>0</v>
      </c>
      <c r="AC189" s="1172">
        <f t="shared" si="58"/>
        <v>52.608147115255498</v>
      </c>
      <c r="AD189" s="1172">
        <f>E46</f>
        <v>0</v>
      </c>
      <c r="AE189" s="1192"/>
      <c r="AF189" s="1199" t="e">
        <f t="shared" si="61"/>
        <v>#DIV/0!</v>
      </c>
    </row>
    <row r="190" spans="2:32" ht="15" x14ac:dyDescent="0.25">
      <c r="B190" s="1174"/>
      <c r="C190" s="1166">
        <f t="shared" si="59"/>
        <v>0</v>
      </c>
      <c r="D190" s="1175">
        <f>'Data &amp; hypothesis Adults'!E209</f>
        <v>0</v>
      </c>
      <c r="E190" s="1175">
        <f>'Data &amp; hypothesis Adults'!F209</f>
        <v>0</v>
      </c>
      <c r="F190" s="1175">
        <f>'Data &amp; hypothesis Adults'!G209</f>
        <v>0</v>
      </c>
      <c r="G190" s="1175">
        <f>'Data &amp; hypothesis Adults'!H209</f>
        <v>0</v>
      </c>
      <c r="H190" s="1175">
        <f>'Data &amp; hypothesis Adults'!I209</f>
        <v>0</v>
      </c>
      <c r="I190" s="1175">
        <f>'Data &amp; hypothesis Adults'!J209</f>
        <v>0</v>
      </c>
      <c r="J190" s="1175">
        <f>'Data &amp; hypothesis Adults'!K209</f>
        <v>0</v>
      </c>
      <c r="K190" s="1175">
        <f>'Data &amp; hypothesis Adults'!L209</f>
        <v>0</v>
      </c>
      <c r="L190" s="1175">
        <f>'Data &amp; hypothesis Adults'!M209</f>
        <v>0</v>
      </c>
      <c r="M190" s="1175">
        <f>'Data &amp; hypothesis Adults'!N209</f>
        <v>0</v>
      </c>
      <c r="N190" s="1175">
        <f>'Data &amp; hypothesis Adults'!O209</f>
        <v>0</v>
      </c>
      <c r="O190" s="1175">
        <f>'Data &amp; hypothesis Adults'!P209</f>
        <v>0</v>
      </c>
      <c r="P190" s="1175">
        <f>'Data &amp; hypothesis Adults'!Q209</f>
        <v>0</v>
      </c>
      <c r="Q190" s="1175">
        <f>'Data &amp; hypothesis Adults'!R209</f>
        <v>0</v>
      </c>
      <c r="R190" s="1175">
        <f>'Data &amp; hypothesis Adults'!S209</f>
        <v>0</v>
      </c>
      <c r="S190" s="1175">
        <f>'Data &amp; hypothesis Adults'!T209</f>
        <v>0</v>
      </c>
      <c r="T190" s="1175">
        <f>'Data &amp; hypothesis Adults'!U209</f>
        <v>0</v>
      </c>
      <c r="U190" s="1175">
        <f>'Data &amp; hypothesis Adults'!V209</f>
        <v>0</v>
      </c>
      <c r="V190" s="1175">
        <f>'Data &amp; hypothesis Adults'!W209</f>
        <v>0</v>
      </c>
      <c r="W190" s="1175">
        <f>'Data &amp; hypothesis Adults'!X209</f>
        <v>0</v>
      </c>
      <c r="X190" s="1175">
        <f>'Data &amp; hypothesis Adults'!Y209</f>
        <v>0</v>
      </c>
      <c r="Y190" s="1175">
        <f>'Data &amp; hypothesis Adults'!Z209</f>
        <v>0</v>
      </c>
      <c r="Z190" s="1175">
        <f>'Data &amp; hypothesis Adults'!AA209</f>
        <v>0</v>
      </c>
      <c r="AA190" s="1175">
        <f>'Data &amp; hypothesis Adults'!AB209</f>
        <v>0</v>
      </c>
      <c r="AB190" s="1175">
        <f>'Data &amp; hypothesis Adults'!AC209</f>
        <v>0</v>
      </c>
      <c r="AC190" s="1172">
        <f t="shared" si="58"/>
        <v>0</v>
      </c>
      <c r="AD190" s="1172">
        <f>E48</f>
        <v>0</v>
      </c>
      <c r="AE190" s="1192"/>
      <c r="AF190" s="1199" t="e">
        <f t="shared" si="61"/>
        <v>#DIV/0!</v>
      </c>
    </row>
    <row r="191" spans="2:32" ht="15" x14ac:dyDescent="0.25">
      <c r="B191" s="1174" t="str">
        <f>'TRAD-Adults YEAR(1)'!B11</f>
        <v>2èmes lignes</v>
      </c>
      <c r="C191" s="1166" t="str">
        <f t="shared" si="59"/>
        <v>TDF+FTC/3TC+LPV/r</v>
      </c>
      <c r="D191" s="1175">
        <f>'Data &amp; hypothesis Adults'!E210</f>
        <v>0</v>
      </c>
      <c r="E191" s="1175">
        <f>'Data &amp; hypothesis Adults'!F210</f>
        <v>0</v>
      </c>
      <c r="F191" s="1175">
        <f>'Data &amp; hypothesis Adults'!G210</f>
        <v>0</v>
      </c>
      <c r="G191" s="1175">
        <f>'Data &amp; hypothesis Adults'!H210</f>
        <v>0</v>
      </c>
      <c r="H191" s="1175">
        <f>'Data &amp; hypothesis Adults'!I210</f>
        <v>0</v>
      </c>
      <c r="I191" s="1175">
        <f>'Data &amp; hypothesis Adults'!J210</f>
        <v>0</v>
      </c>
      <c r="J191" s="1175">
        <f>'Data &amp; hypothesis Adults'!K210</f>
        <v>0</v>
      </c>
      <c r="K191" s="1175">
        <f>'Data &amp; hypothesis Adults'!L210</f>
        <v>0</v>
      </c>
      <c r="L191" s="1175" t="str">
        <f>'Data &amp; hypothesis Adults'!M210</f>
        <v>X</v>
      </c>
      <c r="M191" s="1175">
        <f>'Data &amp; hypothesis Adults'!N210</f>
        <v>0</v>
      </c>
      <c r="N191" s="1175">
        <f>'Data &amp; hypothesis Adults'!O210</f>
        <v>0</v>
      </c>
      <c r="O191" s="1175">
        <f>'Data &amp; hypothesis Adults'!P210</f>
        <v>0</v>
      </c>
      <c r="P191" s="1175">
        <f>'Data &amp; hypothesis Adults'!Q210</f>
        <v>0</v>
      </c>
      <c r="Q191" s="1175">
        <f>'Data &amp; hypothesis Adults'!R210</f>
        <v>0</v>
      </c>
      <c r="R191" s="1175">
        <f>'Data &amp; hypothesis Adults'!S210</f>
        <v>0</v>
      </c>
      <c r="S191" s="1175">
        <f>'Data &amp; hypothesis Adults'!T210</f>
        <v>0</v>
      </c>
      <c r="T191" s="1175">
        <f>'Data &amp; hypothesis Adults'!U210</f>
        <v>0</v>
      </c>
      <c r="U191" s="1175" t="str">
        <f>'Data &amp; hypothesis Adults'!V210</f>
        <v>X</v>
      </c>
      <c r="V191" s="1175">
        <f>'Data &amp; hypothesis Adults'!W210</f>
        <v>0</v>
      </c>
      <c r="W191" s="1175">
        <f>'Data &amp; hypothesis Adults'!X210</f>
        <v>0</v>
      </c>
      <c r="X191" s="1175">
        <f>'Data &amp; hypothesis Adults'!Y210</f>
        <v>0</v>
      </c>
      <c r="Y191" s="1175">
        <f>'Data &amp; hypothesis Adults'!Z210</f>
        <v>0</v>
      </c>
      <c r="Z191" s="1175">
        <f>'Data &amp; hypothesis Adults'!AA210</f>
        <v>0</v>
      </c>
      <c r="AA191" s="1175">
        <f>'Data &amp; hypothesis Adults'!AB210</f>
        <v>0</v>
      </c>
      <c r="AB191" s="1175">
        <f>'Data &amp; hypothesis Adults'!AC210</f>
        <v>0</v>
      </c>
      <c r="AC191" s="1172">
        <f t="shared" si="58"/>
        <v>840.27166668287782</v>
      </c>
      <c r="AD191" s="1192"/>
      <c r="AE191" s="1178" t="e">
        <f>D73</f>
        <v>#DIV/0!</v>
      </c>
      <c r="AF191" s="1200"/>
    </row>
    <row r="192" spans="2:32" ht="15" x14ac:dyDescent="0.25">
      <c r="B192" s="1174"/>
      <c r="C192" s="1166" t="str">
        <f t="shared" si="59"/>
        <v>TDF+FTC/3TC+ATV/r</v>
      </c>
      <c r="D192" s="1175">
        <f>'Data &amp; hypothesis Adults'!E211</f>
        <v>0</v>
      </c>
      <c r="E192" s="1175">
        <f>'Data &amp; hypothesis Adults'!F211</f>
        <v>0</v>
      </c>
      <c r="F192" s="1175">
        <f>'Data &amp; hypothesis Adults'!G211</f>
        <v>0</v>
      </c>
      <c r="G192" s="1175">
        <f>'Data &amp; hypothesis Adults'!H211</f>
        <v>0</v>
      </c>
      <c r="H192" s="1175">
        <f>'Data &amp; hypothesis Adults'!I211</f>
        <v>0</v>
      </c>
      <c r="I192" s="1175">
        <f>'Data &amp; hypothesis Adults'!J211</f>
        <v>0</v>
      </c>
      <c r="J192" s="1175">
        <f>'Data &amp; hypothesis Adults'!K211</f>
        <v>0</v>
      </c>
      <c r="K192" s="1175">
        <f>'Data &amp; hypothesis Adults'!L211</f>
        <v>0</v>
      </c>
      <c r="L192" s="1175" t="str">
        <f>'Data &amp; hypothesis Adults'!M211</f>
        <v>X</v>
      </c>
      <c r="M192" s="1175">
        <f>'Data &amp; hypothesis Adults'!N211</f>
        <v>0</v>
      </c>
      <c r="N192" s="1175">
        <f>'Data &amp; hypothesis Adults'!O211</f>
        <v>0</v>
      </c>
      <c r="O192" s="1175">
        <f>'Data &amp; hypothesis Adults'!P211</f>
        <v>0</v>
      </c>
      <c r="P192" s="1175">
        <f>'Data &amp; hypothesis Adults'!Q211</f>
        <v>0</v>
      </c>
      <c r="Q192" s="1175">
        <f>'Data &amp; hypothesis Adults'!R211</f>
        <v>0</v>
      </c>
      <c r="R192" s="1175">
        <f>'Data &amp; hypothesis Adults'!S211</f>
        <v>0</v>
      </c>
      <c r="S192" s="1175">
        <f>'Data &amp; hypothesis Adults'!T211</f>
        <v>0</v>
      </c>
      <c r="T192" s="1175">
        <f>'Data &amp; hypothesis Adults'!U211</f>
        <v>0</v>
      </c>
      <c r="U192" s="1175">
        <f>'Data &amp; hypothesis Adults'!V211</f>
        <v>0</v>
      </c>
      <c r="V192" s="1175">
        <f>'Data &amp; hypothesis Adults'!W211</f>
        <v>0</v>
      </c>
      <c r="W192" s="1175">
        <f>'Data &amp; hypothesis Adults'!X211</f>
        <v>0</v>
      </c>
      <c r="X192" s="1175">
        <f>'Data &amp; hypothesis Adults'!Y211</f>
        <v>0</v>
      </c>
      <c r="Y192" s="1175" t="str">
        <f>'Data &amp; hypothesis Adults'!Z211</f>
        <v>X</v>
      </c>
      <c r="Z192" s="1175">
        <f>'Data &amp; hypothesis Adults'!AA211</f>
        <v>0</v>
      </c>
      <c r="AA192" s="1175">
        <f>'Data &amp; hypothesis Adults'!AB211</f>
        <v>0</v>
      </c>
      <c r="AB192" s="1175">
        <f>'Data &amp; hypothesis Adults'!AC211</f>
        <v>0</v>
      </c>
      <c r="AC192" s="1172">
        <f t="shared" si="58"/>
        <v>34.903199999999998</v>
      </c>
      <c r="AD192" s="1192"/>
      <c r="AE192" s="1178" t="e">
        <f t="shared" ref="AE192:AE197" si="62">D74</f>
        <v>#DIV/0!</v>
      </c>
      <c r="AF192" s="1200"/>
    </row>
    <row r="193" spans="1:32" ht="15" x14ac:dyDescent="0.25">
      <c r="B193" s="1174"/>
      <c r="C193" s="1166" t="str">
        <f t="shared" si="59"/>
        <v>ABC+DDI+LPV/r</v>
      </c>
      <c r="D193" s="1175">
        <f>'Data &amp; hypothesis Adults'!E212</f>
        <v>0</v>
      </c>
      <c r="E193" s="1175">
        <f>'Data &amp; hypothesis Adults'!F212</f>
        <v>0</v>
      </c>
      <c r="F193" s="1175">
        <f>'Data &amp; hypothesis Adults'!G212</f>
        <v>0</v>
      </c>
      <c r="G193" s="1175">
        <f>'Data &amp; hypothesis Adults'!H212</f>
        <v>0</v>
      </c>
      <c r="H193" s="1175">
        <f>'Data &amp; hypothesis Adults'!I212</f>
        <v>0</v>
      </c>
      <c r="I193" s="1175">
        <f>'Data &amp; hypothesis Adults'!J212</f>
        <v>0</v>
      </c>
      <c r="J193" s="1175">
        <f>'Data &amp; hypothesis Adults'!K212</f>
        <v>0</v>
      </c>
      <c r="K193" s="1175">
        <f>'Data &amp; hypothesis Adults'!L212</f>
        <v>0</v>
      </c>
      <c r="L193" s="1175">
        <f>'Data &amp; hypothesis Adults'!M212</f>
        <v>0</v>
      </c>
      <c r="M193" s="1175">
        <f>'Data &amp; hypothesis Adults'!N212</f>
        <v>0</v>
      </c>
      <c r="N193" s="1175">
        <f>'Data &amp; hypothesis Adults'!O212</f>
        <v>0</v>
      </c>
      <c r="O193" s="1175">
        <f>'Data &amp; hypothesis Adults'!P212</f>
        <v>0</v>
      </c>
      <c r="P193" s="1175">
        <f>'Data &amp; hypothesis Adults'!Q212</f>
        <v>0</v>
      </c>
      <c r="Q193" s="1175">
        <f>'Data &amp; hypothesis Adults'!R212</f>
        <v>0</v>
      </c>
      <c r="R193" s="1175">
        <f>'Data &amp; hypothesis Adults'!S212</f>
        <v>0</v>
      </c>
      <c r="S193" s="1175">
        <f>'Data &amp; hypothesis Adults'!T212</f>
        <v>0</v>
      </c>
      <c r="T193" s="1175">
        <f>'Data &amp; hypothesis Adults'!U212</f>
        <v>0</v>
      </c>
      <c r="U193" s="1175">
        <f>'Data &amp; hypothesis Adults'!V212</f>
        <v>0</v>
      </c>
      <c r="V193" s="1175">
        <f>'Data &amp; hypothesis Adults'!W212</f>
        <v>0</v>
      </c>
      <c r="W193" s="1175">
        <f>'Data &amp; hypothesis Adults'!X212</f>
        <v>0</v>
      </c>
      <c r="X193" s="1175">
        <f>'Data &amp; hypothesis Adults'!Y212</f>
        <v>0</v>
      </c>
      <c r="Y193" s="1175">
        <f>'Data &amp; hypothesis Adults'!Z212</f>
        <v>0</v>
      </c>
      <c r="Z193" s="1175">
        <f>'Data &amp; hypothesis Adults'!AA212</f>
        <v>0</v>
      </c>
      <c r="AA193" s="1175">
        <f>'Data &amp; hypothesis Adults'!AB212</f>
        <v>0</v>
      </c>
      <c r="AB193" s="1175">
        <f>'Data &amp; hypothesis Adults'!AC212</f>
        <v>0</v>
      </c>
      <c r="AC193" s="1172">
        <f t="shared" si="58"/>
        <v>0</v>
      </c>
      <c r="AD193" s="1192"/>
      <c r="AE193" s="1178" t="e">
        <f t="shared" si="62"/>
        <v>#DIV/0!</v>
      </c>
      <c r="AF193" s="1200"/>
    </row>
    <row r="194" spans="1:32" ht="15" x14ac:dyDescent="0.25">
      <c r="B194" s="1174"/>
      <c r="C194" s="1166" t="str">
        <f t="shared" si="59"/>
        <v>TDF+3TC/FTC+ABC</v>
      </c>
      <c r="D194" s="1175">
        <f>'Data &amp; hypothesis Adults'!E213</f>
        <v>0</v>
      </c>
      <c r="E194" s="1175">
        <f>'Data &amp; hypothesis Adults'!F213</f>
        <v>0</v>
      </c>
      <c r="F194" s="1175">
        <f>'Data &amp; hypothesis Adults'!G213</f>
        <v>0</v>
      </c>
      <c r="G194" s="1175">
        <f>'Data &amp; hypothesis Adults'!H213</f>
        <v>0</v>
      </c>
      <c r="H194" s="1175">
        <f>'Data &amp; hypothesis Adults'!I213</f>
        <v>0</v>
      </c>
      <c r="I194" s="1175">
        <f>'Data &amp; hypothesis Adults'!J213</f>
        <v>0</v>
      </c>
      <c r="J194" s="1175">
        <f>'Data &amp; hypothesis Adults'!K213</f>
        <v>0</v>
      </c>
      <c r="K194" s="1175">
        <f>'Data &amp; hypothesis Adults'!L213</f>
        <v>0</v>
      </c>
      <c r="L194" s="1175" t="str">
        <f>'Data &amp; hypothesis Adults'!M213</f>
        <v>X</v>
      </c>
      <c r="M194" s="1175">
        <f>'Data &amp; hypothesis Adults'!N213</f>
        <v>0</v>
      </c>
      <c r="N194" s="1175">
        <f>'Data &amp; hypothesis Adults'!O213</f>
        <v>0</v>
      </c>
      <c r="O194" s="1175">
        <f>'Data &amp; hypothesis Adults'!P213</f>
        <v>0</v>
      </c>
      <c r="P194" s="1175">
        <f>'Data &amp; hypothesis Adults'!Q213</f>
        <v>0</v>
      </c>
      <c r="Q194" s="1175" t="str">
        <f>'Data &amp; hypothesis Adults'!R213</f>
        <v>X</v>
      </c>
      <c r="R194" s="1175">
        <f>'Data &amp; hypothesis Adults'!S213</f>
        <v>0</v>
      </c>
      <c r="S194" s="1175">
        <f>'Data &amp; hypothesis Adults'!T213</f>
        <v>0</v>
      </c>
      <c r="T194" s="1175">
        <f>'Data &amp; hypothesis Adults'!U213</f>
        <v>0</v>
      </c>
      <c r="U194" s="1175">
        <f>'Data &amp; hypothesis Adults'!V213</f>
        <v>0</v>
      </c>
      <c r="V194" s="1175">
        <f>'Data &amp; hypothesis Adults'!W213</f>
        <v>0</v>
      </c>
      <c r="W194" s="1175">
        <f>'Data &amp; hypothesis Adults'!X213</f>
        <v>0</v>
      </c>
      <c r="X194" s="1175">
        <f>'Data &amp; hypothesis Adults'!Y213</f>
        <v>0</v>
      </c>
      <c r="Y194" s="1175">
        <f>'Data &amp; hypothesis Adults'!Z213</f>
        <v>0</v>
      </c>
      <c r="Z194" s="1175">
        <f>'Data &amp; hypothesis Adults'!AA213</f>
        <v>0</v>
      </c>
      <c r="AA194" s="1175">
        <f>'Data &amp; hypothesis Adults'!AB213</f>
        <v>0</v>
      </c>
      <c r="AB194" s="1175">
        <f>'Data &amp; hypothesis Adults'!AC213</f>
        <v>0</v>
      </c>
      <c r="AC194" s="1172">
        <f t="shared" si="58"/>
        <v>0</v>
      </c>
      <c r="AD194" s="1192"/>
      <c r="AE194" s="1178" t="e">
        <f t="shared" si="62"/>
        <v>#DIV/0!</v>
      </c>
      <c r="AF194" s="1200"/>
    </row>
    <row r="195" spans="1:32" ht="15" x14ac:dyDescent="0.25">
      <c r="B195" s="1187"/>
      <c r="C195" s="1166" t="str">
        <f t="shared" si="59"/>
        <v>AZT+3TC+LPV/r</v>
      </c>
      <c r="D195" s="1175">
        <f>'Data &amp; hypothesis Adults'!E214</f>
        <v>0</v>
      </c>
      <c r="E195" s="1175">
        <f>'Data &amp; hypothesis Adults'!F214</f>
        <v>0</v>
      </c>
      <c r="F195" s="1175">
        <f>'Data &amp; hypothesis Adults'!G214</f>
        <v>0</v>
      </c>
      <c r="G195" s="1175">
        <f>'Data &amp; hypothesis Adults'!H214</f>
        <v>0</v>
      </c>
      <c r="H195" s="1175">
        <f>'Data &amp; hypothesis Adults'!I214</f>
        <v>0</v>
      </c>
      <c r="I195" s="1175">
        <f>'Data &amp; hypothesis Adults'!J214</f>
        <v>0</v>
      </c>
      <c r="J195" s="1175">
        <f>'Data &amp; hypothesis Adults'!K214</f>
        <v>0</v>
      </c>
      <c r="K195" s="1175">
        <f>'Data &amp; hypothesis Adults'!L214</f>
        <v>0</v>
      </c>
      <c r="L195" s="1175">
        <f>'Data &amp; hypothesis Adults'!M214</f>
        <v>0</v>
      </c>
      <c r="M195" s="1175">
        <f>'Data &amp; hypothesis Adults'!N214</f>
        <v>0</v>
      </c>
      <c r="N195" s="1175">
        <f>'Data &amp; hypothesis Adults'!O214</f>
        <v>0</v>
      </c>
      <c r="O195" s="1175">
        <f>'Data &amp; hypothesis Adults'!P214</f>
        <v>0</v>
      </c>
      <c r="P195" s="1175">
        <f>'Data &amp; hypothesis Adults'!Q214</f>
        <v>0</v>
      </c>
      <c r="Q195" s="1175">
        <f>'Data &amp; hypothesis Adults'!R214</f>
        <v>0</v>
      </c>
      <c r="R195" s="1175">
        <f>'Data &amp; hypothesis Adults'!S214</f>
        <v>0</v>
      </c>
      <c r="S195" s="1175">
        <f>'Data &amp; hypothesis Adults'!T214</f>
        <v>0</v>
      </c>
      <c r="T195" s="1175">
        <f>'Data &amp; hypothesis Adults'!U214</f>
        <v>0</v>
      </c>
      <c r="U195" s="1175">
        <f>'Data &amp; hypothesis Adults'!V214</f>
        <v>0</v>
      </c>
      <c r="V195" s="1175">
        <f>'Data &amp; hypothesis Adults'!W214</f>
        <v>0</v>
      </c>
      <c r="W195" s="1175">
        <f>'Data &amp; hypothesis Adults'!X214</f>
        <v>0</v>
      </c>
      <c r="X195" s="1175">
        <f>'Data &amp; hypothesis Adults'!Y214</f>
        <v>0</v>
      </c>
      <c r="Y195" s="1175">
        <f>'Data &amp; hypothesis Adults'!Z214</f>
        <v>0</v>
      </c>
      <c r="Z195" s="1175">
        <f>'Data &amp; hypothesis Adults'!AA214</f>
        <v>0</v>
      </c>
      <c r="AA195" s="1175">
        <f>'Data &amp; hypothesis Adults'!AB214</f>
        <v>0</v>
      </c>
      <c r="AB195" s="1175">
        <f>'Data &amp; hypothesis Adults'!AC214</f>
        <v>0</v>
      </c>
      <c r="AC195" s="1172">
        <f t="shared" ref="AC195:AC197" si="63">D24</f>
        <v>195.87603135967444</v>
      </c>
      <c r="AD195" s="1192"/>
      <c r="AE195" s="1178" t="e">
        <f t="shared" si="62"/>
        <v>#DIV/0!</v>
      </c>
      <c r="AF195" s="1200"/>
    </row>
    <row r="196" spans="1:32" ht="15" x14ac:dyDescent="0.25">
      <c r="B196" s="1187"/>
      <c r="C196" s="1166">
        <f t="shared" si="59"/>
        <v>0</v>
      </c>
      <c r="D196" s="1175">
        <f>'Data &amp; hypothesis Adults'!E215</f>
        <v>0</v>
      </c>
      <c r="E196" s="1175">
        <f>'Data &amp; hypothesis Adults'!F215</f>
        <v>0</v>
      </c>
      <c r="F196" s="1175">
        <f>'Data &amp; hypothesis Adults'!G215</f>
        <v>0</v>
      </c>
      <c r="G196" s="1175">
        <f>'Data &amp; hypothesis Adults'!H215</f>
        <v>0</v>
      </c>
      <c r="H196" s="1175">
        <f>'Data &amp; hypothesis Adults'!I215</f>
        <v>0</v>
      </c>
      <c r="I196" s="1175">
        <f>'Data &amp; hypothesis Adults'!J215</f>
        <v>0</v>
      </c>
      <c r="J196" s="1175">
        <f>'Data &amp; hypothesis Adults'!K215</f>
        <v>0</v>
      </c>
      <c r="K196" s="1175">
        <f>'Data &amp; hypothesis Adults'!L215</f>
        <v>0</v>
      </c>
      <c r="L196" s="1175">
        <f>'Data &amp; hypothesis Adults'!M215</f>
        <v>0</v>
      </c>
      <c r="M196" s="1175">
        <f>'Data &amp; hypothesis Adults'!N215</f>
        <v>0</v>
      </c>
      <c r="N196" s="1175">
        <f>'Data &amp; hypothesis Adults'!O215</f>
        <v>0</v>
      </c>
      <c r="O196" s="1175">
        <f>'Data &amp; hypothesis Adults'!P215</f>
        <v>0</v>
      </c>
      <c r="P196" s="1175">
        <f>'Data &amp; hypothesis Adults'!Q215</f>
        <v>0</v>
      </c>
      <c r="Q196" s="1175">
        <f>'Data &amp; hypothesis Adults'!R215</f>
        <v>0</v>
      </c>
      <c r="R196" s="1175">
        <f>'Data &amp; hypothesis Adults'!S215</f>
        <v>0</v>
      </c>
      <c r="S196" s="1175">
        <f>'Data &amp; hypothesis Adults'!T215</f>
        <v>0</v>
      </c>
      <c r="T196" s="1175">
        <f>'Data &amp; hypothesis Adults'!U215</f>
        <v>0</v>
      </c>
      <c r="U196" s="1175">
        <f>'Data &amp; hypothesis Adults'!V215</f>
        <v>0</v>
      </c>
      <c r="V196" s="1175">
        <f>'Data &amp; hypothesis Adults'!W215</f>
        <v>0</v>
      </c>
      <c r="W196" s="1175">
        <f>'Data &amp; hypothesis Adults'!X215</f>
        <v>0</v>
      </c>
      <c r="X196" s="1175">
        <f>'Data &amp; hypothesis Adults'!Y215</f>
        <v>0</v>
      </c>
      <c r="Y196" s="1175">
        <f>'Data &amp; hypothesis Adults'!Z215</f>
        <v>0</v>
      </c>
      <c r="Z196" s="1175">
        <f>'Data &amp; hypothesis Adults'!AA215</f>
        <v>0</v>
      </c>
      <c r="AA196" s="1175">
        <f>'Data &amp; hypothesis Adults'!AB215</f>
        <v>0</v>
      </c>
      <c r="AB196" s="1175">
        <f>'Data &amp; hypothesis Adults'!AC215</f>
        <v>0</v>
      </c>
      <c r="AC196" s="1172">
        <f t="shared" si="63"/>
        <v>0</v>
      </c>
      <c r="AD196" s="1192"/>
      <c r="AE196" s="1178" t="e">
        <f t="shared" si="62"/>
        <v>#DIV/0!</v>
      </c>
      <c r="AF196" s="1200"/>
    </row>
    <row r="197" spans="1:32" ht="15" x14ac:dyDescent="0.25">
      <c r="B197" s="1187"/>
      <c r="C197" s="1166">
        <f t="shared" si="59"/>
        <v>0</v>
      </c>
      <c r="D197" s="1175">
        <f>'Data &amp; hypothesis Adults'!E216</f>
        <v>0</v>
      </c>
      <c r="E197" s="1175">
        <f>'Data &amp; hypothesis Adults'!F216</f>
        <v>0</v>
      </c>
      <c r="F197" s="1175">
        <f>'Data &amp; hypothesis Adults'!G216</f>
        <v>0</v>
      </c>
      <c r="G197" s="1175">
        <f>'Data &amp; hypothesis Adults'!H216</f>
        <v>0</v>
      </c>
      <c r="H197" s="1175">
        <f>'Data &amp; hypothesis Adults'!I216</f>
        <v>0</v>
      </c>
      <c r="I197" s="1175">
        <f>'Data &amp; hypothesis Adults'!J216</f>
        <v>0</v>
      </c>
      <c r="J197" s="1175">
        <f>'Data &amp; hypothesis Adults'!K216</f>
        <v>0</v>
      </c>
      <c r="K197" s="1175">
        <f>'Data &amp; hypothesis Adults'!L216</f>
        <v>0</v>
      </c>
      <c r="L197" s="1175">
        <f>'Data &amp; hypothesis Adults'!M216</f>
        <v>0</v>
      </c>
      <c r="M197" s="1175">
        <f>'Data &amp; hypothesis Adults'!N216</f>
        <v>0</v>
      </c>
      <c r="N197" s="1175">
        <f>'Data &amp; hypothesis Adults'!O216</f>
        <v>0</v>
      </c>
      <c r="O197" s="1175">
        <f>'Data &amp; hypothesis Adults'!P216</f>
        <v>0</v>
      </c>
      <c r="P197" s="1175">
        <f>'Data &amp; hypothesis Adults'!Q216</f>
        <v>0</v>
      </c>
      <c r="Q197" s="1175">
        <f>'Data &amp; hypothesis Adults'!R216</f>
        <v>0</v>
      </c>
      <c r="R197" s="1175">
        <f>'Data &amp; hypothesis Adults'!S216</f>
        <v>0</v>
      </c>
      <c r="S197" s="1175">
        <f>'Data &amp; hypothesis Adults'!T216</f>
        <v>0</v>
      </c>
      <c r="T197" s="1175">
        <f>'Data &amp; hypothesis Adults'!U216</f>
        <v>0</v>
      </c>
      <c r="U197" s="1175">
        <f>'Data &amp; hypothesis Adults'!V216</f>
        <v>0</v>
      </c>
      <c r="V197" s="1175">
        <f>'Data &amp; hypothesis Adults'!W216</f>
        <v>0</v>
      </c>
      <c r="W197" s="1175">
        <f>'Data &amp; hypothesis Adults'!X216</f>
        <v>0</v>
      </c>
      <c r="X197" s="1175">
        <f>'Data &amp; hypothesis Adults'!Y216</f>
        <v>0</v>
      </c>
      <c r="Y197" s="1175">
        <f>'Data &amp; hypothesis Adults'!Z216</f>
        <v>0</v>
      </c>
      <c r="Z197" s="1175">
        <f>'Data &amp; hypothesis Adults'!AA216</f>
        <v>0</v>
      </c>
      <c r="AA197" s="1175">
        <f>'Data &amp; hypothesis Adults'!AB216</f>
        <v>0</v>
      </c>
      <c r="AB197" s="1175">
        <f>'Data &amp; hypothesis Adults'!AC216</f>
        <v>0</v>
      </c>
      <c r="AC197" s="1172">
        <f t="shared" si="63"/>
        <v>0</v>
      </c>
      <c r="AD197" s="1192"/>
      <c r="AE197" s="1178" t="e">
        <f t="shared" si="62"/>
        <v>#DIV/0!</v>
      </c>
      <c r="AF197" s="1200"/>
    </row>
    <row r="198" spans="1:32" ht="15.75" thickBot="1" x14ac:dyDescent="0.3">
      <c r="B198" s="1187" t="str">
        <f>'TRAD-Adults YEAR(1)'!B12</f>
        <v>3èmes lignes</v>
      </c>
      <c r="C198" s="1188" t="s">
        <v>197</v>
      </c>
      <c r="D198" s="1198"/>
      <c r="E198" s="1198"/>
      <c r="F198" s="1198"/>
      <c r="G198" s="1198"/>
      <c r="H198" s="1198"/>
      <c r="I198" s="1198"/>
      <c r="J198" s="1198"/>
      <c r="K198" s="1198"/>
      <c r="L198" s="1198" t="s">
        <v>225</v>
      </c>
      <c r="M198" s="1198"/>
      <c r="N198" s="1198"/>
      <c r="O198" s="1198"/>
      <c r="P198" s="1198" t="s">
        <v>225</v>
      </c>
      <c r="Q198" s="1198" t="s">
        <v>225</v>
      </c>
      <c r="R198" s="1198" t="s">
        <v>623</v>
      </c>
      <c r="S198" s="1198" t="s">
        <v>623</v>
      </c>
      <c r="T198" s="1198" t="s">
        <v>225</v>
      </c>
      <c r="U198" s="1198"/>
      <c r="V198" s="1198" t="s">
        <v>225</v>
      </c>
      <c r="W198" s="1198" t="s">
        <v>225</v>
      </c>
      <c r="X198" s="1198" t="s">
        <v>225</v>
      </c>
      <c r="Y198" s="1198" t="s">
        <v>225</v>
      </c>
      <c r="Z198" s="1198" t="s">
        <v>225</v>
      </c>
      <c r="AA198" s="1198" t="s">
        <v>225</v>
      </c>
      <c r="AB198" s="1198" t="s">
        <v>225</v>
      </c>
      <c r="AC198" s="1172">
        <f t="shared" ref="AC198" si="64">D27</f>
        <v>0</v>
      </c>
      <c r="AD198" s="1192"/>
      <c r="AE198" s="1178" t="e">
        <f>L87</f>
        <v>#DIV/0!</v>
      </c>
      <c r="AF198" s="1200"/>
    </row>
    <row r="199" spans="1:32" ht="39" thickBot="1" x14ac:dyDescent="0.25">
      <c r="A199" s="696"/>
      <c r="B199" s="2149" t="str">
        <f>'TRAD-Adults YEAR(1)'!B130</f>
        <v>Patients suivis</v>
      </c>
      <c r="C199" s="1189" t="str">
        <f>'TRAD-Adults YEAR(1)'!B81</f>
        <v>Nb de patients suivis recevant l'ARV</v>
      </c>
      <c r="D199" s="1203">
        <f t="shared" ref="D199:U199" si="65">SUMIF(D181:D198, "X", $AC181:$AC198)+SUMIF(D181:D198, "A", $AC181:$AC198)*D178</f>
        <v>10536.424547798304</v>
      </c>
      <c r="E199" s="1203">
        <f t="shared" si="65"/>
        <v>76.777819580949213</v>
      </c>
      <c r="F199" s="1203">
        <f t="shared" si="65"/>
        <v>0</v>
      </c>
      <c r="G199" s="1203">
        <f t="shared" si="65"/>
        <v>2034.7637682168443</v>
      </c>
      <c r="H199" s="1203">
        <f t="shared" si="65"/>
        <v>66.827384440036383</v>
      </c>
      <c r="I199" s="1203">
        <f t="shared" si="65"/>
        <v>0</v>
      </c>
      <c r="J199" s="1203">
        <f t="shared" si="65"/>
        <v>0</v>
      </c>
      <c r="K199" s="1203">
        <f t="shared" si="65"/>
        <v>5869.1434661657331</v>
      </c>
      <c r="L199" s="1203">
        <f t="shared" si="65"/>
        <v>875.17486668287779</v>
      </c>
      <c r="M199" s="1203">
        <f t="shared" si="65"/>
        <v>1403.4356929694402</v>
      </c>
      <c r="N199" s="1203">
        <f t="shared" si="65"/>
        <v>0</v>
      </c>
      <c r="O199" s="1203">
        <f t="shared" si="65"/>
        <v>0</v>
      </c>
      <c r="P199" s="1203">
        <f t="shared" si="65"/>
        <v>0</v>
      </c>
      <c r="Q199" s="1203">
        <f t="shared" si="65"/>
        <v>0</v>
      </c>
      <c r="R199" s="1203">
        <f t="shared" si="65"/>
        <v>0</v>
      </c>
      <c r="S199" s="1203">
        <f t="shared" si="65"/>
        <v>0</v>
      </c>
      <c r="T199" s="1203">
        <f t="shared" si="65"/>
        <v>0</v>
      </c>
      <c r="U199" s="1203">
        <f t="shared" si="65"/>
        <v>1538.4271263703181</v>
      </c>
      <c r="V199" s="1203">
        <f t="shared" ref="V199:AB199" si="66">SUMIF(V181:V198, "X", $AC181:$AC198)+SUMIF(V181:V198, "A", $AC181:$AC198)*V179</f>
        <v>0</v>
      </c>
      <c r="W199" s="1203">
        <f t="shared" si="66"/>
        <v>0</v>
      </c>
      <c r="X199" s="1203">
        <f t="shared" si="66"/>
        <v>0</v>
      </c>
      <c r="Y199" s="1203">
        <f t="shared" si="66"/>
        <v>34.903199999999998</v>
      </c>
      <c r="Z199" s="1203">
        <f t="shared" si="66"/>
        <v>0</v>
      </c>
      <c r="AA199" s="1203">
        <f t="shared" si="66"/>
        <v>0</v>
      </c>
      <c r="AB199" s="1204">
        <f t="shared" si="66"/>
        <v>0</v>
      </c>
      <c r="AC199" s="1186"/>
      <c r="AD199" s="1172"/>
    </row>
    <row r="200" spans="1:32" ht="77.25" thickBot="1" x14ac:dyDescent="0.25">
      <c r="B200" s="2150"/>
      <c r="C200" s="1189" t="str">
        <f>'TRAD-Adults YEAR(1)'!B82</f>
        <v>Quantités de conditionnements nécessaires pour l'ensemble des patients suivis pour 1 mois</v>
      </c>
      <c r="D200" s="1205">
        <f>D199*D177</f>
        <v>10536.424547798304</v>
      </c>
      <c r="E200" s="1205">
        <f t="shared" ref="E200:AB200" si="67">E199*E177</f>
        <v>76.777819580949213</v>
      </c>
      <c r="F200" s="1205">
        <f t="shared" ref="F200" si="68">F199*F177</f>
        <v>0</v>
      </c>
      <c r="G200" s="1205">
        <f t="shared" si="67"/>
        <v>2034.7637682168443</v>
      </c>
      <c r="H200" s="1205">
        <f t="shared" ref="H200" si="69">H199*H177</f>
        <v>66.827384440036383</v>
      </c>
      <c r="I200" s="1205">
        <f t="shared" si="67"/>
        <v>0</v>
      </c>
      <c r="J200" s="1205">
        <f t="shared" si="67"/>
        <v>0</v>
      </c>
      <c r="K200" s="1205">
        <f t="shared" si="67"/>
        <v>5869.1434661657331</v>
      </c>
      <c r="L200" s="1205">
        <f t="shared" si="67"/>
        <v>875.17486668287779</v>
      </c>
      <c r="M200" s="1205">
        <f t="shared" si="67"/>
        <v>1403.4356929694402</v>
      </c>
      <c r="N200" s="1205">
        <f t="shared" si="67"/>
        <v>0</v>
      </c>
      <c r="O200" s="1205">
        <f t="shared" si="67"/>
        <v>0</v>
      </c>
      <c r="P200" s="1205">
        <f t="shared" si="67"/>
        <v>0</v>
      </c>
      <c r="Q200" s="1205">
        <f t="shared" si="67"/>
        <v>0</v>
      </c>
      <c r="R200" s="1205">
        <f t="shared" si="67"/>
        <v>0</v>
      </c>
      <c r="S200" s="1205">
        <f t="shared" si="67"/>
        <v>0</v>
      </c>
      <c r="T200" s="1205">
        <f t="shared" si="67"/>
        <v>0</v>
      </c>
      <c r="U200" s="1205">
        <f t="shared" si="67"/>
        <v>1538.4271263703181</v>
      </c>
      <c r="V200" s="1205">
        <f t="shared" si="67"/>
        <v>0</v>
      </c>
      <c r="W200" s="1205">
        <f t="shared" si="67"/>
        <v>0</v>
      </c>
      <c r="X200" s="1205">
        <f t="shared" si="67"/>
        <v>0</v>
      </c>
      <c r="Y200" s="1205">
        <f t="shared" si="67"/>
        <v>34.903199999999998</v>
      </c>
      <c r="Z200" s="1205">
        <f t="shared" si="67"/>
        <v>0</v>
      </c>
      <c r="AA200" s="1205">
        <f t="shared" si="67"/>
        <v>0</v>
      </c>
      <c r="AB200" s="1206">
        <f t="shared" si="67"/>
        <v>0</v>
      </c>
      <c r="AC200" s="1186"/>
      <c r="AD200" s="1172"/>
    </row>
    <row r="201" spans="1:32" ht="77.25" thickBot="1" x14ac:dyDescent="0.25">
      <c r="B201" s="2150"/>
      <c r="C201" s="1189" t="str">
        <f>'TRAD-Adults YEAR(1)'!B83</f>
        <v>Qtés conditionnements pour l'ensemble des patients sur toute la période hors SS</v>
      </c>
      <c r="D201" s="1205">
        <f>D200*$D$6</f>
        <v>0</v>
      </c>
      <c r="E201" s="1205">
        <f t="shared" ref="E201:AB201" si="70">E200*$D$6</f>
        <v>0</v>
      </c>
      <c r="F201" s="1205">
        <f t="shared" ref="F201" si="71">F200*$D$6</f>
        <v>0</v>
      </c>
      <c r="G201" s="1205">
        <f t="shared" si="70"/>
        <v>0</v>
      </c>
      <c r="H201" s="1205">
        <f t="shared" ref="H201" si="72">H200*$D$6</f>
        <v>0</v>
      </c>
      <c r="I201" s="1205">
        <f t="shared" si="70"/>
        <v>0</v>
      </c>
      <c r="J201" s="1205">
        <f t="shared" si="70"/>
        <v>0</v>
      </c>
      <c r="K201" s="1205">
        <f t="shared" si="70"/>
        <v>0</v>
      </c>
      <c r="L201" s="1205">
        <f t="shared" si="70"/>
        <v>0</v>
      </c>
      <c r="M201" s="1205">
        <f t="shared" si="70"/>
        <v>0</v>
      </c>
      <c r="N201" s="1205">
        <f t="shared" si="70"/>
        <v>0</v>
      </c>
      <c r="O201" s="1205">
        <f t="shared" si="70"/>
        <v>0</v>
      </c>
      <c r="P201" s="1205">
        <f t="shared" si="70"/>
        <v>0</v>
      </c>
      <c r="Q201" s="1205">
        <f t="shared" si="70"/>
        <v>0</v>
      </c>
      <c r="R201" s="1205">
        <f t="shared" si="70"/>
        <v>0</v>
      </c>
      <c r="S201" s="1205">
        <f t="shared" si="70"/>
        <v>0</v>
      </c>
      <c r="T201" s="1205">
        <f t="shared" si="70"/>
        <v>0</v>
      </c>
      <c r="U201" s="1205">
        <f t="shared" si="70"/>
        <v>0</v>
      </c>
      <c r="V201" s="1205">
        <f t="shared" si="70"/>
        <v>0</v>
      </c>
      <c r="W201" s="1205">
        <f t="shared" si="70"/>
        <v>0</v>
      </c>
      <c r="X201" s="1205">
        <f t="shared" si="70"/>
        <v>0</v>
      </c>
      <c r="Y201" s="1205">
        <f t="shared" si="70"/>
        <v>0</v>
      </c>
      <c r="Z201" s="1205">
        <f t="shared" si="70"/>
        <v>0</v>
      </c>
      <c r="AA201" s="1205">
        <f t="shared" si="70"/>
        <v>0</v>
      </c>
      <c r="AB201" s="1206">
        <f t="shared" si="70"/>
        <v>0</v>
      </c>
      <c r="AC201" s="1186"/>
      <c r="AD201" s="1172"/>
    </row>
    <row r="202" spans="1:32" ht="77.25" thickBot="1" x14ac:dyDescent="0.25">
      <c r="B202" s="2151"/>
      <c r="C202" s="1189" t="str">
        <f>'TRAD-Adults YEAR(1)'!B84</f>
        <v>Qtés conditionnements pour l'ensemble des patients sur toute la période avec SS</v>
      </c>
      <c r="D202" s="1207">
        <f>(D200*$D$7)</f>
        <v>31609.27364339491</v>
      </c>
      <c r="E202" s="1207">
        <f t="shared" ref="E202:AB202" si="73">(E200*$D$7)</f>
        <v>230.33345874284765</v>
      </c>
      <c r="F202" s="1207">
        <f t="shared" ref="F202" si="74">(F200*$D$7)</f>
        <v>0</v>
      </c>
      <c r="G202" s="1207">
        <f t="shared" si="73"/>
        <v>6104.2913046505328</v>
      </c>
      <c r="H202" s="1207">
        <f t="shared" ref="H202" si="75">(H200*$D$7)</f>
        <v>200.48215332010915</v>
      </c>
      <c r="I202" s="1207">
        <f t="shared" si="73"/>
        <v>0</v>
      </c>
      <c r="J202" s="1207">
        <f t="shared" si="73"/>
        <v>0</v>
      </c>
      <c r="K202" s="1207">
        <f t="shared" si="73"/>
        <v>17607.430398497199</v>
      </c>
      <c r="L202" s="1207">
        <f t="shared" si="73"/>
        <v>2625.5246000486331</v>
      </c>
      <c r="M202" s="1207">
        <f t="shared" si="73"/>
        <v>4210.3070789083204</v>
      </c>
      <c r="N202" s="1207">
        <f t="shared" si="73"/>
        <v>0</v>
      </c>
      <c r="O202" s="1207">
        <f t="shared" si="73"/>
        <v>0</v>
      </c>
      <c r="P202" s="1207">
        <f t="shared" si="73"/>
        <v>0</v>
      </c>
      <c r="Q202" s="1207">
        <f t="shared" si="73"/>
        <v>0</v>
      </c>
      <c r="R202" s="1207">
        <f t="shared" si="73"/>
        <v>0</v>
      </c>
      <c r="S202" s="1207">
        <f t="shared" si="73"/>
        <v>0</v>
      </c>
      <c r="T202" s="1207">
        <f t="shared" si="73"/>
        <v>0</v>
      </c>
      <c r="U202" s="1207">
        <f t="shared" si="73"/>
        <v>4615.2813791109547</v>
      </c>
      <c r="V202" s="1207">
        <f t="shared" si="73"/>
        <v>0</v>
      </c>
      <c r="W202" s="1207">
        <f t="shared" si="73"/>
        <v>0</v>
      </c>
      <c r="X202" s="1207">
        <f t="shared" si="73"/>
        <v>0</v>
      </c>
      <c r="Y202" s="1207">
        <f t="shared" si="73"/>
        <v>104.70959999999999</v>
      </c>
      <c r="Z202" s="1207">
        <f t="shared" si="73"/>
        <v>0</v>
      </c>
      <c r="AA202" s="1207">
        <f t="shared" si="73"/>
        <v>0</v>
      </c>
      <c r="AB202" s="1208">
        <f t="shared" si="73"/>
        <v>0</v>
      </c>
      <c r="AC202" s="1186"/>
      <c r="AD202" s="1172"/>
    </row>
    <row r="203" spans="1:32" ht="39" thickBot="1" x14ac:dyDescent="0.25">
      <c r="B203" s="2149" t="str">
        <f>'TRAD-Adults YEAR(1)'!B90</f>
        <v>Patients initiés</v>
      </c>
      <c r="C203" s="1189" t="str">
        <f>'TRAD-Adults YEAR(1)'!B85</f>
        <v>Nb de patients initiés par mois recevant l'ARV</v>
      </c>
      <c r="D203" s="1203">
        <f t="shared" ref="D203:AB203" si="76">SUMIF(D181:D198, "X", $AD181:$AD198)+SUMIF(D181:D198, "A", $AD181:$AD198)*D178</f>
        <v>0</v>
      </c>
      <c r="E203" s="1203">
        <f t="shared" si="76"/>
        <v>0</v>
      </c>
      <c r="F203" s="1203">
        <f t="shared" si="76"/>
        <v>0</v>
      </c>
      <c r="G203" s="1203">
        <f t="shared" si="76"/>
        <v>0</v>
      </c>
      <c r="H203" s="1203">
        <f t="shared" si="76"/>
        <v>0</v>
      </c>
      <c r="I203" s="1203">
        <f t="shared" si="76"/>
        <v>0</v>
      </c>
      <c r="J203" s="1203">
        <f t="shared" si="76"/>
        <v>0</v>
      </c>
      <c r="K203" s="1203">
        <f t="shared" si="76"/>
        <v>0</v>
      </c>
      <c r="L203" s="1203">
        <f t="shared" si="76"/>
        <v>0</v>
      </c>
      <c r="M203" s="1203">
        <f t="shared" si="76"/>
        <v>0</v>
      </c>
      <c r="N203" s="1203">
        <f t="shared" si="76"/>
        <v>0</v>
      </c>
      <c r="O203" s="1203">
        <f t="shared" si="76"/>
        <v>0</v>
      </c>
      <c r="P203" s="1203">
        <f t="shared" si="76"/>
        <v>0</v>
      </c>
      <c r="Q203" s="1203">
        <f t="shared" si="76"/>
        <v>0</v>
      </c>
      <c r="R203" s="1203">
        <f t="shared" si="76"/>
        <v>0</v>
      </c>
      <c r="S203" s="1203">
        <f t="shared" si="76"/>
        <v>0</v>
      </c>
      <c r="T203" s="1203">
        <f t="shared" si="76"/>
        <v>0</v>
      </c>
      <c r="U203" s="1203">
        <f t="shared" si="76"/>
        <v>0</v>
      </c>
      <c r="V203" s="1203">
        <f t="shared" si="76"/>
        <v>0</v>
      </c>
      <c r="W203" s="1203">
        <f t="shared" si="76"/>
        <v>0</v>
      </c>
      <c r="X203" s="1203">
        <f t="shared" si="76"/>
        <v>0</v>
      </c>
      <c r="Y203" s="1203">
        <f t="shared" si="76"/>
        <v>0</v>
      </c>
      <c r="Z203" s="1203">
        <f t="shared" si="76"/>
        <v>0</v>
      </c>
      <c r="AA203" s="1203">
        <f t="shared" si="76"/>
        <v>0</v>
      </c>
      <c r="AB203" s="1204">
        <f t="shared" si="76"/>
        <v>0</v>
      </c>
      <c r="AC203" s="1186"/>
      <c r="AD203" s="1172"/>
    </row>
    <row r="204" spans="1:32" ht="77.25" thickBot="1" x14ac:dyDescent="0.25">
      <c r="B204" s="2150"/>
      <c r="C204" s="1189" t="str">
        <f>'TRAD-Adults YEAR(1)'!B86</f>
        <v>Quantités de conditionnements nécessaires pour l'ensemble des patients initiés sur 1 mois</v>
      </c>
      <c r="D204" s="1205">
        <f t="shared" ref="D204:AB204" si="77">D203*D177</f>
        <v>0</v>
      </c>
      <c r="E204" s="1205">
        <f t="shared" si="77"/>
        <v>0</v>
      </c>
      <c r="F204" s="1205">
        <f t="shared" ref="F204" si="78">F203*F177</f>
        <v>0</v>
      </c>
      <c r="G204" s="1205">
        <f t="shared" si="77"/>
        <v>0</v>
      </c>
      <c r="H204" s="1205">
        <f t="shared" ref="H204" si="79">H203*H177</f>
        <v>0</v>
      </c>
      <c r="I204" s="1205">
        <f t="shared" si="77"/>
        <v>0</v>
      </c>
      <c r="J204" s="1205">
        <f t="shared" si="77"/>
        <v>0</v>
      </c>
      <c r="K204" s="1205">
        <f t="shared" si="77"/>
        <v>0</v>
      </c>
      <c r="L204" s="1205">
        <f t="shared" si="77"/>
        <v>0</v>
      </c>
      <c r="M204" s="1205">
        <f t="shared" si="77"/>
        <v>0</v>
      </c>
      <c r="N204" s="1205">
        <f t="shared" si="77"/>
        <v>0</v>
      </c>
      <c r="O204" s="1205">
        <f t="shared" si="77"/>
        <v>0</v>
      </c>
      <c r="P204" s="1205">
        <f t="shared" si="77"/>
        <v>0</v>
      </c>
      <c r="Q204" s="1205">
        <f t="shared" si="77"/>
        <v>0</v>
      </c>
      <c r="R204" s="1205">
        <f t="shared" si="77"/>
        <v>0</v>
      </c>
      <c r="S204" s="1205">
        <f t="shared" si="77"/>
        <v>0</v>
      </c>
      <c r="T204" s="1205">
        <f t="shared" si="77"/>
        <v>0</v>
      </c>
      <c r="U204" s="1205">
        <f t="shared" si="77"/>
        <v>0</v>
      </c>
      <c r="V204" s="1205">
        <f t="shared" si="77"/>
        <v>0</v>
      </c>
      <c r="W204" s="1205">
        <f t="shared" si="77"/>
        <v>0</v>
      </c>
      <c r="X204" s="1205">
        <f t="shared" si="77"/>
        <v>0</v>
      </c>
      <c r="Y204" s="1205">
        <f t="shared" si="77"/>
        <v>0</v>
      </c>
      <c r="Z204" s="1205">
        <f t="shared" si="77"/>
        <v>0</v>
      </c>
      <c r="AA204" s="1205">
        <f t="shared" si="77"/>
        <v>0</v>
      </c>
      <c r="AB204" s="1206">
        <f t="shared" si="77"/>
        <v>0</v>
      </c>
      <c r="AC204" s="1186"/>
      <c r="AD204" s="1172"/>
    </row>
    <row r="205" spans="1:32" ht="64.5" thickBot="1" x14ac:dyDescent="0.25">
      <c r="B205" s="2150"/>
      <c r="C205" s="1189" t="str">
        <f>'TRAD-Adults YEAR(1)'!B87</f>
        <v>Quantités conditionnements nécessaires Spécificités 3èmes lignes pour 1 mois</v>
      </c>
      <c r="D205" s="1205">
        <f t="shared" ref="D205:AB205" si="80">(IF(D198="X", $AE$198*D179, "0")+IF(D198="A", $AE$198*D178*D179, "0"))*D177</f>
        <v>0</v>
      </c>
      <c r="E205" s="1205">
        <f t="shared" si="80"/>
        <v>0</v>
      </c>
      <c r="F205" s="1205">
        <f t="shared" si="80"/>
        <v>0</v>
      </c>
      <c r="G205" s="1205">
        <f t="shared" si="80"/>
        <v>0</v>
      </c>
      <c r="H205" s="1205">
        <f t="shared" si="80"/>
        <v>0</v>
      </c>
      <c r="I205" s="1205">
        <f t="shared" si="80"/>
        <v>0</v>
      </c>
      <c r="J205" s="1205">
        <f t="shared" si="80"/>
        <v>0</v>
      </c>
      <c r="K205" s="1205">
        <f t="shared" si="80"/>
        <v>0</v>
      </c>
      <c r="L205" s="1205" t="e">
        <f t="shared" si="80"/>
        <v>#DIV/0!</v>
      </c>
      <c r="M205" s="1205">
        <f t="shared" si="80"/>
        <v>0</v>
      </c>
      <c r="N205" s="1205">
        <f t="shared" si="80"/>
        <v>0</v>
      </c>
      <c r="O205" s="1205">
        <f t="shared" si="80"/>
        <v>0</v>
      </c>
      <c r="P205" s="1205" t="e">
        <f t="shared" si="80"/>
        <v>#DIV/0!</v>
      </c>
      <c r="Q205" s="1205" t="e">
        <f t="shared" si="80"/>
        <v>#DIV/0!</v>
      </c>
      <c r="R205" s="1205" t="e">
        <f t="shared" si="80"/>
        <v>#DIV/0!</v>
      </c>
      <c r="S205" s="1205" t="e">
        <f t="shared" si="80"/>
        <v>#DIV/0!</v>
      </c>
      <c r="T205" s="1205" t="e">
        <f t="shared" si="80"/>
        <v>#DIV/0!</v>
      </c>
      <c r="U205" s="1205">
        <f t="shared" si="80"/>
        <v>0</v>
      </c>
      <c r="V205" s="1205" t="e">
        <f t="shared" si="80"/>
        <v>#DIV/0!</v>
      </c>
      <c r="W205" s="1205" t="e">
        <f t="shared" si="80"/>
        <v>#DIV/0!</v>
      </c>
      <c r="X205" s="1205" t="e">
        <f t="shared" si="80"/>
        <v>#DIV/0!</v>
      </c>
      <c r="Y205" s="1205" t="e">
        <f t="shared" si="80"/>
        <v>#DIV/0!</v>
      </c>
      <c r="Z205" s="1205" t="e">
        <f t="shared" si="80"/>
        <v>#DIV/0!</v>
      </c>
      <c r="AA205" s="1205" t="e">
        <f t="shared" si="80"/>
        <v>#DIV/0!</v>
      </c>
      <c r="AB205" s="1206" t="e">
        <f t="shared" si="80"/>
        <v>#DIV/0!</v>
      </c>
      <c r="AC205" s="1186"/>
      <c r="AD205" s="1172"/>
    </row>
    <row r="206" spans="1:32" ht="77.25" thickBot="1" x14ac:dyDescent="0.25">
      <c r="B206" s="2150"/>
      <c r="C206" s="1189" t="str">
        <f>'TRAD-Adults YEAR(1)'!B88</f>
        <v>Qtés conditionnements pour l'ensemble des patients initiés sur toute la période sans SS</v>
      </c>
      <c r="D206" s="1205">
        <f>(D204+D205)*$I$6</f>
        <v>0</v>
      </c>
      <c r="E206" s="1205">
        <f t="shared" ref="E206:AB206" si="81">(E204+E205)*$I$6</f>
        <v>0</v>
      </c>
      <c r="F206" s="1205">
        <f t="shared" ref="F206" si="82">(F204+F205)*$I$6</f>
        <v>0</v>
      </c>
      <c r="G206" s="1205">
        <f t="shared" si="81"/>
        <v>0</v>
      </c>
      <c r="H206" s="1205">
        <f t="shared" ref="H206" si="83">(H204+H205)*$I$6</f>
        <v>0</v>
      </c>
      <c r="I206" s="1205">
        <f t="shared" si="81"/>
        <v>0</v>
      </c>
      <c r="J206" s="1205">
        <f t="shared" si="81"/>
        <v>0</v>
      </c>
      <c r="K206" s="1205">
        <f t="shared" si="81"/>
        <v>0</v>
      </c>
      <c r="L206" s="1205" t="e">
        <f>(L204+L205)*$I$6</f>
        <v>#DIV/0!</v>
      </c>
      <c r="M206" s="1205">
        <f t="shared" si="81"/>
        <v>0</v>
      </c>
      <c r="N206" s="1205">
        <f>(N204+N205)*$I$6</f>
        <v>0</v>
      </c>
      <c r="O206" s="1205">
        <f t="shared" si="81"/>
        <v>0</v>
      </c>
      <c r="P206" s="1205" t="e">
        <f t="shared" si="81"/>
        <v>#DIV/0!</v>
      </c>
      <c r="Q206" s="1205" t="e">
        <f>(Q204+Q205)*$I$6</f>
        <v>#DIV/0!</v>
      </c>
      <c r="R206" s="1205" t="e">
        <f t="shared" si="81"/>
        <v>#DIV/0!</v>
      </c>
      <c r="S206" s="1205" t="e">
        <f t="shared" si="81"/>
        <v>#DIV/0!</v>
      </c>
      <c r="T206" s="1205" t="e">
        <f t="shared" si="81"/>
        <v>#DIV/0!</v>
      </c>
      <c r="U206" s="1205">
        <f t="shared" si="81"/>
        <v>0</v>
      </c>
      <c r="V206" s="1205" t="e">
        <f t="shared" si="81"/>
        <v>#DIV/0!</v>
      </c>
      <c r="W206" s="1205" t="e">
        <f t="shared" si="81"/>
        <v>#DIV/0!</v>
      </c>
      <c r="X206" s="1205" t="e">
        <f t="shared" si="81"/>
        <v>#DIV/0!</v>
      </c>
      <c r="Y206" s="1205" t="e">
        <f t="shared" si="81"/>
        <v>#DIV/0!</v>
      </c>
      <c r="Z206" s="1205" t="e">
        <f t="shared" si="81"/>
        <v>#DIV/0!</v>
      </c>
      <c r="AA206" s="1205" t="e">
        <f t="shared" si="81"/>
        <v>#DIV/0!</v>
      </c>
      <c r="AB206" s="1206" t="e">
        <f t="shared" si="81"/>
        <v>#DIV/0!</v>
      </c>
      <c r="AC206" s="1186"/>
      <c r="AD206" s="1172"/>
    </row>
    <row r="207" spans="1:32" ht="79.5" customHeight="1" thickBot="1" x14ac:dyDescent="0.25">
      <c r="B207" s="2151"/>
      <c r="C207" s="1189" t="str">
        <f>'TRAD-Adults YEAR(1)'!B89</f>
        <v>Qtés conditionnements pour l'ensemble des patients initiés sur toute la période avec SS</v>
      </c>
      <c r="D207" s="1207">
        <f>(D204+D205)*$I$7</f>
        <v>0</v>
      </c>
      <c r="E207" s="1207">
        <f t="shared" ref="E207:AB207" si="84">(E204+E205)*$I$7</f>
        <v>0</v>
      </c>
      <c r="F207" s="1207">
        <f t="shared" ref="F207" si="85">(F204+F205)*$I$7</f>
        <v>0</v>
      </c>
      <c r="G207" s="1207">
        <f t="shared" si="84"/>
        <v>0</v>
      </c>
      <c r="H207" s="1207">
        <f t="shared" ref="H207" si="86">(H204+H205)*$I$7</f>
        <v>0</v>
      </c>
      <c r="I207" s="1207">
        <f t="shared" si="84"/>
        <v>0</v>
      </c>
      <c r="J207" s="1207">
        <f t="shared" si="84"/>
        <v>0</v>
      </c>
      <c r="K207" s="1207">
        <f t="shared" si="84"/>
        <v>0</v>
      </c>
      <c r="L207" s="1207" t="e">
        <f t="shared" si="84"/>
        <v>#DIV/0!</v>
      </c>
      <c r="M207" s="1207">
        <f t="shared" si="84"/>
        <v>0</v>
      </c>
      <c r="N207" s="1207">
        <f t="shared" si="84"/>
        <v>0</v>
      </c>
      <c r="O207" s="1207">
        <f t="shared" si="84"/>
        <v>0</v>
      </c>
      <c r="P207" s="1207" t="e">
        <f t="shared" si="84"/>
        <v>#DIV/0!</v>
      </c>
      <c r="Q207" s="1207" t="e">
        <f t="shared" si="84"/>
        <v>#DIV/0!</v>
      </c>
      <c r="R207" s="1207" t="e">
        <f t="shared" si="84"/>
        <v>#DIV/0!</v>
      </c>
      <c r="S207" s="1207" t="e">
        <f t="shared" si="84"/>
        <v>#DIV/0!</v>
      </c>
      <c r="T207" s="1207" t="e">
        <f t="shared" si="84"/>
        <v>#DIV/0!</v>
      </c>
      <c r="U207" s="1207">
        <f t="shared" si="84"/>
        <v>0</v>
      </c>
      <c r="V207" s="1207" t="e">
        <f t="shared" si="84"/>
        <v>#DIV/0!</v>
      </c>
      <c r="W207" s="1207" t="e">
        <f t="shared" si="84"/>
        <v>#DIV/0!</v>
      </c>
      <c r="X207" s="1207" t="e">
        <f t="shared" si="84"/>
        <v>#DIV/0!</v>
      </c>
      <c r="Y207" s="1207" t="e">
        <f t="shared" si="84"/>
        <v>#DIV/0!</v>
      </c>
      <c r="Z207" s="1207" t="e">
        <f t="shared" si="84"/>
        <v>#DIV/0!</v>
      </c>
      <c r="AA207" s="1207" t="e">
        <f t="shared" si="84"/>
        <v>#DIV/0!</v>
      </c>
      <c r="AB207" s="1208" t="e">
        <f t="shared" si="84"/>
        <v>#DIV/0!</v>
      </c>
      <c r="AC207" s="1186"/>
      <c r="AD207" s="1172"/>
    </row>
    <row r="208" spans="1:32" ht="66.75" customHeight="1" thickBot="1" x14ac:dyDescent="0.25">
      <c r="B208" s="2149" t="str">
        <f>'TRAD-Adults YEAR(1)'!B93</f>
        <v>Patients switchés</v>
      </c>
      <c r="C208" s="1189" t="str">
        <f>'TRAD-Adults YEAR(1)'!B85</f>
        <v>Nb de patients initiés par mois recevant l'ARV</v>
      </c>
      <c r="D208" s="1203">
        <f t="shared" ref="D208:AB208" si="87">SUMIF(D181:D198, "X", $AE181:$AE198)+SUMIF(D181:D198, "A", $AE181:$AE198)*D178</f>
        <v>0</v>
      </c>
      <c r="E208" s="1203">
        <f t="shared" si="87"/>
        <v>0</v>
      </c>
      <c r="F208" s="1203">
        <f t="shared" si="87"/>
        <v>0</v>
      </c>
      <c r="G208" s="1203">
        <f t="shared" si="87"/>
        <v>0</v>
      </c>
      <c r="H208" s="1203">
        <f t="shared" si="87"/>
        <v>0</v>
      </c>
      <c r="I208" s="1203">
        <f t="shared" si="87"/>
        <v>0</v>
      </c>
      <c r="J208" s="1203">
        <f t="shared" si="87"/>
        <v>0</v>
      </c>
      <c r="K208" s="1203">
        <f t="shared" si="87"/>
        <v>0</v>
      </c>
      <c r="L208" s="1203" t="e">
        <f t="shared" si="87"/>
        <v>#DIV/0!</v>
      </c>
      <c r="M208" s="1203">
        <f t="shared" si="87"/>
        <v>0</v>
      </c>
      <c r="N208" s="1203">
        <f t="shared" si="87"/>
        <v>0</v>
      </c>
      <c r="O208" s="1203">
        <f t="shared" si="87"/>
        <v>0</v>
      </c>
      <c r="P208" s="1203" t="e">
        <f t="shared" si="87"/>
        <v>#DIV/0!</v>
      </c>
      <c r="Q208" s="1203" t="e">
        <f t="shared" si="87"/>
        <v>#DIV/0!</v>
      </c>
      <c r="R208" s="1203" t="e">
        <f t="shared" si="87"/>
        <v>#DIV/0!</v>
      </c>
      <c r="S208" s="1203" t="e">
        <f t="shared" si="87"/>
        <v>#DIV/0!</v>
      </c>
      <c r="T208" s="1203" t="e">
        <f t="shared" si="87"/>
        <v>#DIV/0!</v>
      </c>
      <c r="U208" s="1203" t="e">
        <f t="shared" si="87"/>
        <v>#DIV/0!</v>
      </c>
      <c r="V208" s="1203" t="e">
        <f t="shared" si="87"/>
        <v>#DIV/0!</v>
      </c>
      <c r="W208" s="1203" t="e">
        <f t="shared" si="87"/>
        <v>#DIV/0!</v>
      </c>
      <c r="X208" s="1203" t="e">
        <f t="shared" si="87"/>
        <v>#DIV/0!</v>
      </c>
      <c r="Y208" s="1203" t="e">
        <f t="shared" si="87"/>
        <v>#DIV/0!</v>
      </c>
      <c r="Z208" s="1203" t="e">
        <f t="shared" si="87"/>
        <v>#DIV/0!</v>
      </c>
      <c r="AA208" s="1203" t="e">
        <f t="shared" si="87"/>
        <v>#DIV/0!</v>
      </c>
      <c r="AB208" s="1204" t="e">
        <f t="shared" si="87"/>
        <v>#DIV/0!</v>
      </c>
      <c r="AC208" s="1186"/>
      <c r="AD208" s="1172"/>
    </row>
    <row r="209" spans="2:30" ht="79.5" customHeight="1" thickBot="1" x14ac:dyDescent="0.25">
      <c r="B209" s="2150"/>
      <c r="C209" s="1189" t="str">
        <f>'TRAD-Adults YEAR(1)'!B86</f>
        <v>Quantités de conditionnements nécessaires pour l'ensemble des patients initiés sur 1 mois</v>
      </c>
      <c r="D209" s="1205">
        <f>D208*D177</f>
        <v>0</v>
      </c>
      <c r="E209" s="1205">
        <f t="shared" ref="E209:AB209" si="88">E208*E177</f>
        <v>0</v>
      </c>
      <c r="F209" s="1205">
        <f t="shared" ref="F209" si="89">F208*F177</f>
        <v>0</v>
      </c>
      <c r="G209" s="1205">
        <f t="shared" si="88"/>
        <v>0</v>
      </c>
      <c r="H209" s="1205">
        <f t="shared" ref="H209" si="90">H208*H177</f>
        <v>0</v>
      </c>
      <c r="I209" s="1205">
        <f t="shared" si="88"/>
        <v>0</v>
      </c>
      <c r="J209" s="1205">
        <f t="shared" si="88"/>
        <v>0</v>
      </c>
      <c r="K209" s="1205">
        <f t="shared" si="88"/>
        <v>0</v>
      </c>
      <c r="L209" s="1205" t="e">
        <f t="shared" si="88"/>
        <v>#DIV/0!</v>
      </c>
      <c r="M209" s="1205">
        <f t="shared" si="88"/>
        <v>0</v>
      </c>
      <c r="N209" s="1205">
        <f t="shared" si="88"/>
        <v>0</v>
      </c>
      <c r="O209" s="1205">
        <f t="shared" si="88"/>
        <v>0</v>
      </c>
      <c r="P209" s="1205" t="e">
        <f t="shared" si="88"/>
        <v>#DIV/0!</v>
      </c>
      <c r="Q209" s="1205" t="e">
        <f t="shared" si="88"/>
        <v>#DIV/0!</v>
      </c>
      <c r="R209" s="1205" t="e">
        <f t="shared" si="88"/>
        <v>#DIV/0!</v>
      </c>
      <c r="S209" s="1205" t="e">
        <f t="shared" si="88"/>
        <v>#DIV/0!</v>
      </c>
      <c r="T209" s="1205" t="e">
        <f t="shared" si="88"/>
        <v>#DIV/0!</v>
      </c>
      <c r="U209" s="1205" t="e">
        <f t="shared" si="88"/>
        <v>#DIV/0!</v>
      </c>
      <c r="V209" s="1205" t="e">
        <f t="shared" si="88"/>
        <v>#DIV/0!</v>
      </c>
      <c r="W209" s="1205" t="e">
        <f t="shared" si="88"/>
        <v>#DIV/0!</v>
      </c>
      <c r="X209" s="1205" t="e">
        <f t="shared" si="88"/>
        <v>#DIV/0!</v>
      </c>
      <c r="Y209" s="1205" t="e">
        <f t="shared" si="88"/>
        <v>#DIV/0!</v>
      </c>
      <c r="Z209" s="1205" t="e">
        <f t="shared" si="88"/>
        <v>#DIV/0!</v>
      </c>
      <c r="AA209" s="1205" t="e">
        <f t="shared" si="88"/>
        <v>#DIV/0!</v>
      </c>
      <c r="AB209" s="1206" t="e">
        <f t="shared" si="88"/>
        <v>#DIV/0!</v>
      </c>
      <c r="AC209" s="1186"/>
      <c r="AD209" s="1172"/>
    </row>
    <row r="210" spans="2:30" ht="95.25" customHeight="1" thickBot="1" x14ac:dyDescent="0.25">
      <c r="B210" s="2150"/>
      <c r="C210" s="1189" t="str">
        <f>'TRAD-Adults YEAR(1)'!B87</f>
        <v>Quantités conditionnements nécessaires Spécificités 3èmes lignes pour 1 mois</v>
      </c>
      <c r="D210" s="1205">
        <f t="shared" ref="D210:AB210" si="91">(IF(D198="X", $AE$198*D179, "0")+IF(D198="A", $AE$198*D178*D179, "0"))*D177</f>
        <v>0</v>
      </c>
      <c r="E210" s="1205">
        <f t="shared" si="91"/>
        <v>0</v>
      </c>
      <c r="F210" s="1205">
        <f t="shared" si="91"/>
        <v>0</v>
      </c>
      <c r="G210" s="1205">
        <f t="shared" si="91"/>
        <v>0</v>
      </c>
      <c r="H210" s="1205">
        <f t="shared" si="91"/>
        <v>0</v>
      </c>
      <c r="I210" s="1205">
        <f t="shared" si="91"/>
        <v>0</v>
      </c>
      <c r="J210" s="1205">
        <f t="shared" si="91"/>
        <v>0</v>
      </c>
      <c r="K210" s="1205">
        <f t="shared" si="91"/>
        <v>0</v>
      </c>
      <c r="L210" s="1205" t="e">
        <f t="shared" si="91"/>
        <v>#DIV/0!</v>
      </c>
      <c r="M210" s="1205">
        <f t="shared" si="91"/>
        <v>0</v>
      </c>
      <c r="N210" s="1205">
        <f t="shared" si="91"/>
        <v>0</v>
      </c>
      <c r="O210" s="1205">
        <f t="shared" si="91"/>
        <v>0</v>
      </c>
      <c r="P210" s="1205" t="e">
        <f t="shared" si="91"/>
        <v>#DIV/0!</v>
      </c>
      <c r="Q210" s="1205" t="e">
        <f t="shared" si="91"/>
        <v>#DIV/0!</v>
      </c>
      <c r="R210" s="1205" t="e">
        <f t="shared" si="91"/>
        <v>#DIV/0!</v>
      </c>
      <c r="S210" s="1205" t="e">
        <f t="shared" si="91"/>
        <v>#DIV/0!</v>
      </c>
      <c r="T210" s="1205" t="e">
        <f t="shared" si="91"/>
        <v>#DIV/0!</v>
      </c>
      <c r="U210" s="1205">
        <f t="shared" si="91"/>
        <v>0</v>
      </c>
      <c r="V210" s="1205" t="e">
        <f t="shared" si="91"/>
        <v>#DIV/0!</v>
      </c>
      <c r="W210" s="1205" t="e">
        <f t="shared" si="91"/>
        <v>#DIV/0!</v>
      </c>
      <c r="X210" s="1205" t="e">
        <f t="shared" si="91"/>
        <v>#DIV/0!</v>
      </c>
      <c r="Y210" s="1205" t="e">
        <f t="shared" si="91"/>
        <v>#DIV/0!</v>
      </c>
      <c r="Z210" s="1205" t="e">
        <f t="shared" si="91"/>
        <v>#DIV/0!</v>
      </c>
      <c r="AA210" s="1205" t="e">
        <f t="shared" si="91"/>
        <v>#DIV/0!</v>
      </c>
      <c r="AB210" s="1206" t="e">
        <f t="shared" si="91"/>
        <v>#DIV/0!</v>
      </c>
      <c r="AC210" s="1186"/>
      <c r="AD210" s="1172"/>
    </row>
    <row r="211" spans="2:30" ht="82.5" customHeight="1" thickBot="1" x14ac:dyDescent="0.25">
      <c r="B211" s="2150"/>
      <c r="C211" s="1189" t="str">
        <f>'TRAD-Adults YEAR(1)'!B88</f>
        <v>Qtés conditionnements pour l'ensemble des patients initiés sur toute la période sans SS</v>
      </c>
      <c r="D211" s="1205">
        <f>(D209+D210)*$I$6</f>
        <v>0</v>
      </c>
      <c r="E211" s="1205">
        <f t="shared" ref="E211:AB211" si="92">(E209+E210)*$I$6</f>
        <v>0</v>
      </c>
      <c r="F211" s="1205">
        <f t="shared" ref="F211" si="93">(F209+F210)*$I$6</f>
        <v>0</v>
      </c>
      <c r="G211" s="1205">
        <f t="shared" si="92"/>
        <v>0</v>
      </c>
      <c r="H211" s="1205">
        <f t="shared" ref="H211" si="94">(H209+H210)*$I$6</f>
        <v>0</v>
      </c>
      <c r="I211" s="1205">
        <f t="shared" si="92"/>
        <v>0</v>
      </c>
      <c r="J211" s="1205">
        <f t="shared" si="92"/>
        <v>0</v>
      </c>
      <c r="K211" s="1205">
        <f t="shared" si="92"/>
        <v>0</v>
      </c>
      <c r="L211" s="1205" t="e">
        <f t="shared" si="92"/>
        <v>#DIV/0!</v>
      </c>
      <c r="M211" s="1205">
        <f t="shared" si="92"/>
        <v>0</v>
      </c>
      <c r="N211" s="1205">
        <f t="shared" si="92"/>
        <v>0</v>
      </c>
      <c r="O211" s="1205">
        <f t="shared" si="92"/>
        <v>0</v>
      </c>
      <c r="P211" s="1205" t="e">
        <f t="shared" si="92"/>
        <v>#DIV/0!</v>
      </c>
      <c r="Q211" s="1205" t="e">
        <f t="shared" si="92"/>
        <v>#DIV/0!</v>
      </c>
      <c r="R211" s="1205" t="e">
        <f t="shared" si="92"/>
        <v>#DIV/0!</v>
      </c>
      <c r="S211" s="1205" t="e">
        <f t="shared" si="92"/>
        <v>#DIV/0!</v>
      </c>
      <c r="T211" s="1205" t="e">
        <f t="shared" si="92"/>
        <v>#DIV/0!</v>
      </c>
      <c r="U211" s="1205" t="e">
        <f t="shared" si="92"/>
        <v>#DIV/0!</v>
      </c>
      <c r="V211" s="1205" t="e">
        <f t="shared" si="92"/>
        <v>#DIV/0!</v>
      </c>
      <c r="W211" s="1205" t="e">
        <f t="shared" si="92"/>
        <v>#DIV/0!</v>
      </c>
      <c r="X211" s="1205" t="e">
        <f t="shared" si="92"/>
        <v>#DIV/0!</v>
      </c>
      <c r="Y211" s="1205" t="e">
        <f t="shared" si="92"/>
        <v>#DIV/0!</v>
      </c>
      <c r="Z211" s="1205" t="e">
        <f t="shared" si="92"/>
        <v>#DIV/0!</v>
      </c>
      <c r="AA211" s="1205" t="e">
        <f t="shared" si="92"/>
        <v>#DIV/0!</v>
      </c>
      <c r="AB211" s="1206" t="e">
        <f t="shared" si="92"/>
        <v>#DIV/0!</v>
      </c>
      <c r="AC211" s="1186"/>
      <c r="AD211" s="1172"/>
    </row>
    <row r="212" spans="2:30" ht="78.75" customHeight="1" thickBot="1" x14ac:dyDescent="0.25">
      <c r="B212" s="2151"/>
      <c r="C212" s="1189" t="str">
        <f>'TRAD-Adults YEAR(1)'!B89</f>
        <v>Qtés conditionnements pour l'ensemble des patients initiés sur toute la période avec SS</v>
      </c>
      <c r="D212" s="1207">
        <f>(D209+D210)*$I$7</f>
        <v>0</v>
      </c>
      <c r="E212" s="1207">
        <f t="shared" ref="E212:AB212" si="95">(E209+E210)*$I$7</f>
        <v>0</v>
      </c>
      <c r="F212" s="1207">
        <f t="shared" ref="F212" si="96">(F209+F210)*$I$7</f>
        <v>0</v>
      </c>
      <c r="G212" s="1207">
        <f t="shared" si="95"/>
        <v>0</v>
      </c>
      <c r="H212" s="1207">
        <f t="shared" ref="H212" si="97">(H209+H210)*$I$7</f>
        <v>0</v>
      </c>
      <c r="I212" s="1207">
        <f t="shared" si="95"/>
        <v>0</v>
      </c>
      <c r="J212" s="1207">
        <f t="shared" si="95"/>
        <v>0</v>
      </c>
      <c r="K212" s="1207">
        <f t="shared" si="95"/>
        <v>0</v>
      </c>
      <c r="L212" s="1207" t="e">
        <f t="shared" si="95"/>
        <v>#DIV/0!</v>
      </c>
      <c r="M212" s="1207">
        <f t="shared" si="95"/>
        <v>0</v>
      </c>
      <c r="N212" s="1207">
        <f t="shared" si="95"/>
        <v>0</v>
      </c>
      <c r="O212" s="1207">
        <f t="shared" si="95"/>
        <v>0</v>
      </c>
      <c r="P212" s="1207" t="e">
        <f t="shared" si="95"/>
        <v>#DIV/0!</v>
      </c>
      <c r="Q212" s="1207" t="e">
        <f t="shared" si="95"/>
        <v>#DIV/0!</v>
      </c>
      <c r="R212" s="1207" t="e">
        <f t="shared" si="95"/>
        <v>#DIV/0!</v>
      </c>
      <c r="S212" s="1207" t="e">
        <f t="shared" si="95"/>
        <v>#DIV/0!</v>
      </c>
      <c r="T212" s="1207" t="e">
        <f t="shared" si="95"/>
        <v>#DIV/0!</v>
      </c>
      <c r="U212" s="1207" t="e">
        <f t="shared" si="95"/>
        <v>#DIV/0!</v>
      </c>
      <c r="V212" s="1207" t="e">
        <f t="shared" si="95"/>
        <v>#DIV/0!</v>
      </c>
      <c r="W212" s="1207" t="e">
        <f t="shared" si="95"/>
        <v>#DIV/0!</v>
      </c>
      <c r="X212" s="1207" t="e">
        <f t="shared" si="95"/>
        <v>#DIV/0!</v>
      </c>
      <c r="Y212" s="1207" t="e">
        <f t="shared" si="95"/>
        <v>#DIV/0!</v>
      </c>
      <c r="Z212" s="1207" t="e">
        <f t="shared" si="95"/>
        <v>#DIV/0!</v>
      </c>
      <c r="AA212" s="1207" t="e">
        <f t="shared" si="95"/>
        <v>#DIV/0!</v>
      </c>
      <c r="AB212" s="1208" t="e">
        <f t="shared" si="95"/>
        <v>#DIV/0!</v>
      </c>
      <c r="AC212" s="1186"/>
      <c r="AD212" s="1172"/>
    </row>
    <row r="213" spans="2:30" ht="43.5" customHeight="1" thickBot="1" x14ac:dyDescent="0.25">
      <c r="B213" s="2152" t="str">
        <f>'TRAD-Adults YEAR(1)'!B96</f>
        <v>Initiation NVP</v>
      </c>
      <c r="C213" s="1189" t="str">
        <f>'TRAD-Adults YEAR(1)'!B98</f>
        <v>Besoins pour initiation NVP sans SS</v>
      </c>
      <c r="D213" s="1203">
        <f>IF('Data &amp; hypothesis Adults'!D184="X", 'Adults YEAR1'!AD181*0.25, "0")*$D$6</f>
        <v>0</v>
      </c>
      <c r="E213" s="1203"/>
      <c r="F213" s="1582"/>
      <c r="G213" s="1203">
        <f>IF('Data &amp; hypothesis Adults'!D184="X", 'Adults YEAR1'!AD181*0.25, IF('Data &amp; hypothesis Adults'!D185="X", 'Adults YEAR1'!AD181*0.5, "0"))*$D$6</f>
        <v>0</v>
      </c>
      <c r="H213" s="1582"/>
      <c r="I213" s="1203">
        <f>IF('Data &amp; hypothesis Adults'!D186="X", 'Adults YEAR1'!AD186*0.25, "0")*$D$6</f>
        <v>0</v>
      </c>
      <c r="J213" s="1203">
        <f>IF('Data &amp; hypothesis Adults'!D186="X", 'Adults YEAR1'!AD186*0.25, IF('Data &amp; hypothesis Adults'!D187="X", 'Adults YEAR1'!AD186*0.5, "0"))*$D$6</f>
        <v>0</v>
      </c>
      <c r="K213" s="1203"/>
      <c r="L213" s="1203"/>
      <c r="M213" s="1203"/>
      <c r="N213" s="1203">
        <f>(IF('Data &amp; hypothesis Adults'!D185="X",'Adults YEAR1'!AD181*0.25,"0")+IF('Data &amp; hypothesis Adults'!D187="X",'Adults YEAR1'!AD186*0.25,"0"))*$D$6</f>
        <v>0</v>
      </c>
      <c r="O213" s="1203"/>
      <c r="P213" s="1203"/>
      <c r="Q213" s="1203"/>
      <c r="R213" s="1203"/>
      <c r="S213" s="1203"/>
      <c r="T213" s="1203"/>
      <c r="U213" s="1203"/>
      <c r="V213" s="1203"/>
      <c r="W213" s="1203"/>
      <c r="X213" s="1203"/>
      <c r="Y213" s="1203"/>
      <c r="Z213" s="1203"/>
      <c r="AA213" s="1203"/>
      <c r="AB213" s="1204"/>
      <c r="AC213" s="1186"/>
      <c r="AD213" s="1172"/>
    </row>
    <row r="214" spans="2:30" ht="39" thickBot="1" x14ac:dyDescent="0.25">
      <c r="B214" s="2153"/>
      <c r="C214" s="1189" t="str">
        <f>'TRAD-Adults YEAR(1)'!B99</f>
        <v>Besoins pour initiation NVP avec SS</v>
      </c>
      <c r="D214" s="1209">
        <f>IF('Data &amp; hypothesis Adults'!D184="X", 'Adults YEAR1'!AD181*0.25, "0")*$D$7</f>
        <v>15.450000000000001</v>
      </c>
      <c r="E214" s="1209"/>
      <c r="F214" s="1209"/>
      <c r="G214" s="1209">
        <f>IF('Data &amp; hypothesis Adults'!D184="X", 'Adults YEAR1'!AD181*0.25, IF('Data &amp; hypothesis Adults'!D185="X", 'Adults YEAR1'!AD181*0.5, "0"))*$D$7</f>
        <v>15.450000000000001</v>
      </c>
      <c r="H214" s="1209"/>
      <c r="I214" s="1209">
        <f>IF('Data &amp; hypothesis Adults'!D186="X", 'Adults YEAR1'!AD186*0.25, "0")*$D$7</f>
        <v>0</v>
      </c>
      <c r="J214" s="1209">
        <f>IF('Data &amp; hypothesis Adults'!D186="X", 'Adults YEAR1'!AD186*0.25, IF('Data &amp; hypothesis Adults'!D187="X", 'Adults YEAR1'!AD186*0.5, "0"))*$D$7</f>
        <v>0</v>
      </c>
      <c r="K214" s="1209"/>
      <c r="L214" s="1209"/>
      <c r="M214" s="1209"/>
      <c r="N214" s="1209">
        <f>(IF('Data &amp; hypothesis Adults'!D185="X",'Adults YEAR1'!AD181*0.25,"0")+IF('Data &amp; hypothesis Adults'!D187="X",'Adults YEAR1'!AD186*0.25,"0"))*$D$7</f>
        <v>0</v>
      </c>
      <c r="O214" s="1209"/>
      <c r="P214" s="1209"/>
      <c r="Q214" s="1209"/>
      <c r="R214" s="1209"/>
      <c r="S214" s="1209"/>
      <c r="T214" s="1209"/>
      <c r="U214" s="1209"/>
      <c r="V214" s="1209"/>
      <c r="W214" s="1209"/>
      <c r="X214" s="1209"/>
      <c r="Y214" s="1209"/>
      <c r="Z214" s="1209"/>
      <c r="AA214" s="1209"/>
      <c r="AB214" s="1210"/>
      <c r="AC214" s="1186"/>
      <c r="AD214" s="1172"/>
    </row>
    <row r="215" spans="2:30" ht="75.75" thickBot="1" x14ac:dyDescent="0.3">
      <c r="B215" s="1201" t="str">
        <f>'TRAD-Adults YEAR(1)'!B97</f>
        <v>Défalcation retrait du passage en 2ème sur les 1ères lignes (ATTENTION négatif)</v>
      </c>
      <c r="C215" s="1189" t="str">
        <f>'TRAD-Adults YEAR(1)'!B100</f>
        <v>Défalcation sans SS</v>
      </c>
      <c r="D215" s="1203" t="str">
        <f>IF('Data &amp; hypothesis Adults'!$G$124="X", SUMIF(D181:D198, "X", $AF181:$AF198)*$I$6*'Data &amp; hypothesis Adults'!$G$126*D177, "0")</f>
        <v>0</v>
      </c>
      <c r="E215" s="1203" t="str">
        <f>IF('Data &amp; hypothesis Adults'!$G$124="X", SUMIF(E181:E198, "X", $AF181:$AF198)*$I$6*'Data &amp; hypothesis Adults'!$G$126*E177, "0")</f>
        <v>0</v>
      </c>
      <c r="F215" s="1203" t="str">
        <f>IF('Data &amp; hypothesis Adults'!$G$124="X", SUMIF(F181:F198, "X", $AF181:$AF198)*$I$6*'Data &amp; hypothesis Adults'!$G$126*F177, "0")</f>
        <v>0</v>
      </c>
      <c r="G215" s="1203" t="str">
        <f>IF('Data &amp; hypothesis Adults'!$G$124="X", SUMIF(G181:G198, "X", $AF181:$AF198)*$I$6*'Data &amp; hypothesis Adults'!$G$126*G177, "0")</f>
        <v>0</v>
      </c>
      <c r="H215" s="1203" t="str">
        <f>IF('Data &amp; hypothesis Adults'!$G$124="X", SUMIF(H181:H198, "X", $AF181:$AF198)*$I$6*'Data &amp; hypothesis Adults'!$G$126*H177, "0")</f>
        <v>0</v>
      </c>
      <c r="I215" s="1203" t="str">
        <f>IF('Data &amp; hypothesis Adults'!$G$124="X", SUMIF(I181:I198, "X", $AF181:$AF198)*$I$6*'Data &amp; hypothesis Adults'!$G$126*I177, "0")</f>
        <v>0</v>
      </c>
      <c r="J215" s="1203" t="str">
        <f>IF('Data &amp; hypothesis Adults'!$G$124="X", SUMIF(J181:J198, "X", $AF181:$AF198)*$I$6*'Data &amp; hypothesis Adults'!$G$126*J177, "0")</f>
        <v>0</v>
      </c>
      <c r="K215" s="1203" t="str">
        <f>IF('Data &amp; hypothesis Adults'!$G$124="X", SUMIF(K181:K198, "X", $AF181:$AF198)*$I$6*'Data &amp; hypothesis Adults'!$G$126*K177, "0")</f>
        <v>0</v>
      </c>
      <c r="L215" s="1203" t="str">
        <f>IF('Data &amp; hypothesis Adults'!$G$124="X", SUMIF(L181:L198, "X", $AF181:$AF198)*$I$6*'Data &amp; hypothesis Adults'!$G$126*L177, "0")</f>
        <v>0</v>
      </c>
      <c r="M215" s="1203" t="str">
        <f>IF('Data &amp; hypothesis Adults'!$G$124="X", SUMIF(M181:M198, "X", $AF181:$AF198)*$I$6*'Data &amp; hypothesis Adults'!$G$126*M177, "0")</f>
        <v>0</v>
      </c>
      <c r="N215" s="1203" t="str">
        <f>IF('Data &amp; hypothesis Adults'!$G$124="X", SUMIF(N181:N198, "X", $AF181:$AF198)*$I$6*'Data &amp; hypothesis Adults'!$G$126*N177, "0")</f>
        <v>0</v>
      </c>
      <c r="O215" s="1203" t="str">
        <f>IF('Data &amp; hypothesis Adults'!$G$124="X", SUMIF(O181:O198, "X", $AF181:$AF198)*$I$6*'Data &amp; hypothesis Adults'!$G$126*O177, "0")</f>
        <v>0</v>
      </c>
      <c r="P215" s="1203" t="str">
        <f>IF('Data &amp; hypothesis Adults'!$G$124="X", SUMIF(P181:P198, "X", $AF181:$AF198)*$I$6*'Data &amp; hypothesis Adults'!$G$126*P177, "0")</f>
        <v>0</v>
      </c>
      <c r="Q215" s="1203" t="str">
        <f>IF('Data &amp; hypothesis Adults'!$G$124="X", SUMIF(Q181:Q198, "X", $AF181:$AF198)*$I$6*'Data &amp; hypothesis Adults'!$G$126*Q177, "0")</f>
        <v>0</v>
      </c>
      <c r="R215" s="1203" t="str">
        <f>IF('Data &amp; hypothesis Adults'!$G$124="X", SUMIF(R181:R198, "X", $AF181:$AF198)*$I$6*'Data &amp; hypothesis Adults'!$G$126*R177, "0")</f>
        <v>0</v>
      </c>
      <c r="S215" s="1203" t="str">
        <f>IF('Data &amp; hypothesis Adults'!$G$124="X", SUMIF(S181:S198, "X", $AF181:$AF198)*$I$6*'Data &amp; hypothesis Adults'!$G$126*S177, "0")</f>
        <v>0</v>
      </c>
      <c r="T215" s="1203" t="str">
        <f>IF('Data &amp; hypothesis Adults'!$G$124="X", SUMIF(T181:T198, "X", $AF181:$AF198)*$I$6*'Data &amp; hypothesis Adults'!$G$126*T177, "0")</f>
        <v>0</v>
      </c>
      <c r="U215" s="1203" t="str">
        <f>IF('Data &amp; hypothesis Adults'!$G$124="X", SUMIF(U181:U198, "X", $AF181:$AF198)*$I$6*'Data &amp; hypothesis Adults'!$G$126*U177, "0")</f>
        <v>0</v>
      </c>
      <c r="V215" s="1203" t="str">
        <f>IF('Data &amp; hypothesis Adults'!$G$124="X", SUMIF(V181:V198, "X", $AF181:$AF198)*$I$6*'Data &amp; hypothesis Adults'!$G$126*V177, "0")</f>
        <v>0</v>
      </c>
      <c r="W215" s="1203" t="str">
        <f>IF('Data &amp; hypothesis Adults'!$G$124="X", SUMIF(W181:W198, "X", $AF181:$AF198)*$I$6*'Data &amp; hypothesis Adults'!$G$126*W177, "0")</f>
        <v>0</v>
      </c>
      <c r="X215" s="1203" t="str">
        <f>IF('Data &amp; hypothesis Adults'!$G$124="X", SUMIF(X181:X198, "X", $AF181:$AF198)*$I$6*'Data &amp; hypothesis Adults'!$G$126*X177, "0")</f>
        <v>0</v>
      </c>
      <c r="Y215" s="1203" t="str">
        <f>IF('Data &amp; hypothesis Adults'!$G$124="X", SUMIF(Y181:Y198, "X", $AF181:$AF198)*$I$6*'Data &amp; hypothesis Adults'!$G$126*Y177, "0")</f>
        <v>0</v>
      </c>
      <c r="Z215" s="1203" t="str">
        <f>IF('Data &amp; hypothesis Adults'!$G$124="X", SUMIF(Z181:Z198, "X", $AF181:$AF198)*$I$6*'Data &amp; hypothesis Adults'!$G$126*Z177, "0")</f>
        <v>0</v>
      </c>
      <c r="AA215" s="1203" t="str">
        <f>IF('Data &amp; hypothesis Adults'!$G$124="X", SUMIF(AA181:AA198, "X", $AF181:$AF198)*$I$6*'Data &amp; hypothesis Adults'!$G$126*AA177, "0")</f>
        <v>0</v>
      </c>
      <c r="AB215" s="1204" t="str">
        <f>IF('Data &amp; hypothesis Adults'!$G$124="X", SUMIF(AB181:AB198, "X", $AF181:$AF198)*$I$6*'Data &amp; hypothesis Adults'!$G$126*AB177, "0")</f>
        <v>0</v>
      </c>
      <c r="AC215" s="1186"/>
      <c r="AD215" s="1172"/>
    </row>
    <row r="216" spans="2:30" ht="26.25" thickBot="1" x14ac:dyDescent="0.3">
      <c r="B216" s="1202"/>
      <c r="C216" s="1189" t="str">
        <f>'TRAD-Adults YEAR(1)'!B101</f>
        <v>Défalcation avec SS</v>
      </c>
      <c r="D216" s="1207" t="str">
        <f>IF('Data &amp; hypothesis Adults'!$G$124="X", SUMIF(D181:D198, "X", $AF181:$AF198)*$I$7*'Data &amp; hypothesis Adults'!$G$126*D177, "0")</f>
        <v>0</v>
      </c>
      <c r="E216" s="1207" t="str">
        <f>IF('Data &amp; hypothesis Adults'!$G$124="X", SUMIF(E181:E198, "X", $AF181:$AF198)*$I$7*'Data &amp; hypothesis Adults'!$G$126*E177, "0")</f>
        <v>0</v>
      </c>
      <c r="F216" s="1207" t="str">
        <f>IF('Data &amp; hypothesis Adults'!$G$124="X", SUMIF(F181:F198, "X", $AF181:$AF198)*$I$7*'Data &amp; hypothesis Adults'!$G$126*F177, "0")</f>
        <v>0</v>
      </c>
      <c r="G216" s="1207" t="str">
        <f>IF('Data &amp; hypothesis Adults'!$G$124="X", SUMIF(G181:G198, "X", $AF181:$AF198)*$I$7*'Data &amp; hypothesis Adults'!$G$126*G177, "0")</f>
        <v>0</v>
      </c>
      <c r="H216" s="1207" t="str">
        <f>IF('Data &amp; hypothesis Adults'!$G$124="X", SUMIF(H181:H198, "X", $AF181:$AF198)*$I$7*'Data &amp; hypothesis Adults'!$G$126*H177, "0")</f>
        <v>0</v>
      </c>
      <c r="I216" s="1207" t="str">
        <f>IF('Data &amp; hypothesis Adults'!$G$124="X", SUMIF(I181:I198, "X", $AF181:$AF198)*$I$7*'Data &amp; hypothesis Adults'!$G$126*I177, "0")</f>
        <v>0</v>
      </c>
      <c r="J216" s="1207" t="str">
        <f>IF('Data &amp; hypothesis Adults'!$G$124="X", SUMIF(J181:J198, "X", $AF181:$AF198)*$I$7*'Data &amp; hypothesis Adults'!$G$126*J177, "0")</f>
        <v>0</v>
      </c>
      <c r="K216" s="1207" t="str">
        <f>IF('Data &amp; hypothesis Adults'!$G$124="X", SUMIF(K181:K198, "X", $AF181:$AF198)*$I$7*'Data &amp; hypothesis Adults'!$G$126*K177, "0")</f>
        <v>0</v>
      </c>
      <c r="L216" s="1207" t="str">
        <f>IF('Data &amp; hypothesis Adults'!$G$124="X", SUMIF(L181:L198, "X", $AF181:$AF198)*$I$7*'Data &amp; hypothesis Adults'!$G$126*L177, "0")</f>
        <v>0</v>
      </c>
      <c r="M216" s="1207" t="str">
        <f>IF('Data &amp; hypothesis Adults'!$G$124="X", SUMIF(M181:M198, "X", $AF181:$AF198)*$I$7*'Data &amp; hypothesis Adults'!$G$126*M177, "0")</f>
        <v>0</v>
      </c>
      <c r="N216" s="1207" t="str">
        <f>IF('Data &amp; hypothesis Adults'!$G$124="X", SUMIF(N181:N198, "X", $AF181:$AF198)*$I$7*'Data &amp; hypothesis Adults'!$G$126*N177, "0")</f>
        <v>0</v>
      </c>
      <c r="O216" s="1207" t="str">
        <f>IF('Data &amp; hypothesis Adults'!$G$124="X", SUMIF(O181:O198, "X", $AF181:$AF198)*$I$7*'Data &amp; hypothesis Adults'!$G$126*O177, "0")</f>
        <v>0</v>
      </c>
      <c r="P216" s="1207" t="str">
        <f>IF('Data &amp; hypothesis Adults'!$G$124="X", SUMIF(P181:P198, "X", $AF181:$AF198)*$I$7*'Data &amp; hypothesis Adults'!$G$126*P177, "0")</f>
        <v>0</v>
      </c>
      <c r="Q216" s="1207" t="str">
        <f>IF('Data &amp; hypothesis Adults'!$G$124="X", SUMIF(Q181:Q198, "X", $AF181:$AF198)*$I$7*'Data &amp; hypothesis Adults'!$G$126*Q177, "0")</f>
        <v>0</v>
      </c>
      <c r="R216" s="1207" t="str">
        <f>IF('Data &amp; hypothesis Adults'!$G$124="X", SUMIF(R181:R198, "X", $AF181:$AF198)*$I$7*'Data &amp; hypothesis Adults'!$G$126*R177, "0")</f>
        <v>0</v>
      </c>
      <c r="S216" s="1207" t="str">
        <f>IF('Data &amp; hypothesis Adults'!$G$124="X", SUMIF(S181:S198, "X", $AF181:$AF198)*$I$7*'Data &amp; hypothesis Adults'!$G$126*S177, "0")</f>
        <v>0</v>
      </c>
      <c r="T216" s="1207" t="str">
        <f>IF('Data &amp; hypothesis Adults'!$G$124="X", SUMIF(T181:T198, "X", $AF181:$AF198)*$I$7*'Data &amp; hypothesis Adults'!$G$126*T177, "0")</f>
        <v>0</v>
      </c>
      <c r="U216" s="1207" t="str">
        <f>IF('Data &amp; hypothesis Adults'!$G$124="X", SUMIF(U181:U198, "X", $AF181:$AF198)*$I$7*'Data &amp; hypothesis Adults'!$G$126*U177, "0")</f>
        <v>0</v>
      </c>
      <c r="V216" s="1207" t="str">
        <f>IF('Data &amp; hypothesis Adults'!$G$124="X", SUMIF(V181:V198, "X", $AF181:$AF198)*$I$7*'Data &amp; hypothesis Adults'!$G$126*V177, "0")</f>
        <v>0</v>
      </c>
      <c r="W216" s="1207" t="str">
        <f>IF('Data &amp; hypothesis Adults'!$G$124="X", SUMIF(W181:W198, "X", $AF181:$AF198)*$I$7*'Data &amp; hypothesis Adults'!$G$126*W177, "0")</f>
        <v>0</v>
      </c>
      <c r="X216" s="1207" t="str">
        <f>IF('Data &amp; hypothesis Adults'!$G$124="X", SUMIF(X181:X198, "X", $AF181:$AF198)*$I$7*'Data &amp; hypothesis Adults'!$G$126*X177, "0")</f>
        <v>0</v>
      </c>
      <c r="Y216" s="1207" t="str">
        <f>IF('Data &amp; hypothesis Adults'!$G$124="X", SUMIF(Y181:Y198, "X", $AF181:$AF198)*$I$7*'Data &amp; hypothesis Adults'!$G$126*Y177, "0")</f>
        <v>0</v>
      </c>
      <c r="Z216" s="1207" t="str">
        <f>IF('Data &amp; hypothesis Adults'!$G$124="X", SUMIF(Z181:Z198, "X", $AF181:$AF198)*$I$7*'Data &amp; hypothesis Adults'!$G$126*Z177, "0")</f>
        <v>0</v>
      </c>
      <c r="AA216" s="1207" t="str">
        <f>IF('Data &amp; hypothesis Adults'!$G$124="X", SUMIF(AA181:AA198, "X", $AF181:$AF198)*$I$7*'Data &amp; hypothesis Adults'!$G$126*AA177, "0")</f>
        <v>0</v>
      </c>
      <c r="AB216" s="1208" t="str">
        <f>IF('Data &amp; hypothesis Adults'!$G$124="X", SUMIF(AB181:AB198, "X", $AF181:$AF198)*$I$7*'Data &amp; hypothesis Adults'!$G$126*AB177, "0")</f>
        <v>0</v>
      </c>
      <c r="AC216" s="1186"/>
      <c r="AD216" s="1172"/>
    </row>
    <row r="217" spans="2:30" ht="26.25" thickBot="1" x14ac:dyDescent="0.3">
      <c r="B217" s="1170" t="s">
        <v>6</v>
      </c>
      <c r="C217" s="1189" t="str">
        <f>'TRAD-Adults YEAR(1)'!B102</f>
        <v>Besoins totaux hors SS</v>
      </c>
      <c r="D217" s="1191">
        <f>D201+D206+D211+D213-D215</f>
        <v>0</v>
      </c>
      <c r="E217" s="1191">
        <f t="shared" ref="E217:AB218" si="98">E201+E206+E211+E213-E215</f>
        <v>0</v>
      </c>
      <c r="F217" s="1191">
        <f t="shared" ref="F217" si="99">F201+F206+F211+F213-F215</f>
        <v>0</v>
      </c>
      <c r="G217" s="1191">
        <f t="shared" si="98"/>
        <v>0</v>
      </c>
      <c r="H217" s="1191">
        <f t="shared" ref="H217" si="100">H201+H206+H211+H213-H215</f>
        <v>0</v>
      </c>
      <c r="I217" s="1191">
        <f t="shared" si="98"/>
        <v>0</v>
      </c>
      <c r="J217" s="1191">
        <f t="shared" si="98"/>
        <v>0</v>
      </c>
      <c r="K217" s="1191">
        <f t="shared" si="98"/>
        <v>0</v>
      </c>
      <c r="L217" s="1191" t="e">
        <f t="shared" si="98"/>
        <v>#DIV/0!</v>
      </c>
      <c r="M217" s="1191">
        <f t="shared" si="98"/>
        <v>0</v>
      </c>
      <c r="N217" s="1191">
        <f t="shared" si="98"/>
        <v>0</v>
      </c>
      <c r="O217" s="1191">
        <f t="shared" si="98"/>
        <v>0</v>
      </c>
      <c r="P217" s="1191" t="e">
        <f t="shared" si="98"/>
        <v>#DIV/0!</v>
      </c>
      <c r="Q217" s="1191" t="e">
        <f t="shared" si="98"/>
        <v>#DIV/0!</v>
      </c>
      <c r="R217" s="1191" t="e">
        <f t="shared" si="98"/>
        <v>#DIV/0!</v>
      </c>
      <c r="S217" s="1191" t="e">
        <f t="shared" si="98"/>
        <v>#DIV/0!</v>
      </c>
      <c r="T217" s="1191" t="e">
        <f t="shared" si="98"/>
        <v>#DIV/0!</v>
      </c>
      <c r="U217" s="1191" t="e">
        <f t="shared" si="98"/>
        <v>#DIV/0!</v>
      </c>
      <c r="V217" s="1191" t="e">
        <f t="shared" si="98"/>
        <v>#DIV/0!</v>
      </c>
      <c r="W217" s="1191" t="e">
        <f t="shared" si="98"/>
        <v>#DIV/0!</v>
      </c>
      <c r="X217" s="1191" t="e">
        <f t="shared" si="98"/>
        <v>#DIV/0!</v>
      </c>
      <c r="Y217" s="1191" t="e">
        <f t="shared" si="98"/>
        <v>#DIV/0!</v>
      </c>
      <c r="Z217" s="1191" t="e">
        <f t="shared" si="98"/>
        <v>#DIV/0!</v>
      </c>
      <c r="AA217" s="1191" t="e">
        <f t="shared" si="98"/>
        <v>#DIV/0!</v>
      </c>
      <c r="AB217" s="1191" t="e">
        <f t="shared" si="98"/>
        <v>#DIV/0!</v>
      </c>
      <c r="AC217" s="1172"/>
      <c r="AD217" s="1172"/>
    </row>
    <row r="218" spans="2:30" ht="26.25" thickBot="1" x14ac:dyDescent="0.25">
      <c r="B218"/>
      <c r="C218" s="1189" t="str">
        <f>'TRAD-Adults YEAR(1)'!B103</f>
        <v>Besoins totaux avec SS</v>
      </c>
      <c r="D218" s="1191">
        <f>D202+D207+D212+D214-D216</f>
        <v>31624.723643394911</v>
      </c>
      <c r="E218" s="1180">
        <f t="shared" si="98"/>
        <v>230.33345874284765</v>
      </c>
      <c r="F218" s="1180">
        <f t="shared" ref="F218" si="101">F202+F207+F212+F214-F216</f>
        <v>0</v>
      </c>
      <c r="G218" s="1180">
        <f t="shared" si="98"/>
        <v>6119.7413046505326</v>
      </c>
      <c r="H218" s="1180">
        <f t="shared" ref="H218" si="102">H202+H207+H212+H214-H216</f>
        <v>200.48215332010915</v>
      </c>
      <c r="I218" s="1180">
        <f t="shared" si="98"/>
        <v>0</v>
      </c>
      <c r="J218" s="1180">
        <f t="shared" si="98"/>
        <v>0</v>
      </c>
      <c r="K218" s="1180">
        <f t="shared" si="98"/>
        <v>17607.430398497199</v>
      </c>
      <c r="L218" s="1180" t="e">
        <f t="shared" si="98"/>
        <v>#DIV/0!</v>
      </c>
      <c r="M218" s="1180">
        <f t="shared" si="98"/>
        <v>4210.3070789083204</v>
      </c>
      <c r="N218" s="1180">
        <f t="shared" si="98"/>
        <v>0</v>
      </c>
      <c r="O218" s="1180">
        <f t="shared" si="98"/>
        <v>0</v>
      </c>
      <c r="P218" s="1180" t="e">
        <f t="shared" si="98"/>
        <v>#DIV/0!</v>
      </c>
      <c r="Q218" s="1180" t="e">
        <f t="shared" si="98"/>
        <v>#DIV/0!</v>
      </c>
      <c r="R218" s="1180" t="e">
        <f t="shared" si="98"/>
        <v>#DIV/0!</v>
      </c>
      <c r="S218" s="1180" t="e">
        <f t="shared" si="98"/>
        <v>#DIV/0!</v>
      </c>
      <c r="T218" s="1180" t="e">
        <f t="shared" si="98"/>
        <v>#DIV/0!</v>
      </c>
      <c r="U218" s="1180" t="e">
        <f t="shared" si="98"/>
        <v>#DIV/0!</v>
      </c>
      <c r="V218" s="1180" t="e">
        <f t="shared" si="98"/>
        <v>#DIV/0!</v>
      </c>
      <c r="W218" s="1180" t="e">
        <f t="shared" si="98"/>
        <v>#DIV/0!</v>
      </c>
      <c r="X218" s="1180" t="e">
        <f t="shared" si="98"/>
        <v>#DIV/0!</v>
      </c>
      <c r="Y218" s="1180" t="e">
        <f t="shared" si="98"/>
        <v>#DIV/0!</v>
      </c>
      <c r="Z218" s="1180" t="e">
        <f t="shared" si="98"/>
        <v>#DIV/0!</v>
      </c>
      <c r="AA218" s="1180" t="e">
        <f t="shared" si="98"/>
        <v>#DIV/0!</v>
      </c>
      <c r="AB218" s="1180" t="e">
        <f t="shared" si="98"/>
        <v>#DIV/0!</v>
      </c>
      <c r="AC218" s="1172"/>
      <c r="AD218" s="1172"/>
    </row>
    <row r="219" spans="2:30" ht="38.25" x14ac:dyDescent="0.2">
      <c r="B219"/>
      <c r="C219" s="1189" t="str">
        <f>'TRAD-Adults YEAR(1)'!B104</f>
        <v>Quantités nécessaire sur le SS</v>
      </c>
      <c r="D219" s="1181">
        <f>D218-D217</f>
        <v>31624.723643394911</v>
      </c>
      <c r="E219" s="1181">
        <f t="shared" ref="E219:AB219" si="103">E218-E217</f>
        <v>230.33345874284765</v>
      </c>
      <c r="F219" s="1181">
        <f t="shared" ref="F219" si="104">F218-F217</f>
        <v>0</v>
      </c>
      <c r="G219" s="1181">
        <f t="shared" si="103"/>
        <v>6119.7413046505326</v>
      </c>
      <c r="H219" s="1181">
        <f t="shared" ref="H219" si="105">H218-H217</f>
        <v>200.48215332010915</v>
      </c>
      <c r="I219" s="1181">
        <f t="shared" si="103"/>
        <v>0</v>
      </c>
      <c r="J219" s="1181">
        <f t="shared" si="103"/>
        <v>0</v>
      </c>
      <c r="K219" s="1181">
        <f t="shared" si="103"/>
        <v>17607.430398497199</v>
      </c>
      <c r="L219" s="1181" t="e">
        <f t="shared" si="103"/>
        <v>#DIV/0!</v>
      </c>
      <c r="M219" s="1181">
        <f t="shared" si="103"/>
        <v>4210.3070789083204</v>
      </c>
      <c r="N219" s="1181">
        <f t="shared" si="103"/>
        <v>0</v>
      </c>
      <c r="O219" s="1181">
        <f t="shared" si="103"/>
        <v>0</v>
      </c>
      <c r="P219" s="1181" t="e">
        <f t="shared" si="103"/>
        <v>#DIV/0!</v>
      </c>
      <c r="Q219" s="1181" t="e">
        <f t="shared" si="103"/>
        <v>#DIV/0!</v>
      </c>
      <c r="R219" s="1181" t="e">
        <f t="shared" si="103"/>
        <v>#DIV/0!</v>
      </c>
      <c r="S219" s="1181" t="e">
        <f t="shared" si="103"/>
        <v>#DIV/0!</v>
      </c>
      <c r="T219" s="1181" t="e">
        <f t="shared" si="103"/>
        <v>#DIV/0!</v>
      </c>
      <c r="U219" s="1181" t="e">
        <f t="shared" si="103"/>
        <v>#DIV/0!</v>
      </c>
      <c r="V219" s="1181" t="e">
        <f t="shared" si="103"/>
        <v>#DIV/0!</v>
      </c>
      <c r="W219" s="1181" t="e">
        <f t="shared" si="103"/>
        <v>#DIV/0!</v>
      </c>
      <c r="X219" s="1181" t="e">
        <f t="shared" si="103"/>
        <v>#DIV/0!</v>
      </c>
      <c r="Y219" s="1181" t="e">
        <f t="shared" si="103"/>
        <v>#DIV/0!</v>
      </c>
      <c r="Z219" s="1181" t="e">
        <f t="shared" si="103"/>
        <v>#DIV/0!</v>
      </c>
      <c r="AA219" s="1181" t="e">
        <f t="shared" si="103"/>
        <v>#DIV/0!</v>
      </c>
      <c r="AB219" s="1181" t="e">
        <f t="shared" si="103"/>
        <v>#DIV/0!</v>
      </c>
      <c r="AC219" s="1172"/>
      <c r="AD219" s="1172"/>
    </row>
    <row r="220" spans="2:30" x14ac:dyDescent="0.2">
      <c r="B220"/>
      <c r="C220" s="1248"/>
      <c r="D220" s="1249"/>
      <c r="E220" s="1249"/>
      <c r="F220" s="1249"/>
      <c r="G220" s="1249"/>
      <c r="H220" s="1249"/>
      <c r="I220" s="1249"/>
      <c r="J220" s="1249"/>
      <c r="K220" s="1249"/>
      <c r="L220" s="1249"/>
      <c r="M220" s="1249"/>
      <c r="N220" s="1249"/>
      <c r="O220" s="1249"/>
      <c r="P220" s="1249"/>
      <c r="Q220" s="1249"/>
      <c r="R220" s="1249"/>
      <c r="S220" s="1249"/>
      <c r="T220" s="1249"/>
      <c r="U220" s="1249"/>
      <c r="V220" s="1249"/>
      <c r="W220" s="1249"/>
      <c r="X220" s="1249"/>
      <c r="Y220" s="1249"/>
      <c r="Z220" s="1249"/>
      <c r="AA220" s="1249"/>
      <c r="AB220" s="1249"/>
      <c r="AC220" s="497"/>
      <c r="AD220" s="497"/>
    </row>
    <row r="222" spans="2:30" ht="15" x14ac:dyDescent="0.2">
      <c r="B222" s="2143" t="str">
        <f>'TRAD-Adults YEAR(1)'!B105</f>
        <v>Synthèse</v>
      </c>
      <c r="C222" s="2143"/>
      <c r="D222" s="2143"/>
      <c r="E222" s="2143"/>
      <c r="F222" s="2143"/>
      <c r="G222" s="1158"/>
      <c r="H222" s="1158"/>
      <c r="I222" s="1158"/>
      <c r="J222" s="1158"/>
      <c r="K222" s="1158"/>
      <c r="L222" s="2143"/>
      <c r="M222" s="2143"/>
      <c r="N222" s="1158"/>
    </row>
    <row r="223" spans="2:30" ht="13.5" thickBot="1" x14ac:dyDescent="0.25"/>
    <row r="224" spans="2:30" ht="13.5" thickBot="1" x14ac:dyDescent="0.25">
      <c r="I224" s="803"/>
      <c r="J224" s="2141" t="str">
        <f>'TRAD-Adults YEAR(1)'!B113</f>
        <v>Calculs SANS marge de sécurité</v>
      </c>
      <c r="K224" s="2142"/>
      <c r="L224" s="2142"/>
      <c r="M224" s="2142"/>
      <c r="N224" s="2142"/>
      <c r="O224" s="2142"/>
      <c r="P224" s="2141" t="str">
        <f>'TRAD-Adults YEAR(1)'!B121</f>
        <v>Calculs AVEC marge de sécurité</v>
      </c>
      <c r="Q224" s="2142"/>
      <c r="R224" s="2142"/>
      <c r="S224" s="2142"/>
      <c r="T224" s="2142"/>
      <c r="U224" s="2142"/>
      <c r="V224" s="2155" t="str">
        <f>'TRAD-Adults YEAR(1)'!B124</f>
        <v>MARGE</v>
      </c>
      <c r="W224" s="2156"/>
    </row>
    <row r="225" spans="2:23" ht="77.25" thickBot="1" x14ac:dyDescent="0.25">
      <c r="B225" s="294"/>
      <c r="C225" s="295" t="str">
        <f>'TRAD-Adults YEAR(1)'!B106</f>
        <v>Composition</v>
      </c>
      <c r="D225" s="296" t="str">
        <f>'TRAD-Adults YEAR(1)'!B107</f>
        <v>Nom du médicament</v>
      </c>
      <c r="E225" s="296" t="str">
        <f>'TRAD-Adults YEAR(1)'!B108</f>
        <v>Forme galénique</v>
      </c>
      <c r="F225" s="296" t="str">
        <f>'TRAD-Adults YEAR(1)'!B109</f>
        <v>Dosage</v>
      </c>
      <c r="G225" s="296" t="str">
        <f>'TRAD-Adults YEAR(1)'!B110</f>
        <v>Nb d'unités de prise / boite</v>
      </c>
      <c r="H225" s="296" t="str">
        <f>'TRAD-Adults YEAR(1)'!B111</f>
        <v>Nb de prise / mois / patient</v>
      </c>
      <c r="I225" s="297" t="str">
        <f>'TRAD-Adults YEAR(1)'!B112</f>
        <v>Nb de boite / mois / patient</v>
      </c>
      <c r="J225" s="438" t="str">
        <f>'TRAD-Adults YEAR(1)'!B114</f>
        <v>Qtés de boites pour les patients présents en début de période</v>
      </c>
      <c r="K225" s="300" t="str">
        <f>'TRAD-Adults YEAR(1)'!B115</f>
        <v>Qtés de boites pour les Initiations</v>
      </c>
      <c r="L225" s="300" t="str">
        <f>'TRAD-Adults YEAR(1)'!B116</f>
        <v>Qtés de boites pour initiation NVP</v>
      </c>
      <c r="M225" s="299" t="str">
        <f>'TRAD-Adults YEAR(1)'!B117</f>
        <v>Passage en 2ème ligne Entrées</v>
      </c>
      <c r="N225" s="299" t="str">
        <f>'TRAD-Adults YEAR(1)'!B118</f>
        <v>Passage en 2ème ligne - Défalcation 1ère ligne [1]</v>
      </c>
      <c r="O225" s="805" t="str">
        <f>'TRAD-Adults YEAR(1)'!B119</f>
        <v>TOTAL (nb de boites)</v>
      </c>
      <c r="P225" s="438" t="str">
        <f>'TRAD-Adults YEAR(1)'!B114</f>
        <v>Qtés de boites pour les patients présents en début de période</v>
      </c>
      <c r="Q225" s="300" t="str">
        <f>'TRAD-Adults YEAR(1)'!B115</f>
        <v>Qtés de boites pour les Initiations</v>
      </c>
      <c r="R225" s="300" t="str">
        <f>'TRAD-Adults YEAR(1)'!B116</f>
        <v>Qtés de boites pour initiation NVP</v>
      </c>
      <c r="S225" s="299" t="str">
        <f>'TRAD-Adults YEAR(1)'!B117</f>
        <v>Passage en 2ème ligne Entrées</v>
      </c>
      <c r="T225" s="299" t="str">
        <f>'TRAD-Adults YEAR(1)'!B118</f>
        <v>Passage en 2ème ligne - Défalcation 1ère ligne [1]</v>
      </c>
      <c r="U225" s="805" t="str">
        <f>'TRAD-Adults YEAR(1)'!B122</f>
        <v>TOTAL + Marge période définie (nb de boites)</v>
      </c>
      <c r="V225" s="806" t="str">
        <f>'TRAD-Adults YEAR(1)'!B123</f>
        <v>Marge période définie (nb de boites)</v>
      </c>
      <c r="W225" s="837" t="str">
        <f>'TRAD-Adults YEAR(1)'!B131</f>
        <v>Différence de marge / année précédente</v>
      </c>
    </row>
    <row r="226" spans="2:23" x14ac:dyDescent="0.2">
      <c r="B226" s="807" t="s">
        <v>75</v>
      </c>
      <c r="C226" s="305" t="s">
        <v>7</v>
      </c>
      <c r="D226" s="305" t="s">
        <v>76</v>
      </c>
      <c r="E226" s="305" t="s">
        <v>521</v>
      </c>
      <c r="F226" s="1242" t="str">
        <f>'Data &amp; hypothesis Adults'!G228</f>
        <v>300/150/200 mg</v>
      </c>
      <c r="G226" s="1236">
        <f>'Data &amp; hypothesis Adults'!H228</f>
        <v>60</v>
      </c>
      <c r="H226" s="1236">
        <f>'Data &amp; hypothesis Adults'!J228</f>
        <v>60</v>
      </c>
      <c r="I226" s="1211">
        <f>'Data &amp; hypothesis Adults'!K228</f>
        <v>1</v>
      </c>
      <c r="J226" s="809">
        <f t="array" ref="J226:J250">TRANSPOSE($D201:$AB201)</f>
        <v>0</v>
      </c>
      <c r="K226" s="809">
        <f t="array" ref="K226:K250">TRANSPOSE($D206:$AB206)</f>
        <v>0</v>
      </c>
      <c r="L226" s="809">
        <f t="array" ref="L226:L250">TRANSPOSE($D213:$AB213)</f>
        <v>0</v>
      </c>
      <c r="M226" s="809">
        <f t="array" ref="M226:M250">TRANSPOSE($D211:$AB211)</f>
        <v>0</v>
      </c>
      <c r="N226" s="809" t="str">
        <f t="array" ref="N226:N250">TRANSPOSE($D215:$AB215)</f>
        <v>0</v>
      </c>
      <c r="O226" s="810">
        <f>ROUNDUP(SUM(J226:M226)-N226, 0)</f>
        <v>0</v>
      </c>
      <c r="P226" s="809">
        <f t="array" ref="P226:P250">TRANSPOSE($D202:$AB202)</f>
        <v>31609.27364339491</v>
      </c>
      <c r="Q226" s="809">
        <f t="array" ref="Q226:Q250">TRANSPOSE($D207:$AB207)</f>
        <v>0</v>
      </c>
      <c r="R226" s="809">
        <f t="array" ref="R226:R250">TRANSPOSE($D214:$AB214)</f>
        <v>15.450000000000001</v>
      </c>
      <c r="S226" s="809">
        <f t="array" ref="S226:S250">TRANSPOSE($D212:$AB212)</f>
        <v>0</v>
      </c>
      <c r="T226" s="809" t="str">
        <f t="array" ref="T226:T250">TRANSPOSE($D216:$AB216)</f>
        <v>0</v>
      </c>
      <c r="U226" s="810">
        <f>ROUNDUP(SUM(P226:S226)-T226, 0)</f>
        <v>31625</v>
      </c>
      <c r="V226" s="811">
        <f t="shared" ref="V226:V250" si="106">IF((U226-O226)&gt;0, (U226-O226), "0")</f>
        <v>31625</v>
      </c>
      <c r="W226" s="810" t="str">
        <f>IF((V226-'Adults YEAR1'!V226)&gt;0, (V226-'Adults YEAR1'!V226), "0")</f>
        <v>0</v>
      </c>
    </row>
    <row r="227" spans="2:23" x14ac:dyDescent="0.2">
      <c r="B227" s="812"/>
      <c r="C227" s="314" t="s">
        <v>140</v>
      </c>
      <c r="D227" s="314"/>
      <c r="E227" s="314" t="s">
        <v>521</v>
      </c>
      <c r="F227" s="1243" t="str">
        <f>'Data &amp; hypothesis Adults'!G229</f>
        <v>300/150/300 mg</v>
      </c>
      <c r="G227" s="1237">
        <f>'Data &amp; hypothesis Adults'!H229</f>
        <v>60</v>
      </c>
      <c r="H227" s="1237">
        <f>'Data &amp; hypothesis Adults'!J229</f>
        <v>60</v>
      </c>
      <c r="I227" s="1212">
        <f>'Data &amp; hypothesis Adults'!K229</f>
        <v>1</v>
      </c>
      <c r="J227" s="814">
        <v>0</v>
      </c>
      <c r="K227" s="814">
        <v>0</v>
      </c>
      <c r="L227" s="814">
        <v>0</v>
      </c>
      <c r="M227" s="814">
        <v>0</v>
      </c>
      <c r="N227" s="814" t="str">
        <v>0</v>
      </c>
      <c r="O227" s="815">
        <f t="shared" ref="O227:O250" si="107">ROUNDUP(SUM(J227:M227)-N227, 0)</f>
        <v>0</v>
      </c>
      <c r="P227" s="814">
        <v>230.33345874284765</v>
      </c>
      <c r="Q227" s="814">
        <v>0</v>
      </c>
      <c r="R227" s="814">
        <v>0</v>
      </c>
      <c r="S227" s="814">
        <v>0</v>
      </c>
      <c r="T227" s="814" t="str">
        <v>0</v>
      </c>
      <c r="U227" s="815">
        <f t="shared" ref="U227:U250" si="108">ROUNDUP(SUM(P227:S227)-T227, 0)</f>
        <v>231</v>
      </c>
      <c r="V227" s="825">
        <f t="shared" ref="V227:V230" si="109">IF((U227-O227)&gt;0, (U227-O227), "0")</f>
        <v>231</v>
      </c>
      <c r="W227" s="824" t="str">
        <f>IF((V227-'Adults YEAR1'!V227)&gt;0, (V227-'Adults YEAR1'!V227), "0")</f>
        <v>0</v>
      </c>
    </row>
    <row r="228" spans="2:23" x14ac:dyDescent="0.2">
      <c r="B228" s="812"/>
      <c r="C228" s="314" t="s">
        <v>731</v>
      </c>
      <c r="D228" s="314"/>
      <c r="E228" s="314" t="s">
        <v>729</v>
      </c>
      <c r="F228" s="1243" t="str">
        <f>'Data &amp; hypothesis Adults'!G230</f>
        <v>[300/150]/600 mg</v>
      </c>
      <c r="G228" s="1237">
        <f>'Data &amp; hypothesis Adults'!H230</f>
        <v>60</v>
      </c>
      <c r="H228" s="1237">
        <f>'Data &amp; hypothesis Adults'!J230</f>
        <v>60</v>
      </c>
      <c r="I228" s="1212">
        <f>'Data &amp; hypothesis Adults'!K230</f>
        <v>1</v>
      </c>
      <c r="J228" s="814">
        <v>0</v>
      </c>
      <c r="K228" s="814">
        <v>0</v>
      </c>
      <c r="L228" s="814">
        <v>0</v>
      </c>
      <c r="M228" s="814">
        <v>0</v>
      </c>
      <c r="N228" s="814" t="str">
        <v>0</v>
      </c>
      <c r="O228" s="824">
        <f t="shared" si="107"/>
        <v>0</v>
      </c>
      <c r="P228" s="814">
        <v>0</v>
      </c>
      <c r="Q228" s="814">
        <v>0</v>
      </c>
      <c r="R228" s="814">
        <v>0</v>
      </c>
      <c r="S228" s="814">
        <v>0</v>
      </c>
      <c r="T228" s="814" t="str">
        <v>0</v>
      </c>
      <c r="U228" s="824">
        <f t="shared" si="108"/>
        <v>0</v>
      </c>
      <c r="V228" s="825" t="str">
        <f t="shared" si="109"/>
        <v>0</v>
      </c>
      <c r="W228" s="824" t="str">
        <f>IF((V228-'Adults YEAR1'!V228)&gt;0, (V228-'Adults YEAR1'!V228), "0")</f>
        <v>0</v>
      </c>
    </row>
    <row r="229" spans="2:23" x14ac:dyDescent="0.2">
      <c r="B229" s="817"/>
      <c r="C229" s="323" t="s">
        <v>11</v>
      </c>
      <c r="D229" s="323" t="s">
        <v>78</v>
      </c>
      <c r="E229" s="323" t="s">
        <v>521</v>
      </c>
      <c r="F229" s="1244" t="str">
        <f>'Data &amp; hypothesis Adults'!G231</f>
        <v>300/150 mg</v>
      </c>
      <c r="G229" s="1238">
        <f>'Data &amp; hypothesis Adults'!H231</f>
        <v>60</v>
      </c>
      <c r="H229" s="1238">
        <f>'Data &amp; hypothesis Adults'!J231</f>
        <v>60</v>
      </c>
      <c r="I229" s="1213">
        <f>'Data &amp; hypothesis Adults'!K231</f>
        <v>1</v>
      </c>
      <c r="J229" s="819">
        <v>0</v>
      </c>
      <c r="K229" s="819">
        <v>0</v>
      </c>
      <c r="L229" s="819">
        <v>0</v>
      </c>
      <c r="M229" s="819">
        <v>0</v>
      </c>
      <c r="N229" s="819" t="str">
        <v>0</v>
      </c>
      <c r="O229" s="824">
        <f t="shared" si="107"/>
        <v>0</v>
      </c>
      <c r="P229" s="819">
        <v>6104.2913046505328</v>
      </c>
      <c r="Q229" s="819">
        <v>0</v>
      </c>
      <c r="R229" s="819">
        <v>15.450000000000001</v>
      </c>
      <c r="S229" s="819">
        <v>0</v>
      </c>
      <c r="T229" s="819" t="str">
        <v>0</v>
      </c>
      <c r="U229" s="824">
        <f t="shared" si="108"/>
        <v>6120</v>
      </c>
      <c r="V229" s="825">
        <f t="shared" si="109"/>
        <v>6120</v>
      </c>
      <c r="W229" s="824" t="str">
        <f>IF((V229-'Adults YEAR1'!V229)&gt;0, (V229-'Adults YEAR1'!V229), "0")</f>
        <v>0</v>
      </c>
    </row>
    <row r="230" spans="2:23" x14ac:dyDescent="0.2">
      <c r="B230" s="817"/>
      <c r="C230" s="822" t="s">
        <v>586</v>
      </c>
      <c r="D230" s="822"/>
      <c r="E230" s="822" t="s">
        <v>521</v>
      </c>
      <c r="F230" s="1244" t="str">
        <f>'Data &amp; hypothesis Adults'!G232</f>
        <v>600/300 mg</v>
      </c>
      <c r="G230" s="1238">
        <f>'Data &amp; hypothesis Adults'!H232</f>
        <v>30</v>
      </c>
      <c r="H230" s="1238">
        <f>'Data &amp; hypothesis Adults'!J232</f>
        <v>30</v>
      </c>
      <c r="I230" s="1213">
        <f>'Data &amp; hypothesis Adults'!K232</f>
        <v>1</v>
      </c>
      <c r="J230" s="823">
        <v>0</v>
      </c>
      <c r="K230" s="823">
        <v>0</v>
      </c>
      <c r="L230" s="823">
        <v>0</v>
      </c>
      <c r="M230" s="823">
        <v>0</v>
      </c>
      <c r="N230" s="823" t="str">
        <v>0</v>
      </c>
      <c r="O230" s="824">
        <f t="shared" si="107"/>
        <v>0</v>
      </c>
      <c r="P230" s="823">
        <v>200.48215332010915</v>
      </c>
      <c r="Q230" s="823">
        <v>0</v>
      </c>
      <c r="R230" s="823">
        <v>0</v>
      </c>
      <c r="S230" s="823">
        <v>0</v>
      </c>
      <c r="T230" s="823" t="str">
        <v>0</v>
      </c>
      <c r="U230" s="824">
        <f t="shared" si="108"/>
        <v>201</v>
      </c>
      <c r="V230" s="825">
        <f t="shared" si="109"/>
        <v>201</v>
      </c>
      <c r="W230" s="824">
        <f>IF((V230-'Adults YEAR1'!V230)&gt;0, (V230-'Adults YEAR1'!V230), "0")</f>
        <v>70</v>
      </c>
    </row>
    <row r="231" spans="2:23" x14ac:dyDescent="0.2">
      <c r="B231" s="817"/>
      <c r="C231" s="822" t="s">
        <v>50</v>
      </c>
      <c r="D231" s="822" t="s">
        <v>79</v>
      </c>
      <c r="E231" s="822" t="s">
        <v>521</v>
      </c>
      <c r="F231" s="1245" t="str">
        <f>'Data &amp; hypothesis Adults'!G233</f>
        <v>30/150/200 mg</v>
      </c>
      <c r="G231" s="1239">
        <f>'Data &amp; hypothesis Adults'!H233</f>
        <v>60</v>
      </c>
      <c r="H231" s="1239">
        <f>'Data &amp; hypothesis Adults'!J233</f>
        <v>60</v>
      </c>
      <c r="I231" s="1214">
        <f>'Data &amp; hypothesis Adults'!K233</f>
        <v>1</v>
      </c>
      <c r="J231" s="823">
        <v>0</v>
      </c>
      <c r="K231" s="823">
        <v>0</v>
      </c>
      <c r="L231" s="823">
        <v>0</v>
      </c>
      <c r="M231" s="823">
        <v>0</v>
      </c>
      <c r="N231" s="823" t="str">
        <v>0</v>
      </c>
      <c r="O231" s="824">
        <f t="shared" si="107"/>
        <v>0</v>
      </c>
      <c r="P231" s="823">
        <v>0</v>
      </c>
      <c r="Q231" s="823">
        <v>0</v>
      </c>
      <c r="R231" s="823">
        <v>0</v>
      </c>
      <c r="S231" s="823">
        <v>0</v>
      </c>
      <c r="T231" s="823" t="str">
        <v>0</v>
      </c>
      <c r="U231" s="824">
        <f t="shared" si="108"/>
        <v>0</v>
      </c>
      <c r="V231" s="825" t="str">
        <f t="shared" si="106"/>
        <v>0</v>
      </c>
      <c r="W231" s="824" t="str">
        <f>IF((V231-'Adults YEAR1'!V231)&gt;0, (V231-'Adults YEAR1'!V231), "0")</f>
        <v>0</v>
      </c>
    </row>
    <row r="232" spans="2:23" x14ac:dyDescent="0.2">
      <c r="B232" s="817"/>
      <c r="C232" s="822" t="s">
        <v>81</v>
      </c>
      <c r="D232" s="822" t="s">
        <v>82</v>
      </c>
      <c r="E232" s="822" t="s">
        <v>521</v>
      </c>
      <c r="F232" s="1245" t="str">
        <f>'Data &amp; hypothesis Adults'!G234</f>
        <v>30/150 mg</v>
      </c>
      <c r="G232" s="1239">
        <f>'Data &amp; hypothesis Adults'!H234</f>
        <v>60</v>
      </c>
      <c r="H232" s="1239">
        <f>'Data &amp; hypothesis Adults'!J234</f>
        <v>60</v>
      </c>
      <c r="I232" s="1214">
        <f>'Data &amp; hypothesis Adults'!K234</f>
        <v>1</v>
      </c>
      <c r="J232" s="823">
        <v>0</v>
      </c>
      <c r="K232" s="823">
        <v>0</v>
      </c>
      <c r="L232" s="823">
        <v>0</v>
      </c>
      <c r="M232" s="823">
        <v>0</v>
      </c>
      <c r="N232" s="823" t="str">
        <v>0</v>
      </c>
      <c r="O232" s="824">
        <f t="shared" si="107"/>
        <v>0</v>
      </c>
      <c r="P232" s="823">
        <v>0</v>
      </c>
      <c r="Q232" s="823">
        <v>0</v>
      </c>
      <c r="R232" s="823">
        <v>0</v>
      </c>
      <c r="S232" s="823">
        <v>0</v>
      </c>
      <c r="T232" s="823" t="str">
        <v>0</v>
      </c>
      <c r="U232" s="824">
        <f t="shared" si="108"/>
        <v>0</v>
      </c>
      <c r="V232" s="825" t="str">
        <f t="shared" si="106"/>
        <v>0</v>
      </c>
      <c r="W232" s="824" t="str">
        <f>IF((V232-'Adults YEAR1'!V232)&gt;0, (V232-'Adults YEAR1'!V232), "0")</f>
        <v>0</v>
      </c>
    </row>
    <row r="233" spans="2:23" x14ac:dyDescent="0.2">
      <c r="B233" s="817"/>
      <c r="C233" s="323" t="s">
        <v>348</v>
      </c>
      <c r="D233" s="323"/>
      <c r="E233" s="323" t="s">
        <v>521</v>
      </c>
      <c r="F233" s="1244" t="str">
        <f>'Data &amp; hypothesis Adults'!G235</f>
        <v>300/200/600 mg</v>
      </c>
      <c r="G233" s="1238">
        <f>'Data &amp; hypothesis Adults'!H235</f>
        <v>30</v>
      </c>
      <c r="H233" s="1238">
        <f>'Data &amp; hypothesis Adults'!J235</f>
        <v>30</v>
      </c>
      <c r="I233" s="1213">
        <f>'Data &amp; hypothesis Adults'!K235</f>
        <v>1</v>
      </c>
      <c r="J233" s="818">
        <v>0</v>
      </c>
      <c r="K233" s="818">
        <v>0</v>
      </c>
      <c r="L233" s="818">
        <v>0</v>
      </c>
      <c r="M233" s="818">
        <v>0</v>
      </c>
      <c r="N233" s="818" t="str">
        <v>0</v>
      </c>
      <c r="O233" s="820">
        <f t="shared" si="107"/>
        <v>0</v>
      </c>
      <c r="P233" s="818">
        <v>17607.430398497199</v>
      </c>
      <c r="Q233" s="818">
        <v>0</v>
      </c>
      <c r="R233" s="818">
        <v>0</v>
      </c>
      <c r="S233" s="818">
        <v>0</v>
      </c>
      <c r="T233" s="818" t="str">
        <v>0</v>
      </c>
      <c r="U233" s="820">
        <f t="shared" si="108"/>
        <v>17608</v>
      </c>
      <c r="V233" s="821">
        <f t="shared" si="106"/>
        <v>17608</v>
      </c>
      <c r="W233" s="820" t="str">
        <f>IF((V233-'Adults YEAR1'!V233)&gt;0, (V233-'Adults YEAR1'!V233), "0")</f>
        <v>0</v>
      </c>
    </row>
    <row r="234" spans="2:23" x14ac:dyDescent="0.2">
      <c r="B234" s="826"/>
      <c r="C234" s="332" t="s">
        <v>349</v>
      </c>
      <c r="D234" s="332"/>
      <c r="E234" s="332" t="s">
        <v>521</v>
      </c>
      <c r="F234" s="1246" t="str">
        <f>'Data &amp; hypothesis Adults'!G236</f>
        <v>300/200 mg</v>
      </c>
      <c r="G234" s="1240">
        <f>'Data &amp; hypothesis Adults'!H236</f>
        <v>30</v>
      </c>
      <c r="H234" s="1240">
        <f>'Data &amp; hypothesis Adults'!J236</f>
        <v>30</v>
      </c>
      <c r="I234" s="1215">
        <f>'Data &amp; hypothesis Adults'!K236</f>
        <v>1</v>
      </c>
      <c r="J234" s="828">
        <v>0</v>
      </c>
      <c r="K234" s="828" t="e">
        <v>#DIV/0!</v>
      </c>
      <c r="L234" s="828">
        <v>0</v>
      </c>
      <c r="M234" s="828" t="e">
        <v>#DIV/0!</v>
      </c>
      <c r="N234" s="828" t="str">
        <v>0</v>
      </c>
      <c r="O234" s="829" t="e">
        <f t="shared" si="107"/>
        <v>#DIV/0!</v>
      </c>
      <c r="P234" s="828">
        <v>2625.5246000486331</v>
      </c>
      <c r="Q234" s="828" t="e">
        <v>#DIV/0!</v>
      </c>
      <c r="R234" s="828">
        <v>0</v>
      </c>
      <c r="S234" s="828" t="e">
        <v>#DIV/0!</v>
      </c>
      <c r="T234" s="828" t="str">
        <v>0</v>
      </c>
      <c r="U234" s="829" t="e">
        <f t="shared" si="108"/>
        <v>#DIV/0!</v>
      </c>
      <c r="V234" s="830" t="e">
        <f t="shared" si="106"/>
        <v>#DIV/0!</v>
      </c>
      <c r="W234" s="829" t="e">
        <f>IF((V234-'Adults YEAR1'!V234)&gt;0, (V234-'Adults YEAR1'!V234), "0")</f>
        <v>#DIV/0!</v>
      </c>
    </row>
    <row r="235" spans="2:23" x14ac:dyDescent="0.2">
      <c r="B235" s="812" t="s">
        <v>84</v>
      </c>
      <c r="C235" s="305" t="s">
        <v>17</v>
      </c>
      <c r="D235" s="305"/>
      <c r="E235" s="305" t="s">
        <v>521</v>
      </c>
      <c r="F235" s="1242" t="str">
        <f>'Data &amp; hypothesis Adults'!G237</f>
        <v>600 mg</v>
      </c>
      <c r="G235" s="1236">
        <f>'Data &amp; hypothesis Adults'!H237</f>
        <v>30</v>
      </c>
      <c r="H235" s="1236">
        <f>'Data &amp; hypothesis Adults'!J237</f>
        <v>30</v>
      </c>
      <c r="I235" s="1211">
        <f>'Data &amp; hypothesis Adults'!K237</f>
        <v>1</v>
      </c>
      <c r="J235" s="809">
        <v>0</v>
      </c>
      <c r="K235" s="809">
        <v>0</v>
      </c>
      <c r="L235" s="809">
        <v>0</v>
      </c>
      <c r="M235" s="809">
        <v>0</v>
      </c>
      <c r="N235" s="809" t="str">
        <v>0</v>
      </c>
      <c r="O235" s="810">
        <f t="shared" si="107"/>
        <v>0</v>
      </c>
      <c r="P235" s="809">
        <v>4210.3070789083204</v>
      </c>
      <c r="Q235" s="809">
        <v>0</v>
      </c>
      <c r="R235" s="809">
        <v>0</v>
      </c>
      <c r="S235" s="809">
        <v>0</v>
      </c>
      <c r="T235" s="809" t="str">
        <v>0</v>
      </c>
      <c r="U235" s="810">
        <f t="shared" si="108"/>
        <v>4211</v>
      </c>
      <c r="V235" s="811">
        <f t="shared" si="106"/>
        <v>4211</v>
      </c>
      <c r="W235" s="810" t="str">
        <f>IF((V235-'Adults YEAR1'!V235)&gt;0, (V235-'Adults YEAR1'!V235), "0")</f>
        <v>0</v>
      </c>
    </row>
    <row r="236" spans="2:23" x14ac:dyDescent="0.2">
      <c r="B236" s="826"/>
      <c r="C236" s="332" t="s">
        <v>19</v>
      </c>
      <c r="D236" s="332"/>
      <c r="E236" s="332" t="s">
        <v>521</v>
      </c>
      <c r="F236" s="1246" t="str">
        <f>'Data &amp; hypothesis Adults'!G238</f>
        <v>200 mg</v>
      </c>
      <c r="G236" s="1240">
        <f>'Data &amp; hypothesis Adults'!H238</f>
        <v>60</v>
      </c>
      <c r="H236" s="1240">
        <f>'Data &amp; hypothesis Adults'!J238</f>
        <v>60</v>
      </c>
      <c r="I236" s="1215">
        <f>'Data &amp; hypothesis Adults'!K238</f>
        <v>1</v>
      </c>
      <c r="J236" s="828">
        <v>0</v>
      </c>
      <c r="K236" s="828">
        <v>0</v>
      </c>
      <c r="L236" s="828">
        <v>0</v>
      </c>
      <c r="M236" s="828">
        <v>0</v>
      </c>
      <c r="N236" s="828" t="str">
        <v>0</v>
      </c>
      <c r="O236" s="829">
        <f t="shared" si="107"/>
        <v>0</v>
      </c>
      <c r="P236" s="828">
        <v>0</v>
      </c>
      <c r="Q236" s="828">
        <v>0</v>
      </c>
      <c r="R236" s="828">
        <v>0</v>
      </c>
      <c r="S236" s="828">
        <v>0</v>
      </c>
      <c r="T236" s="828" t="str">
        <v>0</v>
      </c>
      <c r="U236" s="829">
        <f t="shared" si="108"/>
        <v>0</v>
      </c>
      <c r="V236" s="830" t="str">
        <f t="shared" si="106"/>
        <v>0</v>
      </c>
      <c r="W236" s="829" t="str">
        <f>IF((V236-'Adults YEAR1'!V236)&gt;0, (V236-'Adults YEAR1'!V236), "0")</f>
        <v>0</v>
      </c>
    </row>
    <row r="237" spans="2:23" x14ac:dyDescent="0.2">
      <c r="B237" s="812" t="s">
        <v>85</v>
      </c>
      <c r="C237" s="305" t="s">
        <v>39</v>
      </c>
      <c r="D237" s="305"/>
      <c r="E237" s="305" t="s">
        <v>521</v>
      </c>
      <c r="F237" s="1242" t="str">
        <f>'Data &amp; hypothesis Adults'!G239</f>
        <v>300 mg</v>
      </c>
      <c r="G237" s="1236">
        <f>'Data &amp; hypothesis Adults'!H239</f>
        <v>60</v>
      </c>
      <c r="H237" s="1236">
        <f>'Data &amp; hypothesis Adults'!J239</f>
        <v>60</v>
      </c>
      <c r="I237" s="1211">
        <f>'Data &amp; hypothesis Adults'!K239</f>
        <v>1</v>
      </c>
      <c r="J237" s="808">
        <v>0</v>
      </c>
      <c r="K237" s="808">
        <v>0</v>
      </c>
      <c r="L237" s="808">
        <v>0</v>
      </c>
      <c r="M237" s="808">
        <v>0</v>
      </c>
      <c r="N237" s="808" t="str">
        <v>0</v>
      </c>
      <c r="O237" s="810">
        <f t="shared" si="107"/>
        <v>0</v>
      </c>
      <c r="P237" s="808">
        <v>0</v>
      </c>
      <c r="Q237" s="808">
        <v>0</v>
      </c>
      <c r="R237" s="808">
        <v>0</v>
      </c>
      <c r="S237" s="808">
        <v>0</v>
      </c>
      <c r="T237" s="808" t="str">
        <v>0</v>
      </c>
      <c r="U237" s="810">
        <f t="shared" si="108"/>
        <v>0</v>
      </c>
      <c r="V237" s="811" t="str">
        <f t="shared" si="106"/>
        <v>0</v>
      </c>
      <c r="W237" s="810" t="str">
        <f>IF((V237-'Adults YEAR1'!V237)&gt;0, (V237-'Adults YEAR1'!V237), "0")</f>
        <v>0</v>
      </c>
    </row>
    <row r="238" spans="2:23" x14ac:dyDescent="0.2">
      <c r="B238" s="812"/>
      <c r="C238" s="314" t="s">
        <v>350</v>
      </c>
      <c r="D238" s="314"/>
      <c r="E238" s="314" t="s">
        <v>521</v>
      </c>
      <c r="F238" s="1243" t="str">
        <f>'Data &amp; hypothesis Adults'!G240</f>
        <v>150 mg</v>
      </c>
      <c r="G238" s="1237">
        <f>'Data &amp; hypothesis Adults'!H240</f>
        <v>60</v>
      </c>
      <c r="H238" s="1237">
        <f>'Data &amp; hypothesis Adults'!J240</f>
        <v>60</v>
      </c>
      <c r="I238" s="1212">
        <f>'Data &amp; hypothesis Adults'!K240</f>
        <v>1</v>
      </c>
      <c r="J238" s="813">
        <v>0</v>
      </c>
      <c r="K238" s="813" t="e">
        <v>#DIV/0!</v>
      </c>
      <c r="L238" s="813">
        <v>0</v>
      </c>
      <c r="M238" s="813" t="e">
        <v>#DIV/0!</v>
      </c>
      <c r="N238" s="813" t="str">
        <v>0</v>
      </c>
      <c r="O238" s="815" t="e">
        <f t="shared" si="107"/>
        <v>#DIV/0!</v>
      </c>
      <c r="P238" s="813">
        <v>0</v>
      </c>
      <c r="Q238" s="813" t="e">
        <v>#DIV/0!</v>
      </c>
      <c r="R238" s="813">
        <v>0</v>
      </c>
      <c r="S238" s="813" t="e">
        <v>#DIV/0!</v>
      </c>
      <c r="T238" s="813" t="str">
        <v>0</v>
      </c>
      <c r="U238" s="815" t="e">
        <f t="shared" si="108"/>
        <v>#DIV/0!</v>
      </c>
      <c r="V238" s="816" t="e">
        <f t="shared" si="106"/>
        <v>#DIV/0!</v>
      </c>
      <c r="W238" s="815" t="e">
        <f>IF((V238-'Adults YEAR1'!V238)&gt;0, (V238-'Adults YEAR1'!V238), "0")</f>
        <v>#DIV/0!</v>
      </c>
    </row>
    <row r="239" spans="2:23" x14ac:dyDescent="0.2">
      <c r="B239" s="812"/>
      <c r="C239" s="314" t="s">
        <v>25</v>
      </c>
      <c r="D239" s="314"/>
      <c r="E239" s="314" t="s">
        <v>521</v>
      </c>
      <c r="F239" s="1243" t="str">
        <f>'Data &amp; hypothesis Adults'!G241</f>
        <v>300 mg</v>
      </c>
      <c r="G239" s="1237">
        <f>'Data &amp; hypothesis Adults'!H241</f>
        <v>60</v>
      </c>
      <c r="H239" s="1237">
        <f>'Data &amp; hypothesis Adults'!J241</f>
        <v>60</v>
      </c>
      <c r="I239" s="1212">
        <f>'Data &amp; hypothesis Adults'!K241</f>
        <v>1</v>
      </c>
      <c r="J239" s="813">
        <v>0</v>
      </c>
      <c r="K239" s="813" t="e">
        <v>#DIV/0!</v>
      </c>
      <c r="L239" s="813">
        <v>0</v>
      </c>
      <c r="M239" s="813" t="e">
        <v>#DIV/0!</v>
      </c>
      <c r="N239" s="813" t="str">
        <v>0</v>
      </c>
      <c r="O239" s="815" t="e">
        <f t="shared" si="107"/>
        <v>#DIV/0!</v>
      </c>
      <c r="P239" s="813">
        <v>0</v>
      </c>
      <c r="Q239" s="813" t="e">
        <v>#DIV/0!</v>
      </c>
      <c r="R239" s="813">
        <v>0</v>
      </c>
      <c r="S239" s="813" t="e">
        <v>#DIV/0!</v>
      </c>
      <c r="T239" s="813" t="str">
        <v>0</v>
      </c>
      <c r="U239" s="815" t="e">
        <f t="shared" si="108"/>
        <v>#DIV/0!</v>
      </c>
      <c r="V239" s="816" t="e">
        <f t="shared" si="106"/>
        <v>#DIV/0!</v>
      </c>
      <c r="W239" s="815" t="e">
        <f>IF((V239-'Adults YEAR1'!V239)&gt;0, (V239-'Adults YEAR1'!V239), "0")</f>
        <v>#DIV/0!</v>
      </c>
    </row>
    <row r="240" spans="2:23" x14ac:dyDescent="0.2">
      <c r="B240" s="817"/>
      <c r="C240" s="323" t="s">
        <v>28</v>
      </c>
      <c r="D240" s="323"/>
      <c r="E240" s="323" t="s">
        <v>86</v>
      </c>
      <c r="F240" s="1244" t="str">
        <f>'Data &amp; hypothesis Adults'!G242</f>
        <v>250 mg</v>
      </c>
      <c r="G240" s="1238">
        <f>'Data &amp; hypothesis Adults'!H242</f>
        <v>30</v>
      </c>
      <c r="H240" s="1238">
        <f>'Data &amp; hypothesis Adults'!J242</f>
        <v>30</v>
      </c>
      <c r="I240" s="1213">
        <f>'Data &amp; hypothesis Adults'!K242</f>
        <v>1</v>
      </c>
      <c r="J240" s="818">
        <v>0</v>
      </c>
      <c r="K240" s="818" t="e">
        <v>#DIV/0!</v>
      </c>
      <c r="L240" s="818">
        <v>0</v>
      </c>
      <c r="M240" s="818" t="e">
        <v>#DIV/0!</v>
      </c>
      <c r="N240" s="818" t="str">
        <v>0</v>
      </c>
      <c r="O240" s="820" t="e">
        <f t="shared" si="107"/>
        <v>#DIV/0!</v>
      </c>
      <c r="P240" s="818">
        <v>0</v>
      </c>
      <c r="Q240" s="818" t="e">
        <v>#DIV/0!</v>
      </c>
      <c r="R240" s="818">
        <v>0</v>
      </c>
      <c r="S240" s="818" t="e">
        <v>#DIV/0!</v>
      </c>
      <c r="T240" s="818" t="str">
        <v>0</v>
      </c>
      <c r="U240" s="820" t="e">
        <f t="shared" si="108"/>
        <v>#DIV/0!</v>
      </c>
      <c r="V240" s="821" t="e">
        <f t="shared" si="106"/>
        <v>#DIV/0!</v>
      </c>
      <c r="W240" s="820" t="e">
        <f>IF((V240-'Adults YEAR1'!V240)&gt;0, (V240-'Adults YEAR1'!V240), "0")</f>
        <v>#DIV/0!</v>
      </c>
    </row>
    <row r="241" spans="2:23" x14ac:dyDescent="0.2">
      <c r="B241" s="817"/>
      <c r="C241" s="323" t="s">
        <v>28</v>
      </c>
      <c r="D241" s="323"/>
      <c r="E241" s="323" t="s">
        <v>86</v>
      </c>
      <c r="F241" s="1244" t="str">
        <f>'Data &amp; hypothesis Adults'!G243</f>
        <v>400 mg</v>
      </c>
      <c r="G241" s="1238">
        <f>'Data &amp; hypothesis Adults'!H243</f>
        <v>30</v>
      </c>
      <c r="H241" s="1238">
        <f>'Data &amp; hypothesis Adults'!J243</f>
        <v>30</v>
      </c>
      <c r="I241" s="1213">
        <f>'Data &amp; hypothesis Adults'!K243</f>
        <v>1</v>
      </c>
      <c r="J241" s="818">
        <v>0</v>
      </c>
      <c r="K241" s="818" t="e">
        <v>#DIV/0!</v>
      </c>
      <c r="L241" s="818">
        <v>0</v>
      </c>
      <c r="M241" s="818" t="e">
        <v>#DIV/0!</v>
      </c>
      <c r="N241" s="818" t="str">
        <v>0</v>
      </c>
      <c r="O241" s="820" t="e">
        <f t="shared" si="107"/>
        <v>#DIV/0!</v>
      </c>
      <c r="P241" s="818">
        <v>0</v>
      </c>
      <c r="Q241" s="818" t="e">
        <v>#DIV/0!</v>
      </c>
      <c r="R241" s="818">
        <v>0</v>
      </c>
      <c r="S241" s="818" t="e">
        <v>#DIV/0!</v>
      </c>
      <c r="T241" s="818" t="str">
        <v>0</v>
      </c>
      <c r="U241" s="820" t="e">
        <f t="shared" si="108"/>
        <v>#DIV/0!</v>
      </c>
      <c r="V241" s="821" t="e">
        <f t="shared" si="106"/>
        <v>#DIV/0!</v>
      </c>
      <c r="W241" s="820" t="e">
        <f>IF((V241-'Adults YEAR1'!V241)&gt;0, (V241-'Adults YEAR1'!V241), "0")</f>
        <v>#DIV/0!</v>
      </c>
    </row>
    <row r="242" spans="2:23" x14ac:dyDescent="0.2">
      <c r="B242" s="826"/>
      <c r="C242" s="332" t="s">
        <v>22</v>
      </c>
      <c r="D242" s="332"/>
      <c r="E242" s="332" t="s">
        <v>521</v>
      </c>
      <c r="F242" s="1246" t="str">
        <f>'Data &amp; hypothesis Adults'!G244</f>
        <v>300 mg</v>
      </c>
      <c r="G242" s="1240">
        <f>'Data &amp; hypothesis Adults'!H244</f>
        <v>30</v>
      </c>
      <c r="H242" s="1240">
        <f>'Data &amp; hypothesis Adults'!J244</f>
        <v>30</v>
      </c>
      <c r="I242" s="1215">
        <f>'Data &amp; hypothesis Adults'!K244</f>
        <v>1</v>
      </c>
      <c r="J242" s="828">
        <v>0</v>
      </c>
      <c r="K242" s="828" t="e">
        <v>#DIV/0!</v>
      </c>
      <c r="L242" s="828">
        <v>0</v>
      </c>
      <c r="M242" s="828" t="e">
        <v>#DIV/0!</v>
      </c>
      <c r="N242" s="828" t="str">
        <v>0</v>
      </c>
      <c r="O242" s="829" t="e">
        <f t="shared" si="107"/>
        <v>#DIV/0!</v>
      </c>
      <c r="P242" s="828">
        <v>0</v>
      </c>
      <c r="Q242" s="828" t="e">
        <v>#DIV/0!</v>
      </c>
      <c r="R242" s="828">
        <v>0</v>
      </c>
      <c r="S242" s="828" t="e">
        <v>#DIV/0!</v>
      </c>
      <c r="T242" s="828" t="str">
        <v>0</v>
      </c>
      <c r="U242" s="829" t="e">
        <f t="shared" si="108"/>
        <v>#DIV/0!</v>
      </c>
      <c r="V242" s="830" t="e">
        <f t="shared" si="106"/>
        <v>#DIV/0!</v>
      </c>
      <c r="W242" s="829" t="e">
        <f>IF((V242-'Adults YEAR1'!V242)&gt;0, (V242-'Adults YEAR1'!V242), "0")</f>
        <v>#DIV/0!</v>
      </c>
    </row>
    <row r="243" spans="2:23" x14ac:dyDescent="0.2">
      <c r="B243" s="812" t="s">
        <v>87</v>
      </c>
      <c r="C243" s="314" t="s">
        <v>33</v>
      </c>
      <c r="D243" s="314"/>
      <c r="E243" s="314" t="s">
        <v>521</v>
      </c>
      <c r="F243" s="1243" t="str">
        <f>'Data &amp; hypothesis Adults'!G245</f>
        <v>200/50 mg</v>
      </c>
      <c r="G243" s="1237">
        <f>'Data &amp; hypothesis Adults'!H245</f>
        <v>120</v>
      </c>
      <c r="H243" s="1237">
        <f>'Data &amp; hypothesis Adults'!J245</f>
        <v>120</v>
      </c>
      <c r="I243" s="1212">
        <f>'Data &amp; hypothesis Adults'!K245</f>
        <v>1</v>
      </c>
      <c r="J243" s="813">
        <v>0</v>
      </c>
      <c r="K243" s="813">
        <v>0</v>
      </c>
      <c r="L243" s="813">
        <v>0</v>
      </c>
      <c r="M243" s="813" t="e">
        <v>#DIV/0!</v>
      </c>
      <c r="N243" s="813" t="str">
        <v>0</v>
      </c>
      <c r="O243" s="815" t="e">
        <f t="shared" si="107"/>
        <v>#DIV/0!</v>
      </c>
      <c r="P243" s="813">
        <v>4615.2813791109547</v>
      </c>
      <c r="Q243" s="813">
        <v>0</v>
      </c>
      <c r="R243" s="813">
        <v>0</v>
      </c>
      <c r="S243" s="813" t="e">
        <v>#DIV/0!</v>
      </c>
      <c r="T243" s="813" t="str">
        <v>0</v>
      </c>
      <c r="U243" s="815" t="e">
        <f t="shared" si="108"/>
        <v>#DIV/0!</v>
      </c>
      <c r="V243" s="816" t="e">
        <f t="shared" si="106"/>
        <v>#DIV/0!</v>
      </c>
      <c r="W243" s="815" t="e">
        <f>IF((V243-'Adults YEAR1'!V243)&gt;0, (V243-'Adults YEAR1'!V243), "0")</f>
        <v>#DIV/0!</v>
      </c>
    </row>
    <row r="244" spans="2:23" x14ac:dyDescent="0.2">
      <c r="B244" s="817"/>
      <c r="C244" s="314" t="s">
        <v>69</v>
      </c>
      <c r="D244" s="314"/>
      <c r="E244" s="314" t="s">
        <v>86</v>
      </c>
      <c r="F244" s="1243" t="str">
        <f>'Data &amp; hypothesis Adults'!G246</f>
        <v>400 mg</v>
      </c>
      <c r="G244" s="1237">
        <f>'Data &amp; hypothesis Adults'!H246</f>
        <v>180</v>
      </c>
      <c r="H244" s="1237">
        <f>'Data &amp; hypothesis Adults'!J246</f>
        <v>120</v>
      </c>
      <c r="I244" s="1216">
        <f>'Data &amp; hypothesis Adults'!K246</f>
        <v>0.66666666666666663</v>
      </c>
      <c r="J244" s="813">
        <v>0</v>
      </c>
      <c r="K244" s="813" t="e">
        <v>#DIV/0!</v>
      </c>
      <c r="L244" s="813">
        <v>0</v>
      </c>
      <c r="M244" s="813" t="e">
        <v>#DIV/0!</v>
      </c>
      <c r="N244" s="813" t="str">
        <v>0</v>
      </c>
      <c r="O244" s="815" t="e">
        <f t="shared" si="107"/>
        <v>#DIV/0!</v>
      </c>
      <c r="P244" s="813">
        <v>0</v>
      </c>
      <c r="Q244" s="813" t="e">
        <v>#DIV/0!</v>
      </c>
      <c r="R244" s="813">
        <v>0</v>
      </c>
      <c r="S244" s="813" t="e">
        <v>#DIV/0!</v>
      </c>
      <c r="T244" s="813" t="str">
        <v>0</v>
      </c>
      <c r="U244" s="815" t="e">
        <f t="shared" si="108"/>
        <v>#DIV/0!</v>
      </c>
      <c r="V244" s="816" t="e">
        <f t="shared" si="106"/>
        <v>#DIV/0!</v>
      </c>
      <c r="W244" s="815" t="e">
        <f>IF((V244-'Adults YEAR1'!V244)&gt;0, (V244-'Adults YEAR1'!V244), "0")</f>
        <v>#DIV/0!</v>
      </c>
    </row>
    <row r="245" spans="2:23" x14ac:dyDescent="0.2">
      <c r="B245" s="817"/>
      <c r="C245" s="323" t="s">
        <v>335</v>
      </c>
      <c r="D245" s="323"/>
      <c r="E245" s="323" t="s">
        <v>88</v>
      </c>
      <c r="F245" s="1244" t="str">
        <f>'Data &amp; hypothesis Adults'!G247</f>
        <v>100 mg</v>
      </c>
      <c r="G245" s="1238">
        <f>'Data &amp; hypothesis Adults'!H247</f>
        <v>84</v>
      </c>
      <c r="H245" s="1238">
        <f>'Data &amp; hypothesis Adults'!J247</f>
        <v>60</v>
      </c>
      <c r="I245" s="1217">
        <f>'Data &amp; hypothesis Adults'!K247</f>
        <v>0.7142857142857143</v>
      </c>
      <c r="J245" s="818">
        <v>0</v>
      </c>
      <c r="K245" s="818" t="e">
        <v>#DIV/0!</v>
      </c>
      <c r="L245" s="818">
        <v>0</v>
      </c>
      <c r="M245" s="818" t="e">
        <v>#DIV/0!</v>
      </c>
      <c r="N245" s="818" t="str">
        <v>0</v>
      </c>
      <c r="O245" s="820" t="e">
        <f t="shared" si="107"/>
        <v>#DIV/0!</v>
      </c>
      <c r="P245" s="818">
        <v>0</v>
      </c>
      <c r="Q245" s="818" t="e">
        <v>#DIV/0!</v>
      </c>
      <c r="R245" s="818">
        <v>0</v>
      </c>
      <c r="S245" s="818" t="e">
        <v>#DIV/0!</v>
      </c>
      <c r="T245" s="818" t="str">
        <v>0</v>
      </c>
      <c r="U245" s="820" t="e">
        <f t="shared" si="108"/>
        <v>#DIV/0!</v>
      </c>
      <c r="V245" s="821" t="e">
        <f t="shared" si="106"/>
        <v>#DIV/0!</v>
      </c>
      <c r="W245" s="820" t="e">
        <f>IF((V245-'Adults YEAR1'!V245)&gt;0, (V245-'Adults YEAR1'!V245), "0")</f>
        <v>#DIV/0!</v>
      </c>
    </row>
    <row r="246" spans="2:23" x14ac:dyDescent="0.2">
      <c r="B246" s="817"/>
      <c r="C246" s="323" t="s">
        <v>68</v>
      </c>
      <c r="D246" s="323"/>
      <c r="E246" s="323" t="s">
        <v>88</v>
      </c>
      <c r="F246" s="1244" t="str">
        <f>'Data &amp; hypothesis Adults'!G248</f>
        <v>500 mg</v>
      </c>
      <c r="G246" s="1238">
        <f>'Data &amp; hypothesis Adults'!H248</f>
        <v>120</v>
      </c>
      <c r="H246" s="1238">
        <f>'Data &amp; hypothesis Adults'!J248</f>
        <v>120</v>
      </c>
      <c r="I246" s="1213">
        <f>'Data &amp; hypothesis Adults'!K248</f>
        <v>1</v>
      </c>
      <c r="J246" s="818">
        <v>0</v>
      </c>
      <c r="K246" s="818" t="e">
        <v>#DIV/0!</v>
      </c>
      <c r="L246" s="818">
        <v>0</v>
      </c>
      <c r="M246" s="818" t="e">
        <v>#DIV/0!</v>
      </c>
      <c r="N246" s="818" t="str">
        <v>0</v>
      </c>
      <c r="O246" s="820" t="e">
        <f t="shared" si="107"/>
        <v>#DIV/0!</v>
      </c>
      <c r="P246" s="818">
        <v>0</v>
      </c>
      <c r="Q246" s="818" t="e">
        <v>#DIV/0!</v>
      </c>
      <c r="R246" s="818">
        <v>0</v>
      </c>
      <c r="S246" s="818" t="e">
        <v>#DIV/0!</v>
      </c>
      <c r="T246" s="818" t="str">
        <v>0</v>
      </c>
      <c r="U246" s="820" t="e">
        <f t="shared" si="108"/>
        <v>#DIV/0!</v>
      </c>
      <c r="V246" s="821" t="e">
        <f t="shared" si="106"/>
        <v>#DIV/0!</v>
      </c>
      <c r="W246" s="820" t="e">
        <f>IF((V246-'Adults YEAR1'!V246)&gt;0, (V246-'Adults YEAR1'!V246), "0")</f>
        <v>#DIV/0!</v>
      </c>
    </row>
    <row r="247" spans="2:23" x14ac:dyDescent="0.2">
      <c r="B247" s="817"/>
      <c r="C247" s="323" t="s">
        <v>576</v>
      </c>
      <c r="D247" s="323"/>
      <c r="E247" s="323" t="s">
        <v>599</v>
      </c>
      <c r="F247" s="1244" t="str">
        <f>'Data &amp; hypothesis Adults'!G249</f>
        <v>300/100 mg</v>
      </c>
      <c r="G247" s="1238">
        <f>'Data &amp; hypothesis Adults'!H249</f>
        <v>30</v>
      </c>
      <c r="H247" s="1238">
        <f>'Data &amp; hypothesis Adults'!J249</f>
        <v>30</v>
      </c>
      <c r="I247" s="1213">
        <f>'Data &amp; hypothesis Adults'!K249</f>
        <v>1</v>
      </c>
      <c r="J247" s="818">
        <v>0</v>
      </c>
      <c r="K247" s="818" t="e">
        <v>#DIV/0!</v>
      </c>
      <c r="L247" s="818">
        <v>0</v>
      </c>
      <c r="M247" s="818" t="e">
        <v>#DIV/0!</v>
      </c>
      <c r="N247" s="818" t="str">
        <v>0</v>
      </c>
      <c r="O247" s="820" t="e">
        <f t="shared" si="107"/>
        <v>#DIV/0!</v>
      </c>
      <c r="P247" s="818">
        <v>104.70959999999999</v>
      </c>
      <c r="Q247" s="818" t="e">
        <v>#DIV/0!</v>
      </c>
      <c r="R247" s="818">
        <v>0</v>
      </c>
      <c r="S247" s="818" t="e">
        <v>#DIV/0!</v>
      </c>
      <c r="T247" s="818" t="str">
        <v>0</v>
      </c>
      <c r="U247" s="820" t="e">
        <f t="shared" si="108"/>
        <v>#DIV/0!</v>
      </c>
      <c r="V247" s="821" t="e">
        <f t="shared" si="106"/>
        <v>#DIV/0!</v>
      </c>
      <c r="W247" s="820" t="e">
        <f>IF((V247-'Adults YEAR1'!V247)&gt;0, (V247-'Adults YEAR1'!V247), "0")</f>
        <v>#DIV/0!</v>
      </c>
    </row>
    <row r="248" spans="2:23" x14ac:dyDescent="0.2">
      <c r="B248" s="831"/>
      <c r="C248" s="332" t="s">
        <v>336</v>
      </c>
      <c r="D248" s="332"/>
      <c r="E248" s="332" t="s">
        <v>521</v>
      </c>
      <c r="F248" s="1246" t="str">
        <f>'Data &amp; hypothesis Adults'!G250</f>
        <v>600 mg</v>
      </c>
      <c r="G248" s="1240">
        <f>'Data &amp; hypothesis Adults'!H250</f>
        <v>60</v>
      </c>
      <c r="H248" s="1240">
        <f>'Data &amp; hypothesis Adults'!J250</f>
        <v>60</v>
      </c>
      <c r="I248" s="1215">
        <f>'Data &amp; hypothesis Adults'!K250</f>
        <v>1</v>
      </c>
      <c r="J248" s="827">
        <v>0</v>
      </c>
      <c r="K248" s="827" t="e">
        <v>#DIV/0!</v>
      </c>
      <c r="L248" s="827">
        <v>0</v>
      </c>
      <c r="M248" s="827" t="e">
        <v>#DIV/0!</v>
      </c>
      <c r="N248" s="827" t="str">
        <v>0</v>
      </c>
      <c r="O248" s="829" t="e">
        <f t="shared" si="107"/>
        <v>#DIV/0!</v>
      </c>
      <c r="P248" s="827">
        <v>0</v>
      </c>
      <c r="Q248" s="827" t="e">
        <v>#DIV/0!</v>
      </c>
      <c r="R248" s="827">
        <v>0</v>
      </c>
      <c r="S248" s="827" t="e">
        <v>#DIV/0!</v>
      </c>
      <c r="T248" s="827" t="str">
        <v>0</v>
      </c>
      <c r="U248" s="829" t="e">
        <f t="shared" si="108"/>
        <v>#DIV/0!</v>
      </c>
      <c r="V248" s="830" t="e">
        <f t="shared" si="106"/>
        <v>#DIV/0!</v>
      </c>
      <c r="W248" s="829" t="e">
        <f>IF((V248-'Adults YEAR1'!V248)&gt;0, (V248-'Adults YEAR1'!V248), "0")</f>
        <v>#DIV/0!</v>
      </c>
    </row>
    <row r="249" spans="2:23" x14ac:dyDescent="0.2">
      <c r="B249" s="826" t="s">
        <v>331</v>
      </c>
      <c r="C249" s="332" t="s">
        <v>329</v>
      </c>
      <c r="D249" s="332"/>
      <c r="E249" s="332" t="s">
        <v>521</v>
      </c>
      <c r="F249" s="1246" t="str">
        <f>'Data &amp; hypothesis Adults'!G251</f>
        <v>400 mg</v>
      </c>
      <c r="G249" s="1240">
        <f>'Data &amp; hypothesis Adults'!H251</f>
        <v>60</v>
      </c>
      <c r="H249" s="1240">
        <f>'Data &amp; hypothesis Adults'!J251</f>
        <v>60</v>
      </c>
      <c r="I249" s="1215">
        <f>'Data &amp; hypothesis Adults'!K251</f>
        <v>1</v>
      </c>
      <c r="J249" s="827">
        <v>0</v>
      </c>
      <c r="K249" s="827" t="e">
        <v>#DIV/0!</v>
      </c>
      <c r="L249" s="827">
        <v>0</v>
      </c>
      <c r="M249" s="827" t="e">
        <v>#DIV/0!</v>
      </c>
      <c r="N249" s="827" t="str">
        <v>0</v>
      </c>
      <c r="O249" s="829" t="e">
        <f t="shared" si="107"/>
        <v>#DIV/0!</v>
      </c>
      <c r="P249" s="827">
        <v>0</v>
      </c>
      <c r="Q249" s="827" t="e">
        <v>#DIV/0!</v>
      </c>
      <c r="R249" s="827">
        <v>0</v>
      </c>
      <c r="S249" s="827" t="e">
        <v>#DIV/0!</v>
      </c>
      <c r="T249" s="827" t="str">
        <v>0</v>
      </c>
      <c r="U249" s="829" t="e">
        <f t="shared" si="108"/>
        <v>#DIV/0!</v>
      </c>
      <c r="V249" s="830" t="e">
        <f t="shared" si="106"/>
        <v>#DIV/0!</v>
      </c>
      <c r="W249" s="829" t="e">
        <f>IF((V249-'Adults YEAR1'!V249)&gt;0, (V249-'Adults YEAR1'!V249), "0")</f>
        <v>#DIV/0!</v>
      </c>
    </row>
    <row r="250" spans="2:23" ht="13.5" thickBot="1" x14ac:dyDescent="0.25">
      <c r="B250" s="832" t="s">
        <v>333</v>
      </c>
      <c r="C250" s="342" t="s">
        <v>330</v>
      </c>
      <c r="D250" s="342"/>
      <c r="E250" s="342" t="s">
        <v>521</v>
      </c>
      <c r="F250" s="1247" t="str">
        <f>'Data &amp; hypothesis Adults'!G252</f>
        <v>100 mg</v>
      </c>
      <c r="G250" s="1241">
        <f>'Data &amp; hypothesis Adults'!H252</f>
        <v>120</v>
      </c>
      <c r="H250" s="1241">
        <f>'Data &amp; hypothesis Adults'!J252</f>
        <v>120</v>
      </c>
      <c r="I250" s="1218">
        <f>'Data &amp; hypothesis Adults'!K252</f>
        <v>1</v>
      </c>
      <c r="J250" s="833">
        <v>0</v>
      </c>
      <c r="K250" s="833" t="e">
        <v>#DIV/0!</v>
      </c>
      <c r="L250" s="833">
        <v>0</v>
      </c>
      <c r="M250" s="833" t="e">
        <v>#DIV/0!</v>
      </c>
      <c r="N250" s="833" t="str">
        <v>0</v>
      </c>
      <c r="O250" s="834" t="e">
        <f t="shared" si="107"/>
        <v>#DIV/0!</v>
      </c>
      <c r="P250" s="833">
        <v>0</v>
      </c>
      <c r="Q250" s="833" t="e">
        <v>#DIV/0!</v>
      </c>
      <c r="R250" s="833">
        <v>0</v>
      </c>
      <c r="S250" s="833" t="e">
        <v>#DIV/0!</v>
      </c>
      <c r="T250" s="833" t="str">
        <v>0</v>
      </c>
      <c r="U250" s="834" t="e">
        <f t="shared" si="108"/>
        <v>#DIV/0!</v>
      </c>
      <c r="V250" s="835" t="e">
        <f t="shared" si="106"/>
        <v>#DIV/0!</v>
      </c>
      <c r="W250" s="834" t="e">
        <f>IF((V250-'Adults YEAR1'!V250)&gt;0, (V250-'Adults YEAR1'!V250), "0")</f>
        <v>#DIV/0!</v>
      </c>
    </row>
    <row r="253" spans="2:23" x14ac:dyDescent="0.2">
      <c r="B253" s="290" t="str">
        <f>'TRAD-Adults YEAR(1)'!B17</f>
        <v>Commentaire</v>
      </c>
      <c r="C253" s="291"/>
      <c r="D253" s="291"/>
      <c r="E253" s="291"/>
      <c r="F253" s="291"/>
      <c r="G253" s="291"/>
      <c r="H253" s="291"/>
      <c r="I253" s="291"/>
      <c r="J253" s="291"/>
      <c r="K253" s="291"/>
      <c r="L253" s="291"/>
    </row>
    <row r="254" spans="2:23" x14ac:dyDescent="0.2">
      <c r="B254" s="292" t="s">
        <v>240</v>
      </c>
      <c r="C254" s="293" t="str">
        <f>'TRAD-Adults YEAR(1)'!B125</f>
        <v>La défalcation sur les premières lignes se fait dans les cellules oranges selon les paramètres définis dans l'onglet Données. Elle est obtenue par le calcul suivant :</v>
      </c>
    </row>
    <row r="255" spans="2:23" ht="25.5" customHeight="1" x14ac:dyDescent="0.2">
      <c r="C255" s="2145" t="str">
        <f>'TRAD-Adults YEAR(1)'!B126</f>
        <v xml:space="preserve"> =Nb de patients mois en 2ème lignes*proportion que représente le médicament dans les schémas de premières lignes à la fin de l'année* taux de défalcation défini (onglet 'Données Adultes')*Nb de bte/mois/patient</v>
      </c>
      <c r="D255" s="2145"/>
      <c r="E255" s="2145"/>
      <c r="F255" s="2145"/>
      <c r="G255" s="2145"/>
      <c r="H255" s="2145"/>
      <c r="I255" s="2145"/>
      <c r="J255" s="2145"/>
      <c r="K255" s="2145"/>
      <c r="L255" s="2145"/>
    </row>
    <row r="256" spans="2:23" x14ac:dyDescent="0.2">
      <c r="B256" s="292" t="s">
        <v>337</v>
      </c>
      <c r="C256" s="293" t="str">
        <f>'TRAD-Adults YEAR(1)'!B127</f>
        <v>ajustement posologique de la DDI selon les paramètres définis dans l'onglet 'Données… Adultes'</v>
      </c>
    </row>
    <row r="257" spans="2:3" x14ac:dyDescent="0.2">
      <c r="B257" s="292" t="s">
        <v>338</v>
      </c>
      <c r="C257" s="293" t="str">
        <f>'TRAD-Adults YEAR(1)'!B128</f>
        <v>Posologies calculées comme défini dans l'onglet 1. Présentation.  Le nombre de boite / mois / patient est considéré ici pour 1 caps / jour.</v>
      </c>
    </row>
    <row r="258" spans="2:3" x14ac:dyDescent="0.2">
      <c r="B258" s="292" t="s">
        <v>344</v>
      </c>
      <c r="C258" s="293" t="str">
        <f>'TRAD-Adults YEAR(1)'!B129</f>
        <v>Nous avons considéré ici la nouvelle forme galénique du DRV à 600 mg</v>
      </c>
    </row>
  </sheetData>
  <sheetProtection algorithmName="SHA-512" hashValue="mhqLZKGUrkbh8cdEUQCCOyRsye35RiomIADTHn0mxNNYA1yH2iXpCSZ2c10xndZBoOvt4KYAQB2ZWVUM86PUVg==" saltValue="NGU/b+Tc/kG+ZwiueqYB4A==" spinCount="100000" sheet="1" objects="1" scenarios="1" selectLockedCells="1"/>
  <mergeCells count="30">
    <mergeCell ref="V224:W224"/>
    <mergeCell ref="D138:E138"/>
    <mergeCell ref="F138:G138"/>
    <mergeCell ref="H138:I138"/>
    <mergeCell ref="B222:F222"/>
    <mergeCell ref="L222:M222"/>
    <mergeCell ref="B213:B214"/>
    <mergeCell ref="J224:O224"/>
    <mergeCell ref="P224:U224"/>
    <mergeCell ref="B169:F169"/>
    <mergeCell ref="L169:M169"/>
    <mergeCell ref="B199:B202"/>
    <mergeCell ref="B203:B207"/>
    <mergeCell ref="B208:B212"/>
    <mergeCell ref="C255:L255"/>
    <mergeCell ref="B83:F83"/>
    <mergeCell ref="G83:K83"/>
    <mergeCell ref="L83:M83"/>
    <mergeCell ref="B90:M90"/>
    <mergeCell ref="A106:L106"/>
    <mergeCell ref="B135:F135"/>
    <mergeCell ref="L135:M135"/>
    <mergeCell ref="B66:F66"/>
    <mergeCell ref="G66:K66"/>
    <mergeCell ref="L66:M66"/>
    <mergeCell ref="A2:L2"/>
    <mergeCell ref="A34:L34"/>
    <mergeCell ref="B36:F36"/>
    <mergeCell ref="G36:K36"/>
    <mergeCell ref="L36:M36"/>
  </mergeCells>
  <conditionalFormatting sqref="D181:AB198">
    <cfRule type="cellIs" dxfId="16" priority="1" operator="equal">
      <formula>0</formula>
    </cfRule>
  </conditionalFormatting>
  <pageMargins left="0.78740157499999996" right="0.78740157499999996" top="0.984251969" bottom="0.984251969" header="0.4921259845" footer="0.4921259845"/>
  <pageSetup paperSize="9" orientation="portrait"/>
  <headerFooter alignWithMargins="0"/>
  <legacy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8">
    <tabColor rgb="FF993366"/>
  </sheetPr>
  <dimension ref="A1:AF258"/>
  <sheetViews>
    <sheetView showGridLines="0" topLeftCell="A133" zoomScale="70" zoomScaleNormal="70" zoomScalePageLayoutView="70" workbookViewId="0">
      <selection activeCell="D159" sqref="D159:H159"/>
    </sheetView>
  </sheetViews>
  <sheetFormatPr baseColWidth="10" defaultColWidth="12" defaultRowHeight="12.75" x14ac:dyDescent="0.2"/>
  <cols>
    <col min="1" max="1" width="9" style="260" customWidth="1"/>
    <col min="2" max="2" width="22.33203125" style="260" customWidth="1"/>
    <col min="3" max="3" width="19.5" style="260" customWidth="1"/>
    <col min="4" max="4" width="12" style="260"/>
    <col min="5" max="5" width="12.83203125" style="260" bestFit="1" customWidth="1"/>
    <col min="6" max="6" width="12" style="260" customWidth="1"/>
    <col min="7" max="7" width="13.6640625" style="260" bestFit="1" customWidth="1"/>
    <col min="8" max="8" width="12.1640625" style="260" bestFit="1" customWidth="1"/>
    <col min="9" max="9" width="15.5" style="260" bestFit="1" customWidth="1"/>
    <col min="10" max="11" width="12.1640625" style="260" bestFit="1" customWidth="1"/>
    <col min="12" max="12" width="16.33203125" style="260" customWidth="1"/>
    <col min="13" max="13" width="15.5" style="260" bestFit="1" customWidth="1"/>
    <col min="14" max="14" width="15.5" style="260" customWidth="1"/>
    <col min="15" max="15" width="15.5" style="260" bestFit="1" customWidth="1"/>
    <col min="16" max="16" width="12" style="260"/>
    <col min="17" max="18" width="15.5" style="260" bestFit="1" customWidth="1"/>
    <col min="19" max="19" width="15.6640625" style="260" bestFit="1" customWidth="1"/>
    <col min="20" max="20" width="13.33203125" style="260" bestFit="1" customWidth="1"/>
    <col min="21" max="21" width="13.33203125" style="260" customWidth="1"/>
    <col min="22" max="22" width="12.1640625" style="260" bestFit="1" customWidth="1"/>
    <col min="23" max="16384" width="12" style="260"/>
  </cols>
  <sheetData>
    <row r="1" spans="1:17" s="689" customFormat="1" ht="15" x14ac:dyDescent="0.2">
      <c r="F1" s="690"/>
    </row>
    <row r="2" spans="1:17" ht="16.5" thickBot="1" x14ac:dyDescent="0.3">
      <c r="A2" s="2144" t="str">
        <f>'TRAD-Adults YEAR (2)'!B4</f>
        <v>Répartition prévue au début de la troisième année pour les patients déjà pris en charge</v>
      </c>
      <c r="B2" s="2144"/>
      <c r="C2" s="2144"/>
      <c r="D2" s="2144"/>
      <c r="E2" s="2144"/>
      <c r="F2" s="2144"/>
      <c r="G2" s="2144"/>
      <c r="H2" s="2144"/>
      <c r="I2" s="2144"/>
      <c r="J2" s="2144"/>
      <c r="K2" s="2144"/>
      <c r="L2" s="2144"/>
      <c r="M2" s="497"/>
      <c r="N2" s="497"/>
      <c r="O2" s="497"/>
      <c r="P2" s="497"/>
      <c r="Q2" s="497"/>
    </row>
    <row r="3" spans="1:17" ht="13.5" thickBot="1" x14ac:dyDescent="0.25"/>
    <row r="4" spans="1:17" s="524" customFormat="1" ht="16.5" thickBot="1" x14ac:dyDescent="0.3">
      <c r="B4" s="525" t="str">
        <f>'General Data'!D15</f>
        <v>Année 3</v>
      </c>
      <c r="C4" s="526">
        <f>'General Data'!E15</f>
        <v>0</v>
      </c>
      <c r="D4" s="527"/>
    </row>
    <row r="5" spans="1:17" s="523" customFormat="1" ht="13.5" thickBot="1" x14ac:dyDescent="0.25"/>
    <row r="6" spans="1:17" s="524" customFormat="1" ht="16.5" thickBot="1" x14ac:dyDescent="0.3">
      <c r="B6" s="898" t="str">
        <f>'TRAD-Adults YEAR(1)'!B3</f>
        <v>Période réellement quantifiée :</v>
      </c>
      <c r="C6" s="899"/>
      <c r="D6" s="900" t="str">
        <f>IF('General Data'!G25="NA", "0", 'General Data'!G25)</f>
        <v>0</v>
      </c>
      <c r="E6" s="901" t="str">
        <f>'TRAD-Adults YEAR(1)'!B5</f>
        <v>mois</v>
      </c>
      <c r="G6" s="524" t="str">
        <f>'TRAD-Adults YEAR(1)'!B6</f>
        <v>Facteur multiplicateur</v>
      </c>
      <c r="I6" s="524">
        <f>D6*(D6+1)/2</f>
        <v>0</v>
      </c>
    </row>
    <row r="7" spans="1:17" s="524" customFormat="1" ht="16.5" thickBot="1" x14ac:dyDescent="0.3">
      <c r="B7" s="898" t="str">
        <f>'TRAD-Adults YEAR(1)'!B4</f>
        <v>Période quantifiée + tampon</v>
      </c>
      <c r="C7" s="899"/>
      <c r="D7" s="900">
        <f>D6+'General Data'!$E$30</f>
        <v>3</v>
      </c>
      <c r="E7" s="901" t="str">
        <f>'TRAD-Adults YEAR(1)'!B5</f>
        <v>mois</v>
      </c>
      <c r="F7" s="524">
        <f>A7*(A7+1)/2</f>
        <v>0</v>
      </c>
      <c r="G7" s="524" t="str">
        <f>'TRAD-Adults YEAR(1)'!B6</f>
        <v>Facteur multiplicateur</v>
      </c>
      <c r="I7" s="524">
        <f>D7*(D7+1)/2</f>
        <v>6</v>
      </c>
    </row>
    <row r="8" spans="1:17" ht="13.5" thickBot="1" x14ac:dyDescent="0.25">
      <c r="B8" s="719"/>
    </row>
    <row r="9" spans="1:17" ht="77.25" thickBot="1" x14ac:dyDescent="0.25">
      <c r="B9" s="354"/>
      <c r="C9" s="691" t="str">
        <f>'TRAD-Adults YEAR(1)'!B7</f>
        <v>Schémas</v>
      </c>
      <c r="D9" s="691" t="str">
        <f>'TRAD-Adults YEAR(1)'!B8</f>
        <v>Nb de patients théoriques pour XXX patients totaux</v>
      </c>
      <c r="E9" s="692" t="str">
        <f>'TRAD-Adults YEAR(1)'!B9</f>
        <v>Proportion prévue au début de la période</v>
      </c>
    </row>
    <row r="10" spans="1:17" x14ac:dyDescent="0.2">
      <c r="B10" s="693" t="str">
        <f>'TRAD-Adults YEAR(1)'!B10</f>
        <v>1ères lignes</v>
      </c>
      <c r="C10" s="14" t="str">
        <f>'Data &amp; hypothesis Adults'!C26</f>
        <v>AZT+3TC+NVP</v>
      </c>
      <c r="D10" s="694">
        <f>'Adults YEAR2'!F140+'Data &amp; hypothesis Adults'!D$10*E10</f>
        <v>10296.517095596608</v>
      </c>
      <c r="E10" s="695">
        <f>'Adults YEAR2'!G140</f>
        <v>0.51732265924007981</v>
      </c>
      <c r="G10" s="266" t="str">
        <f>'TRAD-Adults YEAR(1)'!B13</f>
        <v>Total Premières lignes</v>
      </c>
      <c r="H10" s="531"/>
      <c r="I10" s="532">
        <f>SUM(D10:D19)</f>
        <v>18212.203266634242</v>
      </c>
    </row>
    <row r="11" spans="1:17" ht="13.5" thickBot="1" x14ac:dyDescent="0.25">
      <c r="B11" s="696"/>
      <c r="C11" s="15" t="str">
        <f>'Data &amp; hypothesis Adults'!C27</f>
        <v>AZT+3TC+EFV</v>
      </c>
      <c r="D11" s="697">
        <f>'Adults YEAR2'!F141+'Data &amp; hypothesis Adults'!D$10*E11</f>
        <v>1329.7939619901952</v>
      </c>
      <c r="E11" s="698">
        <f>'Adults YEAR2'!G141</f>
        <v>6.6812160099493201E-2</v>
      </c>
      <c r="G11" s="535"/>
      <c r="H11" s="536" t="s">
        <v>51</v>
      </c>
      <c r="I11" s="537">
        <f>I10/D29</f>
        <v>0.91502644409198464</v>
      </c>
    </row>
    <row r="12" spans="1:17" x14ac:dyDescent="0.2">
      <c r="B12" s="696"/>
      <c r="C12" s="15" t="str">
        <f>'Data &amp; hypothesis Adults'!C28</f>
        <v>AZT+3TC+ABC</v>
      </c>
      <c r="D12" s="697">
        <f>'Adults YEAR2'!F142+'Data &amp; hypothesis Adults'!D$10*E12</f>
        <v>75.02963916189843</v>
      </c>
      <c r="E12" s="698">
        <f>'Adults YEAR2'!G142</f>
        <v>3.7696759100857794E-3</v>
      </c>
      <c r="G12" s="266" t="str">
        <f>'TRAD-Adults YEAR(1)'!B15</f>
        <v>Total Deuxièmes lignes</v>
      </c>
      <c r="H12" s="531"/>
      <c r="I12" s="532">
        <f>SUM(D20:D26)</f>
        <v>1691.2687960851044</v>
      </c>
    </row>
    <row r="13" spans="1:17" ht="13.5" thickBot="1" x14ac:dyDescent="0.25">
      <c r="B13" s="696"/>
      <c r="C13" s="16" t="str">
        <f>'Data &amp; hypothesis Adults'!C29</f>
        <v>AZT+3TC+LPV/r</v>
      </c>
      <c r="D13" s="697">
        <f>'Adults YEAR2'!F143+'Data &amp; hypothesis Adults'!D$10*E13</f>
        <v>658.6395744434933</v>
      </c>
      <c r="E13" s="698">
        <f>'Adults YEAR2'!G143</f>
        <v>3.3091692362418178E-2</v>
      </c>
      <c r="G13" s="535"/>
      <c r="H13" s="536" t="s">
        <v>51</v>
      </c>
      <c r="I13" s="537">
        <f>I12/D29</f>
        <v>8.4973555908015377E-2</v>
      </c>
    </row>
    <row r="14" spans="1:17" x14ac:dyDescent="0.2">
      <c r="B14" s="696"/>
      <c r="C14" s="16" t="str">
        <f>'Data &amp; hypothesis Adults'!C30</f>
        <v>ABC+3TC+EFV</v>
      </c>
      <c r="D14" s="697">
        <f>'Adults YEAR2'!F144+'Data &amp; hypothesis Adults'!D$10*E14</f>
        <v>41.686423948685352</v>
      </c>
      <c r="E14" s="698">
        <f>'Adults YEAR2'!G144</f>
        <v>2.0944297465951712E-3</v>
      </c>
      <c r="G14" s="497"/>
      <c r="H14" s="522"/>
      <c r="I14" s="1270"/>
    </row>
    <row r="15" spans="1:17" x14ac:dyDescent="0.2">
      <c r="B15" s="696"/>
      <c r="C15" s="15" t="str">
        <f>'Data &amp; hypothesis Adults'!C31</f>
        <v>TDF+FTC/3TC+EFV</v>
      </c>
      <c r="D15" s="697">
        <f>'Adults YEAR2'!F145+'Data &amp; hypothesis Adults'!D$10*E15</f>
        <v>5735.5069323314656</v>
      </c>
      <c r="E15" s="698">
        <f>'Adults YEAR2'!G145</f>
        <v>0.28816615082322689</v>
      </c>
    </row>
    <row r="16" spans="1:17" x14ac:dyDescent="0.2">
      <c r="B16" s="696"/>
      <c r="C16" s="15" t="str">
        <f>'Data &amp; hypothesis Adults'!C32</f>
        <v>TDF+FTC/3TC+LPV/r</v>
      </c>
      <c r="D16" s="697">
        <f>'Adults YEAR2'!F146+'Data &amp; hypothesis Adults'!D$10*E16</f>
        <v>0</v>
      </c>
      <c r="E16" s="698">
        <f>'Adults YEAR2'!G146</f>
        <v>0</v>
      </c>
    </row>
    <row r="17" spans="2:14" x14ac:dyDescent="0.2">
      <c r="B17" s="696"/>
      <c r="C17" s="15" t="str">
        <f>'Data &amp; hypothesis Adults'!C33</f>
        <v>ABC+3TC+LPV/r</v>
      </c>
      <c r="D17" s="697">
        <f>'Adults YEAR2'!F147+'Data &amp; hypothesis Adults'!D$10*E17</f>
        <v>23.619344931387424</v>
      </c>
      <c r="E17" s="698">
        <f>'Adults YEAR2'!G147</f>
        <v>1.1866947061778322E-3</v>
      </c>
    </row>
    <row r="18" spans="2:14" x14ac:dyDescent="0.2">
      <c r="B18" s="696"/>
      <c r="C18" s="36" t="str">
        <f>'Data &amp; hypothesis Adults'!C34</f>
        <v>TDF+3TC/FTC+ABC</v>
      </c>
      <c r="D18" s="697">
        <f>'Adults YEAR2'!F148+'Data &amp; hypothesis Adults'!D$10*E18</f>
        <v>51.410294230510999</v>
      </c>
      <c r="E18" s="698">
        <f>'Adults YEAR2'!G148</f>
        <v>2.5829812039079468E-3</v>
      </c>
    </row>
    <row r="19" spans="2:14" x14ac:dyDescent="0.2">
      <c r="B19" s="696"/>
      <c r="C19" s="1155">
        <f>'Data &amp; hypothesis Adults'!C35</f>
        <v>0</v>
      </c>
      <c r="D19" s="699">
        <f>'Adults YEAR2'!F149+'Data &amp; hypothesis Adults'!D$10*E19</f>
        <v>0</v>
      </c>
      <c r="E19" s="700">
        <f>'Adults YEAR2'!G149</f>
        <v>0</v>
      </c>
    </row>
    <row r="20" spans="2:14" x14ac:dyDescent="0.2">
      <c r="B20" s="701" t="str">
        <f>'TRAD-Adults YEAR(1)'!B11</f>
        <v>2èmes lignes</v>
      </c>
      <c r="C20" s="18" t="str">
        <f>'Data &amp; hypothesis Adults'!C36</f>
        <v>TDF+FTC/3TC+LPV/r</v>
      </c>
      <c r="D20" s="703">
        <f>'Adults YEAR2'!F150+'Data &amp; hypothesis Adults'!D$10*E20</f>
        <v>1264.6135333657555</v>
      </c>
      <c r="E20" s="704">
        <f>'Adults YEAR2'!G150</f>
        <v>6.3537333053285155E-2</v>
      </c>
    </row>
    <row r="21" spans="2:14" x14ac:dyDescent="0.2">
      <c r="B21" s="696"/>
      <c r="C21" s="16" t="str">
        <f>'Data &amp; hypothesis Adults'!C37</f>
        <v>TDF+FTC/3TC+ATV/r</v>
      </c>
      <c r="D21" s="697">
        <f>'Adults YEAR2'!F151+'Data &amp; hypothesis Adults'!D$10*E21</f>
        <v>34.903199999999998</v>
      </c>
      <c r="E21" s="698">
        <f>'Adults YEAR2'!G151</f>
        <v>1.7536236838484195E-3</v>
      </c>
    </row>
    <row r="22" spans="2:14" x14ac:dyDescent="0.2">
      <c r="B22" s="696"/>
      <c r="C22" s="16" t="str">
        <f>'Data &amp; hypothesis Adults'!C38</f>
        <v>ABC+DDI+LPV/r</v>
      </c>
      <c r="D22" s="697">
        <f>'Adults YEAR2'!F152+'Data &amp; hypothesis Adults'!D$10*E22</f>
        <v>0</v>
      </c>
      <c r="E22" s="698">
        <f>'Adults YEAR2'!G152</f>
        <v>0</v>
      </c>
    </row>
    <row r="23" spans="2:14" x14ac:dyDescent="0.2">
      <c r="B23" s="696"/>
      <c r="C23" s="15" t="str">
        <f>'Data &amp; hypothesis Adults'!C39</f>
        <v>TDF+3TC/FTC+ABC</v>
      </c>
      <c r="D23" s="697">
        <f>'Adults YEAR2'!F153+'Data &amp; hypothesis Adults'!D$10*E23</f>
        <v>0</v>
      </c>
      <c r="E23" s="698">
        <f>'Adults YEAR2'!G153</f>
        <v>0</v>
      </c>
    </row>
    <row r="24" spans="2:14" x14ac:dyDescent="0.2">
      <c r="B24" s="696"/>
      <c r="C24" s="15" t="str">
        <f>'Data &amp; hypothesis Adults'!C40</f>
        <v>AZT+3TC+LPV/r</v>
      </c>
      <c r="D24" s="697">
        <f>'Adults YEAR2'!F154+'Data &amp; hypothesis Adults'!D$10*E24</f>
        <v>391.75206271934888</v>
      </c>
      <c r="E24" s="698">
        <f>'Adults YEAR2'!G154</f>
        <v>1.96825991708818E-2</v>
      </c>
    </row>
    <row r="25" spans="2:14" x14ac:dyDescent="0.2">
      <c r="B25" s="696"/>
      <c r="C25" s="36">
        <f>'Data &amp; hypothesis Adults'!C41</f>
        <v>0</v>
      </c>
      <c r="D25" s="697">
        <f>'Adults YEAR2'!F155+'Data &amp; hypothesis Adults'!D$10*E25</f>
        <v>0</v>
      </c>
      <c r="E25" s="698">
        <f>'Adults YEAR2'!G155</f>
        <v>0</v>
      </c>
    </row>
    <row r="26" spans="2:14" x14ac:dyDescent="0.2">
      <c r="B26" s="696"/>
      <c r="C26" s="1155">
        <f>'Data &amp; hypothesis Adults'!C42</f>
        <v>0</v>
      </c>
      <c r="D26" s="699">
        <f>'Adults YEAR2'!F156+'Data &amp; hypothesis Adults'!D$10*E26</f>
        <v>0</v>
      </c>
      <c r="E26" s="700">
        <f>'Adults YEAR2'!G156</f>
        <v>0</v>
      </c>
    </row>
    <row r="27" spans="2:14" x14ac:dyDescent="0.2">
      <c r="B27" s="701" t="str">
        <f>'TRAD-Adults YEAR(1)'!B12</f>
        <v>3èmes lignes</v>
      </c>
      <c r="C27" s="702" t="s">
        <v>195</v>
      </c>
      <c r="D27" s="703">
        <f>'Adults YEAR2'!F157+'Data &amp; hypothesis Adults'!D$10*E27</f>
        <v>0</v>
      </c>
      <c r="E27" s="704">
        <f>'Adults YEAR2'!G157</f>
        <v>0</v>
      </c>
    </row>
    <row r="28" spans="2:14" ht="13.5" thickBot="1" x14ac:dyDescent="0.25">
      <c r="B28" s="696"/>
      <c r="C28" s="497"/>
      <c r="D28" s="699">
        <f>'Adults YEAR2'!F158+'Data &amp; hypothesis Adults'!D$10*E28</f>
        <v>0</v>
      </c>
      <c r="E28" s="700">
        <f>'Adults YEAR2'!G158</f>
        <v>0</v>
      </c>
    </row>
    <row r="29" spans="2:14" ht="14.25" thickTop="1" thickBot="1" x14ac:dyDescent="0.25">
      <c r="B29" s="706"/>
      <c r="C29" s="707" t="s">
        <v>6</v>
      </c>
      <c r="D29" s="708">
        <f>'Adults YEAR2'!F159+'Data &amp; hypothesis Adults'!D$10</f>
        <v>19903.472062719346</v>
      </c>
      <c r="E29" s="836">
        <f>SUM(E10:E28)</f>
        <v>1.0000000000000002</v>
      </c>
    </row>
    <row r="31" spans="2:14" x14ac:dyDescent="0.2">
      <c r="B31" s="290" t="str">
        <f>'TRAD-Adults YEAR(1)'!B17</f>
        <v>Commentaire</v>
      </c>
      <c r="C31" s="291"/>
      <c r="D31" s="291"/>
      <c r="E31" s="291"/>
      <c r="F31" s="291"/>
      <c r="G31" s="291"/>
      <c r="H31" s="291"/>
      <c r="I31" s="291"/>
      <c r="J31" s="291"/>
      <c r="K31" s="291"/>
      <c r="L31" s="291"/>
      <c r="M31" s="291"/>
      <c r="N31" s="497"/>
    </row>
    <row r="32" spans="2:14" x14ac:dyDescent="0.2">
      <c r="C32" s="260" t="str">
        <f>'TRAD-Adults YEAR(1)'!B18</f>
        <v>considérant que le passage en 3ème ligne est théorique, le nombre total n'en tient pas compte de manière à laisser les quantités suffisantes en 2èmes lignes</v>
      </c>
    </row>
    <row r="34" spans="1:20" ht="16.5" thickBot="1" x14ac:dyDescent="0.3">
      <c r="A34" s="2144" t="str">
        <f>'TRAD-Adults YEAR (2)'!B9</f>
        <v>Evolution de la file active de patients sous traitement à prévoir pour la 3ème  année</v>
      </c>
      <c r="B34" s="2144"/>
      <c r="C34" s="2144"/>
      <c r="D34" s="2144"/>
      <c r="E34" s="2144"/>
      <c r="F34" s="2144"/>
      <c r="G34" s="2144"/>
      <c r="H34" s="2144"/>
      <c r="I34" s="2144"/>
      <c r="J34" s="2144"/>
      <c r="K34" s="2144"/>
      <c r="L34" s="2144"/>
      <c r="M34" s="497"/>
      <c r="N34" s="497"/>
      <c r="O34" s="497"/>
      <c r="P34" s="497"/>
      <c r="Q34" s="497"/>
    </row>
    <row r="36" spans="1:20" ht="15" x14ac:dyDescent="0.2">
      <c r="B36" s="2143" t="str">
        <f>'TRAD-Adults YEAR(1)'!B19</f>
        <v>Répartition des Initiations</v>
      </c>
      <c r="C36" s="2143"/>
      <c r="D36" s="2143"/>
      <c r="E36" s="2143"/>
      <c r="F36" s="2143"/>
      <c r="G36" s="2143"/>
      <c r="H36" s="2143"/>
      <c r="I36" s="2143"/>
      <c r="J36" s="2143"/>
      <c r="K36" s="2143"/>
      <c r="L36" s="2143"/>
      <c r="M36" s="2143"/>
      <c r="N36" s="961"/>
      <c r="O36" s="497"/>
      <c r="P36" s="497"/>
      <c r="Q36" s="497"/>
    </row>
    <row r="37" spans="1:20" ht="13.5" thickBot="1" x14ac:dyDescent="0.25"/>
    <row r="38" spans="1:20" s="545" customFormat="1" ht="64.5" thickBot="1" x14ac:dyDescent="0.25">
      <c r="B38" s="709" t="str">
        <f>'TRAD-Adults YEAR(1)'!B20</f>
        <v>Schémas thérap. Initiations</v>
      </c>
      <c r="C38" s="963" t="str">
        <f>'TRAD-Adults YEAR(1)'!B21</f>
        <v>Critères</v>
      </c>
      <c r="D38" s="963" t="s">
        <v>51</v>
      </c>
      <c r="E38" s="963" t="str">
        <f>'TRAD-Adults YEAR(1)'!B23</f>
        <v>Nb de patients mensuels</v>
      </c>
      <c r="F38" s="710" t="str">
        <f>'TRAD-Adults YEAR(1)'!B24</f>
        <v>Nb de patients total sur la période définie</v>
      </c>
      <c r="M38" s="962"/>
      <c r="T38" s="962"/>
    </row>
    <row r="39" spans="1:20" ht="13.5" thickBot="1" x14ac:dyDescent="0.25">
      <c r="B39" s="711" t="str">
        <f>C10</f>
        <v>AZT+3TC+NVP</v>
      </c>
      <c r="C39" s="546">
        <f>'Data &amp; hypothesis Adults'!C56</f>
        <v>0</v>
      </c>
      <c r="D39" s="547">
        <f>'Data &amp; hypothesis Adults'!F56</f>
        <v>0</v>
      </c>
      <c r="E39" s="1195">
        <f>D39*E$49</f>
        <v>0</v>
      </c>
      <c r="F39" s="1501">
        <f t="shared" ref="F39:F46" si="0">E39*$D$6</f>
        <v>0</v>
      </c>
    </row>
    <row r="40" spans="1:20" ht="13.5" thickBot="1" x14ac:dyDescent="0.25">
      <c r="B40" s="712" t="str">
        <f t="shared" ref="B40:B46" si="1">C11</f>
        <v>AZT+3TC+EFV</v>
      </c>
      <c r="C40" s="546">
        <f>'Data &amp; hypothesis Adults'!C57</f>
        <v>0</v>
      </c>
      <c r="D40" s="550">
        <f>'Data &amp; hypothesis Adults'!F57</f>
        <v>0</v>
      </c>
      <c r="E40" s="734">
        <f t="shared" ref="E40:E46" si="2">D40*E$49</f>
        <v>0</v>
      </c>
      <c r="F40" s="1502">
        <f t="shared" si="0"/>
        <v>0</v>
      </c>
    </row>
    <row r="41" spans="1:20" ht="13.5" thickBot="1" x14ac:dyDescent="0.25">
      <c r="B41" s="712" t="str">
        <f t="shared" si="1"/>
        <v>AZT+3TC+ABC</v>
      </c>
      <c r="C41" s="546">
        <f>'Data &amp; hypothesis Adults'!C58</f>
        <v>0</v>
      </c>
      <c r="D41" s="550">
        <f>'Data &amp; hypothesis Adults'!F58</f>
        <v>0</v>
      </c>
      <c r="E41" s="734">
        <f t="shared" si="2"/>
        <v>0</v>
      </c>
      <c r="F41" s="1502">
        <f t="shared" si="0"/>
        <v>0</v>
      </c>
    </row>
    <row r="42" spans="1:20" ht="13.5" thickBot="1" x14ac:dyDescent="0.25">
      <c r="B42" s="712" t="str">
        <f t="shared" si="1"/>
        <v>AZT+3TC+LPV/r</v>
      </c>
      <c r="C42" s="546">
        <f>'Data &amp; hypothesis Adults'!C59</f>
        <v>0</v>
      </c>
      <c r="D42" s="550">
        <f>'Data &amp; hypothesis Adults'!F59</f>
        <v>0</v>
      </c>
      <c r="E42" s="734">
        <f t="shared" si="2"/>
        <v>0</v>
      </c>
      <c r="F42" s="1502">
        <f t="shared" si="0"/>
        <v>0</v>
      </c>
    </row>
    <row r="43" spans="1:20" ht="13.5" thickBot="1" x14ac:dyDescent="0.25">
      <c r="B43" s="713" t="str">
        <f t="shared" si="1"/>
        <v>ABC+3TC+EFV</v>
      </c>
      <c r="C43" s="546">
        <f>'Data &amp; hypothesis Adults'!C60</f>
        <v>0</v>
      </c>
      <c r="D43" s="550">
        <f>'Data &amp; hypothesis Adults'!F60</f>
        <v>0</v>
      </c>
      <c r="E43" s="734">
        <f t="shared" ref="E43" si="3">D43*E$49</f>
        <v>0</v>
      </c>
      <c r="F43" s="1502">
        <f t="shared" ref="F43" si="4">E43*$D$6</f>
        <v>0</v>
      </c>
    </row>
    <row r="44" spans="1:20" ht="13.5" thickBot="1" x14ac:dyDescent="0.25">
      <c r="B44" s="713" t="str">
        <f t="shared" si="1"/>
        <v>TDF+FTC/3TC+EFV</v>
      </c>
      <c r="C44" s="546">
        <f>'Data &amp; hypothesis Adults'!C61</f>
        <v>0</v>
      </c>
      <c r="D44" s="549">
        <f>'Data &amp; hypothesis Adults'!F61</f>
        <v>0</v>
      </c>
      <c r="E44" s="733">
        <f t="shared" si="2"/>
        <v>0</v>
      </c>
      <c r="F44" s="1503">
        <f t="shared" si="0"/>
        <v>0</v>
      </c>
    </row>
    <row r="45" spans="1:20" ht="13.5" thickBot="1" x14ac:dyDescent="0.25">
      <c r="B45" s="713" t="str">
        <f t="shared" si="1"/>
        <v>TDF+FTC/3TC+LPV/r</v>
      </c>
      <c r="C45" s="546">
        <f>'Data &amp; hypothesis Adults'!C62</f>
        <v>0</v>
      </c>
      <c r="D45" s="549">
        <f>'Data &amp; hypothesis Adults'!F62</f>
        <v>0</v>
      </c>
      <c r="E45" s="733">
        <f t="shared" si="2"/>
        <v>0</v>
      </c>
      <c r="F45" s="1503">
        <f t="shared" si="0"/>
        <v>0</v>
      </c>
    </row>
    <row r="46" spans="1:20" ht="13.5" thickBot="1" x14ac:dyDescent="0.25">
      <c r="B46" s="713" t="str">
        <f t="shared" si="1"/>
        <v>ABC+3TC+LPV/r</v>
      </c>
      <c r="C46" s="546">
        <f>'Data &amp; hypothesis Adults'!C63</f>
        <v>0</v>
      </c>
      <c r="D46" s="549">
        <f>'Data &amp; hypothesis Adults'!F63</f>
        <v>0</v>
      </c>
      <c r="E46" s="733">
        <f t="shared" si="2"/>
        <v>0</v>
      </c>
      <c r="F46" s="1503">
        <f t="shared" si="0"/>
        <v>0</v>
      </c>
    </row>
    <row r="47" spans="1:20" ht="13.5" thickBot="1" x14ac:dyDescent="0.25">
      <c r="B47" s="713" t="str">
        <f t="shared" ref="B47:B48" si="5">C18</f>
        <v>TDF+3TC/FTC+ABC</v>
      </c>
      <c r="C47" s="546">
        <f>'Data &amp; hypothesis Adults'!C64</f>
        <v>0</v>
      </c>
      <c r="D47" s="549">
        <f>'Data &amp; hypothesis Adults'!F64</f>
        <v>0</v>
      </c>
      <c r="E47" s="733">
        <f t="shared" ref="E47:E48" si="6">D47*E$49</f>
        <v>0</v>
      </c>
      <c r="F47" s="1503">
        <f t="shared" ref="F47:F48" si="7">E47*$D$6</f>
        <v>0</v>
      </c>
    </row>
    <row r="48" spans="1:20" ht="13.5" thickBot="1" x14ac:dyDescent="0.25">
      <c r="B48" s="713">
        <f t="shared" si="5"/>
        <v>0</v>
      </c>
      <c r="C48" s="546">
        <f>'Data &amp; hypothesis Adults'!C65</f>
        <v>0</v>
      </c>
      <c r="D48" s="549">
        <f>'Data &amp; hypothesis Adults'!F65</f>
        <v>0</v>
      </c>
      <c r="E48" s="733">
        <f t="shared" si="6"/>
        <v>0</v>
      </c>
      <c r="F48" s="1503">
        <f t="shared" si="7"/>
        <v>0</v>
      </c>
    </row>
    <row r="49" spans="1:21" ht="14.25" thickTop="1" thickBot="1" x14ac:dyDescent="0.25">
      <c r="B49" s="714" t="s">
        <v>6</v>
      </c>
      <c r="C49" s="715"/>
      <c r="D49" s="716"/>
      <c r="E49" s="716">
        <f>'Data &amp; hypothesis Adults'!E10</f>
        <v>0</v>
      </c>
      <c r="F49" s="717">
        <f>SUM(F39:F48)</f>
        <v>0</v>
      </c>
    </row>
    <row r="50" spans="1:21" x14ac:dyDescent="0.2">
      <c r="A50" s="528"/>
    </row>
    <row r="51" spans="1:21" ht="13.5" thickBot="1" x14ac:dyDescent="0.25">
      <c r="A51" s="528"/>
    </row>
    <row r="52" spans="1:21" s="545" customFormat="1" ht="64.5" thickBot="1" x14ac:dyDescent="0.25">
      <c r="B52" s="709" t="str">
        <f>'TRAD-Adults YEAR(1)'!B7</f>
        <v>Schémas</v>
      </c>
      <c r="C52" s="963" t="str">
        <f>'TRAD-Adults YEAR(1)'!B21</f>
        <v>Critères</v>
      </c>
      <c r="D52" s="963" t="str">
        <f>'TRAD-Adults YEAR(1)'!B23</f>
        <v>Nb de patients mensuels</v>
      </c>
      <c r="E52" s="963" t="str">
        <f>'TRAD-Adults YEAR(1)'!B26</f>
        <v>Total patients-mois</v>
      </c>
      <c r="F52" s="720" t="str">
        <f>'TRAD-Adults YEAR(1)'!B28</f>
        <v>Médicaments nécessaires</v>
      </c>
      <c r="G52" s="720"/>
      <c r="H52" s="963" t="str">
        <f>'TRAD-Adults YEAR(1)'!B29</f>
        <v>Total patients-mois AVEC Marge de sécurité</v>
      </c>
      <c r="I52" s="710" t="str">
        <f>'TRAD-Adults YEAR(1)'!B30</f>
        <v>Nb de patients-mois Marge de sécurité SEULE</v>
      </c>
      <c r="N52" s="962"/>
      <c r="U52" s="962"/>
    </row>
    <row r="53" spans="1:21" ht="13.5" thickBot="1" x14ac:dyDescent="0.25">
      <c r="B53" s="711" t="str">
        <f t="shared" ref="B53:B60" si="8">B39</f>
        <v>AZT+3TC+NVP</v>
      </c>
      <c r="C53" s="546">
        <f>'Data &amp; hypothesis Adults'!C56</f>
        <v>0</v>
      </c>
      <c r="D53" s="548">
        <f t="shared" ref="D53:D57" si="9">$E39</f>
        <v>0</v>
      </c>
      <c r="E53" s="721">
        <f t="shared" ref="E53:E60" si="10">D53*(D$6*(D$6+1)/2)</f>
        <v>0</v>
      </c>
      <c r="F53" s="546" t="s">
        <v>57</v>
      </c>
      <c r="G53" s="546"/>
      <c r="H53" s="721">
        <f>D53*((D$6+'General Data'!E$30)*(D$6+'General Data'!E$30+1)/2)</f>
        <v>0</v>
      </c>
      <c r="I53" s="722">
        <f t="shared" ref="I53:I60" si="11">H53-E53</f>
        <v>0</v>
      </c>
    </row>
    <row r="54" spans="1:21" ht="13.5" thickBot="1" x14ac:dyDescent="0.25">
      <c r="B54" s="712" t="str">
        <f t="shared" si="8"/>
        <v>AZT+3TC+EFV</v>
      </c>
      <c r="C54" s="546">
        <f>'Data &amp; hypothesis Adults'!C57</f>
        <v>0</v>
      </c>
      <c r="D54" s="324">
        <f t="shared" si="9"/>
        <v>0</v>
      </c>
      <c r="E54" s="721">
        <f t="shared" si="10"/>
        <v>0</v>
      </c>
      <c r="F54" s="323" t="s">
        <v>58</v>
      </c>
      <c r="G54" s="323" t="s">
        <v>17</v>
      </c>
      <c r="H54" s="721">
        <f>D54*((D$6+'General Data'!E$30)*(D$6+'General Data'!E$30+1)/2)</f>
        <v>0</v>
      </c>
      <c r="I54" s="722">
        <f t="shared" si="11"/>
        <v>0</v>
      </c>
    </row>
    <row r="55" spans="1:21" ht="13.5" thickBot="1" x14ac:dyDescent="0.25">
      <c r="B55" s="712" t="str">
        <f t="shared" si="8"/>
        <v>AZT+3TC+ABC</v>
      </c>
      <c r="C55" s="546">
        <f>'Data &amp; hypothesis Adults'!C58</f>
        <v>0</v>
      </c>
      <c r="D55" s="324">
        <f t="shared" si="9"/>
        <v>0</v>
      </c>
      <c r="E55" s="721">
        <f t="shared" si="10"/>
        <v>0</v>
      </c>
      <c r="F55" s="323" t="s">
        <v>345</v>
      </c>
      <c r="G55" s="323"/>
      <c r="H55" s="721">
        <f>D55*((D$6+'General Data'!E$30)*(D$6+'General Data'!E$30+1)/2)</f>
        <v>0</v>
      </c>
      <c r="I55" s="722">
        <f t="shared" si="11"/>
        <v>0</v>
      </c>
    </row>
    <row r="56" spans="1:21" ht="13.5" thickBot="1" x14ac:dyDescent="0.25">
      <c r="B56" s="712" t="str">
        <f t="shared" si="8"/>
        <v>AZT+3TC+LPV/r</v>
      </c>
      <c r="C56" s="546">
        <f>'Data &amp; hypothesis Adults'!C59</f>
        <v>0</v>
      </c>
      <c r="D56" s="324">
        <f t="shared" si="9"/>
        <v>0</v>
      </c>
      <c r="E56" s="721">
        <f t="shared" si="10"/>
        <v>0</v>
      </c>
      <c r="F56" s="323" t="s">
        <v>58</v>
      </c>
      <c r="G56" s="323" t="s">
        <v>33</v>
      </c>
      <c r="H56" s="721">
        <f>D56*((D$6+'General Data'!E$30)*(D$6+'General Data'!E$30+1)/2)</f>
        <v>0</v>
      </c>
      <c r="I56" s="722">
        <f>H56-E56</f>
        <v>0</v>
      </c>
    </row>
    <row r="57" spans="1:21" ht="13.5" thickBot="1" x14ac:dyDescent="0.25">
      <c r="B57" s="713" t="str">
        <f t="shared" si="8"/>
        <v>ABC+3TC+EFV</v>
      </c>
      <c r="C57" s="546">
        <f>'Data &amp; hypothesis Adults'!C60</f>
        <v>0</v>
      </c>
      <c r="D57" s="324">
        <f t="shared" si="9"/>
        <v>0</v>
      </c>
      <c r="E57" s="721">
        <f t="shared" ref="E57" si="12">D57*(D$6*(D$6+1)/2)</f>
        <v>0</v>
      </c>
      <c r="F57" s="323" t="s">
        <v>739</v>
      </c>
      <c r="G57" s="314" t="s">
        <v>17</v>
      </c>
      <c r="H57" s="721">
        <f>D57*((D$6+'General Data'!E$30)*(D$6+'General Data'!E$30+1)/2)</f>
        <v>0</v>
      </c>
      <c r="I57" s="722">
        <f>H57-E57</f>
        <v>0</v>
      </c>
    </row>
    <row r="58" spans="1:21" ht="13.5" thickBot="1" x14ac:dyDescent="0.25">
      <c r="B58" s="713" t="str">
        <f t="shared" si="8"/>
        <v>TDF+FTC/3TC+EFV</v>
      </c>
      <c r="C58" s="546">
        <f>'Data &amp; hypothesis Adults'!C61</f>
        <v>0</v>
      </c>
      <c r="D58" s="315">
        <f>$E44</f>
        <v>0</v>
      </c>
      <c r="E58" s="721">
        <f t="shared" si="10"/>
        <v>0</v>
      </c>
      <c r="F58" s="314" t="s">
        <v>59</v>
      </c>
      <c r="G58" s="314"/>
      <c r="H58" s="721">
        <f>D58*((D$6+'General Data'!E$30)*(D$6+'General Data'!E$30+1)/2)</f>
        <v>0</v>
      </c>
      <c r="I58" s="722">
        <f t="shared" si="11"/>
        <v>0</v>
      </c>
    </row>
    <row r="59" spans="1:21" ht="13.5" thickBot="1" x14ac:dyDescent="0.25">
      <c r="B59" s="713" t="str">
        <f t="shared" si="8"/>
        <v>TDF+FTC/3TC+LPV/r</v>
      </c>
      <c r="C59" s="546">
        <f>'Data &amp; hypothesis Adults'!C62</f>
        <v>0</v>
      </c>
      <c r="D59" s="315">
        <f>$E45</f>
        <v>0</v>
      </c>
      <c r="E59" s="721">
        <f t="shared" si="10"/>
        <v>0</v>
      </c>
      <c r="F59" s="314" t="s">
        <v>201</v>
      </c>
      <c r="G59" s="314" t="s">
        <v>17</v>
      </c>
      <c r="H59" s="721">
        <f>D59*((D$6+'General Data'!E$30)*(D$6+'General Data'!E$30+1)/2)</f>
        <v>0</v>
      </c>
      <c r="I59" s="722">
        <f t="shared" si="11"/>
        <v>0</v>
      </c>
    </row>
    <row r="60" spans="1:21" ht="13.5" thickBot="1" x14ac:dyDescent="0.25">
      <c r="B60" s="713" t="str">
        <f t="shared" si="8"/>
        <v>ABC+3TC+LPV/r</v>
      </c>
      <c r="C60" s="546">
        <f>'Data &amp; hypothesis Adults'!C63</f>
        <v>0</v>
      </c>
      <c r="D60" s="315">
        <f>$E46</f>
        <v>0</v>
      </c>
      <c r="E60" s="721">
        <f t="shared" si="10"/>
        <v>0</v>
      </c>
      <c r="F60" s="314" t="s">
        <v>60</v>
      </c>
      <c r="G60" s="314" t="s">
        <v>17</v>
      </c>
      <c r="H60" s="721">
        <f>D60*((D$6+'General Data'!E$30)*(D$6+'General Data'!E$30+1)/2)</f>
        <v>0</v>
      </c>
      <c r="I60" s="722">
        <f t="shared" si="11"/>
        <v>0</v>
      </c>
    </row>
    <row r="61" spans="1:21" ht="13.5" thickBot="1" x14ac:dyDescent="0.25">
      <c r="B61" s="713" t="str">
        <f t="shared" ref="B61:B62" si="13">B47</f>
        <v>TDF+3TC/FTC+ABC</v>
      </c>
      <c r="C61" s="546">
        <f>'Data &amp; hypothesis Adults'!C64</f>
        <v>0</v>
      </c>
      <c r="D61" s="2083"/>
      <c r="E61" s="2084"/>
      <c r="F61" s="803"/>
      <c r="G61" s="803"/>
      <c r="H61" s="2084"/>
      <c r="I61" s="2085"/>
    </row>
    <row r="62" spans="1:21" ht="13.5" thickBot="1" x14ac:dyDescent="0.25">
      <c r="B62" s="713">
        <f t="shared" si="13"/>
        <v>0</v>
      </c>
      <c r="C62" s="546">
        <f>'Data &amp; hypothesis Adults'!C65</f>
        <v>0</v>
      </c>
      <c r="D62" s="552">
        <f>$E48</f>
        <v>0</v>
      </c>
      <c r="E62" s="723">
        <f>D62*(D$6*(D$6+1)/2)</f>
        <v>0</v>
      </c>
      <c r="F62" s="551"/>
      <c r="G62" s="551"/>
      <c r="H62" s="723">
        <f>D62*((D$6+'General Data'!E$30)*(D$6+'General Data'!E$30+1)/2)</f>
        <v>0</v>
      </c>
      <c r="I62" s="724">
        <f>H62-E62</f>
        <v>0</v>
      </c>
    </row>
    <row r="63" spans="1:21" ht="14.25" thickTop="1" thickBot="1" x14ac:dyDescent="0.25">
      <c r="B63" s="725" t="s">
        <v>288</v>
      </c>
      <c r="C63" s="726"/>
      <c r="D63" s="727">
        <f>SUM(D53:D62)</f>
        <v>0</v>
      </c>
      <c r="E63" s="727">
        <f>SUM(E53:E62)</f>
        <v>0</v>
      </c>
      <c r="F63" s="726"/>
      <c r="G63" s="726"/>
      <c r="H63" s="727"/>
      <c r="I63" s="718"/>
    </row>
    <row r="64" spans="1:21" x14ac:dyDescent="0.2">
      <c r="R64" s="292"/>
    </row>
    <row r="66" spans="2:20" ht="15" x14ac:dyDescent="0.2">
      <c r="B66" s="2143" t="str">
        <f>'TRAD-Adults YEAR(1)'!B31</f>
        <v>Passage en 2ème ligne</v>
      </c>
      <c r="C66" s="2143"/>
      <c r="D66" s="2143"/>
      <c r="E66" s="2143"/>
      <c r="F66" s="2143"/>
      <c r="G66" s="2143"/>
      <c r="H66" s="2143"/>
      <c r="I66" s="2143"/>
      <c r="J66" s="2143"/>
      <c r="K66" s="2143"/>
      <c r="L66" s="2143"/>
      <c r="M66" s="2143"/>
      <c r="N66" s="961"/>
    </row>
    <row r="68" spans="2:20" x14ac:dyDescent="0.2">
      <c r="B68" s="528" t="str">
        <f>'TRAD-Adults YEAR(1)'!B32</f>
        <v>Taux de passage en 2ème ligne</v>
      </c>
      <c r="C68" s="528"/>
      <c r="D68" s="728">
        <f>'Data &amp; hypothesis Adults'!D74</f>
        <v>0</v>
      </c>
      <c r="E68" s="528" t="str">
        <f>'TRAD-Adults YEAR(1)'!B33</f>
        <v>des patients à la fin de l'année</v>
      </c>
      <c r="F68" s="528"/>
      <c r="G68" s="528"/>
      <c r="H68" s="566">
        <f>ROUNDUP(D68*(D29+F49), 0)</f>
        <v>0</v>
      </c>
    </row>
    <row r="69" spans="2:20" s="523" customFormat="1" ht="13.5" thickBot="1" x14ac:dyDescent="0.25">
      <c r="E69" s="567"/>
      <c r="G69" s="565" t="str">
        <f>'TRAD-Adults YEAR(1)'!B34</f>
        <v>Nb de patients en 2ème ligne au début de l'année :</v>
      </c>
      <c r="H69" s="568">
        <f>$I$12</f>
        <v>1691.2687960851044</v>
      </c>
    </row>
    <row r="70" spans="2:20" ht="13.5" thickBot="1" x14ac:dyDescent="0.25">
      <c r="B70" s="528"/>
      <c r="C70" s="528"/>
      <c r="D70" s="569"/>
      <c r="E70" s="570"/>
      <c r="F70" s="571"/>
      <c r="G70" s="572"/>
      <c r="H70" s="729">
        <f>IF((H68-$I$12)&gt;0, H68-$I$12, 0)</f>
        <v>0</v>
      </c>
      <c r="J70" s="730" t="str">
        <f>'TRAD-Adults YEAR(1)'!B36</f>
        <v>Proportion mensuelle</v>
      </c>
      <c r="K70" s="570"/>
      <c r="L70" s="731" t="e">
        <f>H70/D6</f>
        <v>#DIV/0!</v>
      </c>
    </row>
    <row r="71" spans="2:20" ht="13.5" thickBot="1" x14ac:dyDescent="0.25"/>
    <row r="72" spans="2:20" s="545" customFormat="1" ht="64.5" thickBot="1" x14ac:dyDescent="0.25">
      <c r="B72" s="709" t="str">
        <f>'TRAD-Adults YEAR(1)'!B37</f>
        <v>Schémas thérap. 2èmes lignes</v>
      </c>
      <c r="C72" s="963" t="str">
        <f>'TRAD-Adults YEAR(1)'!B24</f>
        <v>Nb de patients total sur la période définie</v>
      </c>
      <c r="D72" s="963" t="str">
        <f>'TRAD-Adults YEAR(1)'!B23</f>
        <v>Nb de patients mensuels</v>
      </c>
      <c r="E72" s="963" t="s">
        <v>51</v>
      </c>
      <c r="F72" s="963" t="str">
        <f>'TRAD-Adults YEAR(1)'!B26</f>
        <v>Total patients-mois</v>
      </c>
      <c r="G72" s="963" t="str">
        <f>'TRAD-Adults YEAR(1)'!B29</f>
        <v>Total patients-mois AVEC Marge de sécurité</v>
      </c>
      <c r="H72" s="710" t="str">
        <f>'TRAD-Adults YEAR(1)'!B30</f>
        <v>Nb de patients-mois Marge de sécurité SEULE</v>
      </c>
      <c r="M72" s="962"/>
      <c r="T72" s="962"/>
    </row>
    <row r="73" spans="2:20" x14ac:dyDescent="0.2">
      <c r="B73" s="1910" t="str">
        <f>C20</f>
        <v>TDF+FTC/3TC+LPV/r</v>
      </c>
      <c r="C73" s="1911">
        <f>'Data &amp; hypothesis Adults'!C106</f>
        <v>424.34186668287776</v>
      </c>
      <c r="D73" s="1911" t="e">
        <f>C73/$D$6</f>
        <v>#DIV/0!</v>
      </c>
      <c r="E73" s="1912">
        <f>C73/C$80</f>
        <v>1</v>
      </c>
      <c r="F73" s="1913" t="e">
        <f>D73*(D$6*(D$6+1)/2)</f>
        <v>#DIV/0!</v>
      </c>
      <c r="G73" s="1913" t="e">
        <f>D73*((D$6+'General Data'!E$30)*(D$6+'General Data'!E$30+1)/2)</f>
        <v>#DIV/0!</v>
      </c>
      <c r="H73" s="1914" t="e">
        <f>G73-F73</f>
        <v>#DIV/0!</v>
      </c>
    </row>
    <row r="74" spans="2:20" x14ac:dyDescent="0.2">
      <c r="B74" s="1915" t="str">
        <f t="shared" ref="B74:B79" si="14">C21</f>
        <v>TDF+FTC/3TC+ATV/r</v>
      </c>
      <c r="C74" s="587">
        <f>'Data &amp; hypothesis Adults'!C107</f>
        <v>0</v>
      </c>
      <c r="D74" s="1196" t="e">
        <f>C74/$D$6</f>
        <v>#DIV/0!</v>
      </c>
      <c r="E74" s="534">
        <f>C74/C$80</f>
        <v>0</v>
      </c>
      <c r="F74" s="1142" t="e">
        <f>D74*(D$6*(D$6+1)/2)</f>
        <v>#DIV/0!</v>
      </c>
      <c r="G74" s="1142" t="e">
        <f>D74*((D$6+'General Data'!E$30)*(D$6+'General Data'!E$30+1)/2)</f>
        <v>#DIV/0!</v>
      </c>
      <c r="H74" s="1143" t="e">
        <f>G74-F74</f>
        <v>#DIV/0!</v>
      </c>
    </row>
    <row r="75" spans="2:20" x14ac:dyDescent="0.2">
      <c r="B75" s="1916" t="str">
        <f t="shared" si="14"/>
        <v>ABC+DDI+LPV/r</v>
      </c>
      <c r="C75" s="734">
        <f>'Data &amp; hypothesis Adults'!C108</f>
        <v>0</v>
      </c>
      <c r="D75" s="734" t="e">
        <f>C75/$D$6</f>
        <v>#DIV/0!</v>
      </c>
      <c r="E75" s="735">
        <f>C75/C$80</f>
        <v>0</v>
      </c>
      <c r="F75" s="1142" t="e">
        <f>D75*(D$6*(D$6+1)/2)</f>
        <v>#DIV/0!</v>
      </c>
      <c r="G75" s="1142" t="e">
        <f>D75*((D$6+'General Data'!E$30)*(D$6+'General Data'!E$30+1)/2)</f>
        <v>#DIV/0!</v>
      </c>
      <c r="H75" s="1143" t="e">
        <f>G75-F75</f>
        <v>#DIV/0!</v>
      </c>
    </row>
    <row r="76" spans="2:20" ht="13.5" thickBot="1" x14ac:dyDescent="0.25">
      <c r="B76" s="1915" t="str">
        <f t="shared" si="14"/>
        <v>TDF+3TC/FTC+ABC</v>
      </c>
      <c r="C76" s="591">
        <f>'Data &amp; hypothesis Adults'!C109</f>
        <v>0</v>
      </c>
      <c r="D76" s="1144" t="e">
        <f>C76/$D$6</f>
        <v>#DIV/0!</v>
      </c>
      <c r="E76" s="539">
        <f>C76/C$80</f>
        <v>0</v>
      </c>
      <c r="F76" s="737" t="e">
        <f>D76*(D$6*(D$6+1)/2)</f>
        <v>#DIV/0!</v>
      </c>
      <c r="G76" s="737" t="e">
        <f>D76*((D$6+'General Data'!E$30)*(D$6+'General Data'!E$30+1)/2)</f>
        <v>#DIV/0!</v>
      </c>
      <c r="H76" s="738" t="e">
        <f>G76-F76</f>
        <v>#DIV/0!</v>
      </c>
    </row>
    <row r="77" spans="2:20" ht="14.25" thickTop="1" thickBot="1" x14ac:dyDescent="0.25">
      <c r="B77" s="1916" t="str">
        <f t="shared" si="14"/>
        <v>AZT+3TC+LPV/r</v>
      </c>
      <c r="C77" s="591">
        <f>'Data &amp; hypothesis Adults'!C110</f>
        <v>195.87603135967444</v>
      </c>
      <c r="D77" s="1144" t="e">
        <f t="shared" ref="D77:D79" si="15">C77/$D$6</f>
        <v>#DIV/0!</v>
      </c>
      <c r="E77" s="539">
        <f t="shared" ref="E77:E79" si="16">C77/C$80</f>
        <v>0.46159958924358963</v>
      </c>
      <c r="F77" s="737" t="e">
        <f t="shared" ref="F77:F79" si="17">D77*(D$6*(D$6+1)/2)</f>
        <v>#DIV/0!</v>
      </c>
      <c r="G77" s="737" t="e">
        <f>D77*((D$6+'General Data'!E$30)*(D$6+'General Data'!E$30+1)/2)</f>
        <v>#DIV/0!</v>
      </c>
      <c r="H77" s="738" t="e">
        <f t="shared" ref="H77:H79" si="18">G77-F77</f>
        <v>#DIV/0!</v>
      </c>
    </row>
    <row r="78" spans="2:20" ht="14.25" thickTop="1" thickBot="1" x14ac:dyDescent="0.25">
      <c r="B78" s="1915">
        <f t="shared" si="14"/>
        <v>0</v>
      </c>
      <c r="C78" s="591">
        <f>'Data &amp; hypothesis Adults'!C111</f>
        <v>0</v>
      </c>
      <c r="D78" s="1144" t="e">
        <f t="shared" si="15"/>
        <v>#DIV/0!</v>
      </c>
      <c r="E78" s="539">
        <f t="shared" si="16"/>
        <v>0</v>
      </c>
      <c r="F78" s="737" t="e">
        <f t="shared" si="17"/>
        <v>#DIV/0!</v>
      </c>
      <c r="G78" s="737" t="e">
        <f>D78*((D$6+'General Data'!E$30)*(D$6+'General Data'!E$30+1)/2)</f>
        <v>#DIV/0!</v>
      </c>
      <c r="H78" s="738" t="e">
        <f t="shared" si="18"/>
        <v>#DIV/0!</v>
      </c>
    </row>
    <row r="79" spans="2:20" ht="14.25" thickTop="1" thickBot="1" x14ac:dyDescent="0.25">
      <c r="B79" s="1917">
        <f t="shared" si="14"/>
        <v>0</v>
      </c>
      <c r="C79" s="1922">
        <f>'Data &amp; hypothesis Adults'!C112</f>
        <v>0</v>
      </c>
      <c r="D79" s="1923" t="e">
        <f t="shared" si="15"/>
        <v>#DIV/0!</v>
      </c>
      <c r="E79" s="1924">
        <f t="shared" si="16"/>
        <v>0</v>
      </c>
      <c r="F79" s="1920" t="e">
        <f t="shared" si="17"/>
        <v>#DIV/0!</v>
      </c>
      <c r="G79" s="1920" t="e">
        <f>D79*((D$6+'General Data'!E$30)*(D$6+'General Data'!E$30+1)/2)</f>
        <v>#DIV/0!</v>
      </c>
      <c r="H79" s="1921" t="e">
        <f t="shared" si="18"/>
        <v>#DIV/0!</v>
      </c>
    </row>
    <row r="80" spans="2:20" ht="13.5" thickBot="1" x14ac:dyDescent="0.25">
      <c r="B80" s="739" t="s">
        <v>6</v>
      </c>
      <c r="C80" s="740">
        <f>SUM(C73:C76)</f>
        <v>424.34186668287776</v>
      </c>
      <c r="D80" s="740" t="e">
        <f>SUM(D73:D76)</f>
        <v>#DIV/0!</v>
      </c>
      <c r="E80" s="740"/>
      <c r="F80" s="740" t="e">
        <f t="shared" ref="F80:G80" si="19">SUM(F73:F76)</f>
        <v>#DIV/0!</v>
      </c>
      <c r="G80" s="740" t="e">
        <f t="shared" si="19"/>
        <v>#DIV/0!</v>
      </c>
      <c r="H80" s="741"/>
    </row>
    <row r="83" spans="2:21" ht="15" x14ac:dyDescent="0.2">
      <c r="B83" s="2143" t="str">
        <f>'TRAD-Adults YEAR(1)'!B41</f>
        <v>Passage en 3ème ligne</v>
      </c>
      <c r="C83" s="2143"/>
      <c r="D83" s="2143"/>
      <c r="E83" s="2143"/>
      <c r="F83" s="2143"/>
      <c r="G83" s="2143"/>
      <c r="H83" s="2143"/>
      <c r="I83" s="2143"/>
      <c r="J83" s="2143"/>
      <c r="K83" s="2143"/>
      <c r="L83" s="2143"/>
      <c r="M83" s="2143"/>
      <c r="N83" s="961"/>
    </row>
    <row r="85" spans="2:21" x14ac:dyDescent="0.2">
      <c r="B85" s="528" t="str">
        <f>'TRAD-Adults YEAR(1)'!B42</f>
        <v>Taux de passage en 3ème ligne</v>
      </c>
      <c r="C85" s="528"/>
      <c r="D85" s="728">
        <f>'Data &amp; hypothesis Adults'!D134</f>
        <v>0</v>
      </c>
      <c r="E85" s="528" t="str">
        <f>'TRAD-Adults YEAR(1)'!B43</f>
        <v>des patients de 2ème ligne à la fin de l'année</v>
      </c>
      <c r="F85" s="528"/>
      <c r="G85" s="528"/>
      <c r="H85" s="568">
        <f>D85*MAX(H68:H69)</f>
        <v>0</v>
      </c>
    </row>
    <row r="86" spans="2:21" s="523" customFormat="1" ht="13.5" thickBot="1" x14ac:dyDescent="0.25">
      <c r="E86" s="567"/>
      <c r="G86" s="565" t="str">
        <f>'TRAD-Adults YEAR(1)'!B44</f>
        <v>Nb de patients en 3ème ligne au début de l'année :</v>
      </c>
      <c r="H86" s="568">
        <f>D27</f>
        <v>0</v>
      </c>
    </row>
    <row r="87" spans="2:21" ht="13.5" thickBot="1" x14ac:dyDescent="0.25">
      <c r="B87" s="528"/>
      <c r="C87" s="528"/>
      <c r="D87" s="569"/>
      <c r="E87" s="570"/>
      <c r="F87" s="571"/>
      <c r="G87" s="565" t="str">
        <f>'TRAD-Adults YEAR(1)'!B45</f>
        <v>Nb de patients ayant switché dans l'année :</v>
      </c>
      <c r="H87" s="729">
        <f>IF((H85-SUM(D27:D28))&gt;0, H85-SUM(D27:D28), 0)</f>
        <v>0</v>
      </c>
      <c r="J87" s="730" t="str">
        <f>'TRAD-Adults YEAR(1)'!B36</f>
        <v>Proportion mensuelle</v>
      </c>
      <c r="K87" s="570"/>
      <c r="L87" s="731" t="e">
        <f>H87/D6</f>
        <v>#DIV/0!</v>
      </c>
    </row>
    <row r="89" spans="2:21" x14ac:dyDescent="0.2">
      <c r="B89" s="290" t="str">
        <f>'TRAD-Adults YEAR(1)'!B17</f>
        <v>Commentaire</v>
      </c>
      <c r="C89" s="291"/>
      <c r="D89" s="291"/>
      <c r="E89" s="291"/>
      <c r="F89" s="291"/>
      <c r="G89" s="291"/>
      <c r="H89" s="291"/>
      <c r="I89" s="291"/>
      <c r="J89" s="291"/>
      <c r="K89" s="291"/>
      <c r="L89" s="291"/>
      <c r="M89" s="291"/>
      <c r="N89" s="497"/>
    </row>
    <row r="90" spans="2:21" ht="24" customHeight="1" x14ac:dyDescent="0.2">
      <c r="B90" s="2145" t="str">
        <f>'TRAD-Adults YEAR(1)'!B46</f>
        <v>Pour les 3èmes lignes, la méthode n'est pas la même et ne repose pas sur les lignes. Nous avons considéré la proportion de patients et les molécules nécessaires pour les prendre en charge. Cela permet ainsi de faire plusieurs combinaisons.</v>
      </c>
      <c r="C90" s="2145"/>
      <c r="D90" s="2145"/>
      <c r="E90" s="2145"/>
      <c r="F90" s="2145"/>
      <c r="G90" s="2145"/>
      <c r="H90" s="2145"/>
      <c r="I90" s="2145"/>
      <c r="J90" s="2145"/>
      <c r="K90" s="2145"/>
      <c r="L90" s="2145"/>
      <c r="M90" s="2145"/>
      <c r="N90" s="962"/>
    </row>
    <row r="91" spans="2:21" ht="13.5" thickBot="1" x14ac:dyDescent="0.25"/>
    <row r="92" spans="2:21" s="545" customFormat="1" ht="64.5" thickBot="1" x14ac:dyDescent="0.25">
      <c r="B92" s="742" t="str">
        <f>'TRAD-Adults YEAR(1)'!B47</f>
        <v>Classe pharmaco</v>
      </c>
      <c r="C92" s="963" t="str">
        <f>'TRAD-Adults YEAR(1)'!B48</f>
        <v>Molécules à avoir en plus pour des 3èmes lignes possibles</v>
      </c>
      <c r="D92" s="963" t="str">
        <f>'TRAD-Adults YEAR(1)'!B49</f>
        <v>Proportion du nombre de patients sous 3ème lignes</v>
      </c>
      <c r="E92" s="1857" t="str">
        <f>'TRAD-Adults YEAR(1)'!B50</f>
        <v>Nombre de patient par schéma par mois</v>
      </c>
      <c r="F92" s="963" t="str">
        <f>'TRAD-Adults YEAR(1)'!B51</f>
        <v>TOTAL nb de patients sur l'année</v>
      </c>
      <c r="G92" s="963" t="str">
        <f>'TRAD-Adults YEAR(1)'!B39</f>
        <v>Nb de patients-mois</v>
      </c>
      <c r="H92" s="1856" t="str">
        <f>'TRAD-Adults YEAR(1)'!B29</f>
        <v>Total patients-mois AVEC Marge de sécurité</v>
      </c>
      <c r="I92" s="710" t="str">
        <f>'TRAD-Adults YEAR(1)'!B30</f>
        <v>Nb de patients-mois Marge de sécurité SEULE</v>
      </c>
      <c r="N92" s="962"/>
      <c r="U92" s="962"/>
    </row>
    <row r="93" spans="2:21" x14ac:dyDescent="0.2">
      <c r="B93" s="696" t="s">
        <v>85</v>
      </c>
      <c r="C93" s="743" t="s">
        <v>25</v>
      </c>
      <c r="D93" s="732">
        <f>'Data &amp; hypothesis Adults'!F144</f>
        <v>0</v>
      </c>
      <c r="E93" s="744" t="e">
        <f t="shared" ref="E93:E99" si="20">$D93*$L$87</f>
        <v>#DIV/0!</v>
      </c>
      <c r="F93" s="745" t="e">
        <f t="shared" ref="F93:F102" si="21">E93*D$6</f>
        <v>#DIV/0!</v>
      </c>
      <c r="G93" s="746" t="e">
        <f t="shared" ref="G93:G102" si="22">E93*(D$6*(D$6+1)/2)</f>
        <v>#DIV/0!</v>
      </c>
      <c r="H93" s="746" t="e">
        <f>E93*((D$6+'General Data'!E$30)*(D$6+'General Data'!E$30+1)/2)</f>
        <v>#DIV/0!</v>
      </c>
      <c r="I93" s="747" t="e">
        <f>H93-G93</f>
        <v>#DIV/0!</v>
      </c>
    </row>
    <row r="94" spans="2:21" x14ac:dyDescent="0.2">
      <c r="B94" s="696"/>
      <c r="C94" s="748" t="s">
        <v>28</v>
      </c>
      <c r="D94" s="732">
        <f>'Data &amp; hypothesis Adults'!F145</f>
        <v>0</v>
      </c>
      <c r="E94" s="744" t="e">
        <f t="shared" si="20"/>
        <v>#DIV/0!</v>
      </c>
      <c r="F94" s="745" t="e">
        <f t="shared" si="21"/>
        <v>#DIV/0!</v>
      </c>
      <c r="G94" s="746" t="e">
        <f t="shared" si="22"/>
        <v>#DIV/0!</v>
      </c>
      <c r="H94" s="746" t="e">
        <f>E94*((D$6+'General Data'!E$30)*(D$6+'General Data'!E$30+1)/2)</f>
        <v>#DIV/0!</v>
      </c>
      <c r="I94" s="747" t="e">
        <f t="shared" ref="I94:I102" si="23">H94-G94</f>
        <v>#DIV/0!</v>
      </c>
    </row>
    <row r="95" spans="2:21" x14ac:dyDescent="0.2">
      <c r="B95" s="696"/>
      <c r="C95" s="748" t="s">
        <v>350</v>
      </c>
      <c r="D95" s="732">
        <f>'Data &amp; hypothesis Adults'!F146</f>
        <v>0</v>
      </c>
      <c r="E95" s="744" t="e">
        <f t="shared" si="20"/>
        <v>#DIV/0!</v>
      </c>
      <c r="F95" s="745" t="e">
        <f t="shared" si="21"/>
        <v>#DIV/0!</v>
      </c>
      <c r="G95" s="746" t="e">
        <f t="shared" si="22"/>
        <v>#DIV/0!</v>
      </c>
      <c r="H95" s="746" t="e">
        <f>E95*((D$6+'General Data'!E$30)*(D$6+'General Data'!E$30+1)/2)</f>
        <v>#DIV/0!</v>
      </c>
      <c r="I95" s="747" t="e">
        <f t="shared" si="23"/>
        <v>#DIV/0!</v>
      </c>
    </row>
    <row r="96" spans="2:21" x14ac:dyDescent="0.2">
      <c r="B96" s="749"/>
      <c r="C96" s="750" t="s">
        <v>349</v>
      </c>
      <c r="D96" s="751">
        <f>'Data &amp; hypothesis Adults'!F147</f>
        <v>0</v>
      </c>
      <c r="E96" s="752" t="e">
        <f t="shared" si="20"/>
        <v>#DIV/0!</v>
      </c>
      <c r="F96" s="752" t="e">
        <f t="shared" si="21"/>
        <v>#DIV/0!</v>
      </c>
      <c r="G96" s="753" t="e">
        <f t="shared" si="22"/>
        <v>#DIV/0!</v>
      </c>
      <c r="H96" s="753" t="e">
        <f>E96*((D$6+'General Data'!E$30)*(D$6+'General Data'!E$30+1)/2)</f>
        <v>#DIV/0!</v>
      </c>
      <c r="I96" s="754" t="e">
        <f t="shared" si="23"/>
        <v>#DIV/0!</v>
      </c>
    </row>
    <row r="97" spans="1:17" x14ac:dyDescent="0.2">
      <c r="B97" s="696" t="s">
        <v>87</v>
      </c>
      <c r="C97" s="748" t="s">
        <v>69</v>
      </c>
      <c r="D97" s="732">
        <f>'Data &amp; hypothesis Adults'!F148</f>
        <v>0</v>
      </c>
      <c r="E97" s="744" t="e">
        <f t="shared" si="20"/>
        <v>#DIV/0!</v>
      </c>
      <c r="F97" s="744" t="e">
        <f t="shared" si="21"/>
        <v>#DIV/0!</v>
      </c>
      <c r="G97" s="746" t="e">
        <f t="shared" si="22"/>
        <v>#DIV/0!</v>
      </c>
      <c r="H97" s="746" t="e">
        <f>E97*((D$6+'General Data'!E$30)*(D$6+'General Data'!E$30+1)/2)</f>
        <v>#DIV/0!</v>
      </c>
      <c r="I97" s="747" t="e">
        <f t="shared" si="23"/>
        <v>#DIV/0!</v>
      </c>
    </row>
    <row r="98" spans="1:17" x14ac:dyDescent="0.2">
      <c r="B98" s="696"/>
      <c r="C98" s="748" t="s">
        <v>68</v>
      </c>
      <c r="D98" s="732">
        <f>'Data &amp; hypothesis Adults'!F149</f>
        <v>0</v>
      </c>
      <c r="E98" s="744" t="e">
        <f t="shared" si="20"/>
        <v>#DIV/0!</v>
      </c>
      <c r="F98" s="745" t="e">
        <f t="shared" si="21"/>
        <v>#DIV/0!</v>
      </c>
      <c r="G98" s="746" t="e">
        <f t="shared" si="22"/>
        <v>#DIV/0!</v>
      </c>
      <c r="H98" s="746" t="e">
        <f>E98*((D$6+'General Data'!E$30)*(D$6+'General Data'!E$30+1)/2)</f>
        <v>#DIV/0!</v>
      </c>
      <c r="I98" s="747" t="e">
        <f t="shared" si="23"/>
        <v>#DIV/0!</v>
      </c>
    </row>
    <row r="99" spans="1:17" x14ac:dyDescent="0.2">
      <c r="B99" s="696"/>
      <c r="C99" s="748" t="s">
        <v>576</v>
      </c>
      <c r="D99" s="732">
        <f>'Data &amp; hypothesis Adults'!F150</f>
        <v>0</v>
      </c>
      <c r="E99" s="744" t="e">
        <f t="shared" si="20"/>
        <v>#DIV/0!</v>
      </c>
      <c r="F99" s="745" t="e">
        <f t="shared" si="21"/>
        <v>#DIV/0!</v>
      </c>
      <c r="G99" s="746" t="e">
        <f t="shared" si="22"/>
        <v>#DIV/0!</v>
      </c>
      <c r="H99" s="746" t="e">
        <f>E99*((D$6+'General Data'!E$30)*(D$6+'General Data'!E$30+1)/2)</f>
        <v>#DIV/0!</v>
      </c>
      <c r="I99" s="747" t="e">
        <f t="shared" si="23"/>
        <v>#DIV/0!</v>
      </c>
    </row>
    <row r="100" spans="1:17" x14ac:dyDescent="0.2">
      <c r="B100" s="749"/>
      <c r="C100" s="750" t="s">
        <v>328</v>
      </c>
      <c r="D100" s="751">
        <f>'Data &amp; hypothesis Adults'!F151</f>
        <v>0</v>
      </c>
      <c r="E100" s="752" t="e">
        <f>$D100*$L$87</f>
        <v>#DIV/0!</v>
      </c>
      <c r="F100" s="752" t="e">
        <f t="shared" si="21"/>
        <v>#DIV/0!</v>
      </c>
      <c r="G100" s="753" t="e">
        <f t="shared" si="22"/>
        <v>#DIV/0!</v>
      </c>
      <c r="H100" s="753" t="e">
        <f>E100*((D$6+'General Data'!E$30)*(D$6+'General Data'!E$30+1)/2)</f>
        <v>#DIV/0!</v>
      </c>
      <c r="I100" s="754" t="e">
        <f t="shared" si="23"/>
        <v>#DIV/0!</v>
      </c>
    </row>
    <row r="101" spans="1:17" x14ac:dyDescent="0.2">
      <c r="B101" s="755" t="s">
        <v>331</v>
      </c>
      <c r="C101" s="756" t="s">
        <v>329</v>
      </c>
      <c r="D101" s="757">
        <f>'Data &amp; hypothesis Adults'!F152</f>
        <v>0</v>
      </c>
      <c r="E101" s="758" t="e">
        <f>$D101*$L$87</f>
        <v>#DIV/0!</v>
      </c>
      <c r="F101" s="758" t="e">
        <f t="shared" si="21"/>
        <v>#DIV/0!</v>
      </c>
      <c r="G101" s="759" t="e">
        <f t="shared" si="22"/>
        <v>#DIV/0!</v>
      </c>
      <c r="H101" s="759" t="e">
        <f>E101*((D$6+'General Data'!E$30)*(D$6+'General Data'!E$30+1)/2)</f>
        <v>#DIV/0!</v>
      </c>
      <c r="I101" s="760" t="e">
        <f t="shared" si="23"/>
        <v>#DIV/0!</v>
      </c>
    </row>
    <row r="102" spans="1:17" ht="13.5" thickBot="1" x14ac:dyDescent="0.25">
      <c r="B102" s="696" t="s">
        <v>84</v>
      </c>
      <c r="C102" s="556" t="s">
        <v>330</v>
      </c>
      <c r="D102" s="736">
        <f>'Data &amp; hypothesis Adults'!F153</f>
        <v>0</v>
      </c>
      <c r="E102" s="761" t="e">
        <f>$D102*$L$87</f>
        <v>#DIV/0!</v>
      </c>
      <c r="F102" s="761" t="e">
        <f t="shared" si="21"/>
        <v>#DIV/0!</v>
      </c>
      <c r="G102" s="762" t="e">
        <f t="shared" si="22"/>
        <v>#DIV/0!</v>
      </c>
      <c r="H102" s="762" t="e">
        <f>E102*((D$6+'General Data'!E$30)*(D$6+'General Data'!E$30+1)/2)</f>
        <v>#DIV/0!</v>
      </c>
      <c r="I102" s="763" t="e">
        <f t="shared" si="23"/>
        <v>#DIV/0!</v>
      </c>
    </row>
    <row r="103" spans="1:17" ht="14.25" thickTop="1" thickBot="1" x14ac:dyDescent="0.25">
      <c r="B103" s="764"/>
      <c r="C103" s="726" t="s">
        <v>6</v>
      </c>
      <c r="D103" s="765">
        <f>SUM(D93:D102)</f>
        <v>0</v>
      </c>
      <c r="E103" s="740" t="e">
        <f>SUM(E93:E102)</f>
        <v>#DIV/0!</v>
      </c>
      <c r="F103" s="766" t="e">
        <f>SUM(F93:F102)</f>
        <v>#DIV/0!</v>
      </c>
      <c r="G103" s="727"/>
      <c r="H103" s="727"/>
      <c r="I103" s="718"/>
    </row>
    <row r="106" spans="1:17" ht="16.5" thickBot="1" x14ac:dyDescent="0.3">
      <c r="A106" s="2144" t="str">
        <f>'TRAD-Adults YEAR(1)'!B52</f>
        <v>Evolution des lignes thérapeutiques sur l'année</v>
      </c>
      <c r="B106" s="2144"/>
      <c r="C106" s="2144"/>
      <c r="D106" s="2144"/>
      <c r="E106" s="2144"/>
      <c r="F106" s="2144"/>
      <c r="G106" s="2144"/>
      <c r="H106" s="2144"/>
      <c r="I106" s="2144"/>
      <c r="J106" s="2144"/>
      <c r="K106" s="2144"/>
      <c r="L106" s="2144"/>
      <c r="M106" s="497"/>
      <c r="N106" s="497"/>
      <c r="O106" s="497"/>
      <c r="P106" s="497"/>
      <c r="Q106" s="497"/>
    </row>
    <row r="108" spans="1:17" ht="13.5" thickBot="1" x14ac:dyDescent="0.25">
      <c r="C108" s="497"/>
      <c r="D108" s="497"/>
    </row>
    <row r="109" spans="1:17" ht="77.25" thickBot="1" x14ac:dyDescent="0.25">
      <c r="B109" s="354"/>
      <c r="C109" s="691" t="str">
        <f>'TRAD-Adults YEAR(1)'!B7</f>
        <v>Schémas</v>
      </c>
      <c r="D109" s="691" t="str">
        <f>'TRAD-Adults YEAR(1)'!B53</f>
        <v>Données en début d'année</v>
      </c>
      <c r="E109" s="691" t="str">
        <f>'TRAD-Adults YEAR(1)'!B54</f>
        <v xml:space="preserve">Initiations première </v>
      </c>
      <c r="F109" s="691" t="str">
        <f>'TRAD-Adults YEAR(1)'!B55</f>
        <v>Passage en 2ème ligne et défalcation des 1ères lignes [1]</v>
      </c>
      <c r="G109" s="692" t="str">
        <f>'TRAD-Adults YEAR(1)'!B56</f>
        <v>Répartition en fin de période</v>
      </c>
    </row>
    <row r="110" spans="1:17" ht="13.5" thickBot="1" x14ac:dyDescent="0.25">
      <c r="B110" s="693" t="str">
        <f>'TRAD-Adults YEAR(1)'!B10</f>
        <v>1ères lignes</v>
      </c>
      <c r="C110" s="546" t="str">
        <f>C10</f>
        <v>AZT+3TC+NVP</v>
      </c>
      <c r="D110" s="767">
        <f t="shared" ref="D110:D114" si="24">D10</f>
        <v>10296.517095596608</v>
      </c>
      <c r="E110" s="582">
        <f t="shared" ref="E110:E113" si="25">F39</f>
        <v>0</v>
      </c>
      <c r="F110" s="1145">
        <f t="shared" ref="F110:F119" si="26">-(SUM(D110:E110)/SUM(D$110:E$119))*C$80</f>
        <v>-239.90745220169606</v>
      </c>
      <c r="G110" s="1146">
        <f>D110+E110+F110</f>
        <v>10056.609643394911</v>
      </c>
    </row>
    <row r="111" spans="1:17" x14ac:dyDescent="0.2">
      <c r="B111" s="696"/>
      <c r="C111" s="323" t="str">
        <f t="shared" ref="C111:D126" si="27">C11</f>
        <v>AZT+3TC+EFV</v>
      </c>
      <c r="D111" s="768">
        <f t="shared" si="24"/>
        <v>1329.7939619901952</v>
      </c>
      <c r="E111" s="585">
        <f t="shared" si="25"/>
        <v>0</v>
      </c>
      <c r="F111" s="769">
        <f t="shared" si="26"/>
        <v>-30.984019004902304</v>
      </c>
      <c r="G111" s="770">
        <f t="shared" ref="G111:G118" si="28">D111+E111+F111</f>
        <v>1298.8099429852928</v>
      </c>
      <c r="I111" s="546"/>
    </row>
    <row r="112" spans="1:17" x14ac:dyDescent="0.2">
      <c r="B112" s="696"/>
      <c r="C112" s="323" t="str">
        <f t="shared" si="27"/>
        <v>AZT+3TC+ABC</v>
      </c>
      <c r="D112" s="768">
        <f t="shared" si="24"/>
        <v>75.02963916189843</v>
      </c>
      <c r="E112" s="585">
        <f t="shared" si="25"/>
        <v>0</v>
      </c>
      <c r="F112" s="769">
        <f t="shared" si="26"/>
        <v>-1.7481804190507853</v>
      </c>
      <c r="G112" s="770">
        <f t="shared" si="28"/>
        <v>73.281458742847647</v>
      </c>
      <c r="I112" s="323"/>
    </row>
    <row r="113" spans="2:9" x14ac:dyDescent="0.2">
      <c r="B113" s="696"/>
      <c r="C113" s="533" t="str">
        <f t="shared" si="27"/>
        <v>AZT+3TC+LPV/r</v>
      </c>
      <c r="D113" s="768">
        <f t="shared" si="24"/>
        <v>658.6395744434933</v>
      </c>
      <c r="E113" s="585">
        <f t="shared" si="25"/>
        <v>0</v>
      </c>
      <c r="F113" s="769">
        <f t="shared" si="26"/>
        <v>-15.34621277825326</v>
      </c>
      <c r="G113" s="770">
        <f t="shared" si="28"/>
        <v>643.29336166524001</v>
      </c>
      <c r="I113" s="323"/>
    </row>
    <row r="114" spans="2:9" x14ac:dyDescent="0.2">
      <c r="B114" s="696"/>
      <c r="C114" s="533" t="str">
        <f t="shared" si="27"/>
        <v>ABC+3TC+EFV</v>
      </c>
      <c r="D114" s="768">
        <f t="shared" si="24"/>
        <v>41.686423948685352</v>
      </c>
      <c r="E114" s="585">
        <f t="shared" ref="E114" si="29">F43</f>
        <v>0</v>
      </c>
      <c r="F114" s="769">
        <f t="shared" si="26"/>
        <v>-0.97128802565731986</v>
      </c>
      <c r="G114" s="770">
        <f t="shared" ref="G114" si="30">D114+E114+F114</f>
        <v>40.715135923028029</v>
      </c>
      <c r="I114" s="533"/>
    </row>
    <row r="115" spans="2:9" x14ac:dyDescent="0.2">
      <c r="B115" s="696"/>
      <c r="C115" s="323" t="str">
        <f t="shared" si="27"/>
        <v>TDF+FTC/3TC+EFV</v>
      </c>
      <c r="D115" s="768">
        <f t="shared" ref="D115:D123" si="31">D15</f>
        <v>5735.5069323314656</v>
      </c>
      <c r="E115" s="585">
        <f>F44</f>
        <v>0</v>
      </c>
      <c r="F115" s="769">
        <f t="shared" si="26"/>
        <v>-133.63653383426728</v>
      </c>
      <c r="G115" s="770">
        <f t="shared" si="28"/>
        <v>5601.870398497198</v>
      </c>
      <c r="I115" s="533"/>
    </row>
    <row r="116" spans="2:9" x14ac:dyDescent="0.2">
      <c r="B116" s="696"/>
      <c r="C116" s="323" t="str">
        <f t="shared" si="27"/>
        <v>TDF+FTC/3TC+LPV/r</v>
      </c>
      <c r="D116" s="768">
        <f t="shared" si="31"/>
        <v>0</v>
      </c>
      <c r="E116" s="585">
        <f>F45</f>
        <v>0</v>
      </c>
      <c r="F116" s="769">
        <f t="shared" si="26"/>
        <v>0</v>
      </c>
      <c r="G116" s="770">
        <f t="shared" si="28"/>
        <v>0</v>
      </c>
      <c r="I116" s="323"/>
    </row>
    <row r="117" spans="2:9" x14ac:dyDescent="0.2">
      <c r="B117" s="696"/>
      <c r="C117" s="323" t="str">
        <f t="shared" si="27"/>
        <v>ABC+3TC+LPV/r</v>
      </c>
      <c r="D117" s="768">
        <f t="shared" si="31"/>
        <v>23.619344931387424</v>
      </c>
      <c r="E117" s="585">
        <f>F46</f>
        <v>0</v>
      </c>
      <c r="F117" s="769">
        <f t="shared" si="26"/>
        <v>-0.55032753430628589</v>
      </c>
      <c r="G117" s="770">
        <f t="shared" si="28"/>
        <v>23.069017397081137</v>
      </c>
      <c r="I117" s="323"/>
    </row>
    <row r="118" spans="2:9" x14ac:dyDescent="0.2">
      <c r="B118" s="696"/>
      <c r="C118" s="323" t="str">
        <f t="shared" si="27"/>
        <v>TDF+3TC/FTC+ABC</v>
      </c>
      <c r="D118" s="768">
        <f t="shared" si="31"/>
        <v>51.410294230510999</v>
      </c>
      <c r="E118" s="585">
        <f>F46</f>
        <v>0</v>
      </c>
      <c r="F118" s="769">
        <f t="shared" si="26"/>
        <v>-1.1978528847444991</v>
      </c>
      <c r="G118" s="770">
        <f t="shared" si="28"/>
        <v>50.2124413457665</v>
      </c>
      <c r="I118" s="323"/>
    </row>
    <row r="119" spans="2:9" x14ac:dyDescent="0.2">
      <c r="B119" s="696"/>
      <c r="C119" s="705">
        <f t="shared" si="27"/>
        <v>0</v>
      </c>
      <c r="D119" s="1147">
        <f t="shared" si="31"/>
        <v>0</v>
      </c>
      <c r="E119" s="772">
        <f>F48</f>
        <v>0</v>
      </c>
      <c r="F119" s="773">
        <f t="shared" si="26"/>
        <v>0</v>
      </c>
      <c r="G119" s="774">
        <f>D119+E119+F119</f>
        <v>0</v>
      </c>
      <c r="I119" s="323"/>
    </row>
    <row r="120" spans="2:9" x14ac:dyDescent="0.2">
      <c r="B120" s="701" t="str">
        <f>'TRAD-Adults YEAR(1)'!B11</f>
        <v>2èmes lignes</v>
      </c>
      <c r="C120" s="702" t="str">
        <f t="shared" si="27"/>
        <v>TDF+FTC/3TC+LPV/r</v>
      </c>
      <c r="D120" s="775">
        <f t="shared" si="31"/>
        <v>1264.6135333657555</v>
      </c>
      <c r="E120" s="1148"/>
      <c r="F120" s="1149">
        <f>C73</f>
        <v>424.34186668287776</v>
      </c>
      <c r="G120" s="1150">
        <f>D120+F120</f>
        <v>1688.9554000486332</v>
      </c>
      <c r="I120" s="705"/>
    </row>
    <row r="121" spans="2:9" x14ac:dyDescent="0.2">
      <c r="B121" s="696"/>
      <c r="C121" s="533" t="str">
        <f t="shared" si="27"/>
        <v>TDF+FTC/3TC+ATV/r</v>
      </c>
      <c r="D121" s="768">
        <f t="shared" si="31"/>
        <v>34.903199999999998</v>
      </c>
      <c r="E121" s="585"/>
      <c r="F121" s="587">
        <f>C74</f>
        <v>0</v>
      </c>
      <c r="G121" s="770">
        <f>D121+F121</f>
        <v>34.903199999999998</v>
      </c>
      <c r="I121" s="702"/>
    </row>
    <row r="122" spans="2:9" x14ac:dyDescent="0.2">
      <c r="B122" s="696"/>
      <c r="C122" s="533" t="str">
        <f t="shared" si="27"/>
        <v>ABC+DDI+LPV/r</v>
      </c>
      <c r="D122" s="768">
        <f t="shared" si="31"/>
        <v>0</v>
      </c>
      <c r="E122" s="585"/>
      <c r="F122" s="587">
        <f>C75</f>
        <v>0</v>
      </c>
      <c r="G122" s="770">
        <f>D122+F122</f>
        <v>0</v>
      </c>
      <c r="I122" s="533"/>
    </row>
    <row r="123" spans="2:9" x14ac:dyDescent="0.2">
      <c r="B123" s="696"/>
      <c r="C123" s="533" t="str">
        <f t="shared" si="27"/>
        <v>TDF+3TC/FTC+ABC</v>
      </c>
      <c r="D123" s="585">
        <f t="shared" si="31"/>
        <v>0</v>
      </c>
      <c r="E123" s="585"/>
      <c r="F123" s="585">
        <f>C76</f>
        <v>0</v>
      </c>
      <c r="G123" s="770">
        <f>D123+F123</f>
        <v>0</v>
      </c>
      <c r="I123" s="533"/>
    </row>
    <row r="124" spans="2:9" x14ac:dyDescent="0.2">
      <c r="B124" s="696"/>
      <c r="C124" s="533" t="str">
        <f t="shared" si="27"/>
        <v>AZT+3TC+LPV/r</v>
      </c>
      <c r="D124" s="585">
        <f t="shared" si="27"/>
        <v>391.75206271934888</v>
      </c>
      <c r="E124" s="585"/>
      <c r="F124" s="585">
        <f t="shared" ref="F124:F126" si="32">C77</f>
        <v>195.87603135967444</v>
      </c>
      <c r="G124" s="770">
        <f t="shared" ref="G124:G126" si="33">D124+F124</f>
        <v>587.6280940790233</v>
      </c>
      <c r="I124" s="705"/>
    </row>
    <row r="125" spans="2:9" x14ac:dyDescent="0.2">
      <c r="B125" s="696"/>
      <c r="C125" s="533">
        <f t="shared" si="27"/>
        <v>0</v>
      </c>
      <c r="D125" s="585">
        <f t="shared" si="27"/>
        <v>0</v>
      </c>
      <c r="E125" s="585"/>
      <c r="F125" s="585">
        <f t="shared" si="32"/>
        <v>0</v>
      </c>
      <c r="G125" s="770">
        <f t="shared" si="33"/>
        <v>0</v>
      </c>
    </row>
    <row r="126" spans="2:9" x14ac:dyDescent="0.2">
      <c r="B126" s="696"/>
      <c r="C126" s="705">
        <f t="shared" si="27"/>
        <v>0</v>
      </c>
      <c r="D126" s="772">
        <f t="shared" si="27"/>
        <v>0</v>
      </c>
      <c r="E126" s="772"/>
      <c r="F126" s="772">
        <f t="shared" si="32"/>
        <v>0</v>
      </c>
      <c r="G126" s="774">
        <f t="shared" si="33"/>
        <v>0</v>
      </c>
    </row>
    <row r="127" spans="2:9" x14ac:dyDescent="0.2">
      <c r="B127" s="701" t="str">
        <f>'TRAD-Adults YEAR(1)'!B12</f>
        <v>3èmes lignes</v>
      </c>
      <c r="C127" s="533" t="s">
        <v>197</v>
      </c>
      <c r="D127" s="776">
        <f t="shared" ref="D127" si="34">D27</f>
        <v>0</v>
      </c>
      <c r="E127" s="1357"/>
      <c r="F127" s="1909">
        <f>H87</f>
        <v>0</v>
      </c>
      <c r="G127" s="1925">
        <f>D127+F127</f>
        <v>0</v>
      </c>
    </row>
    <row r="128" spans="2:9" ht="13.5" thickBot="1" x14ac:dyDescent="0.25">
      <c r="B128" s="696"/>
      <c r="C128" s="497"/>
      <c r="D128" s="776"/>
      <c r="E128" s="589"/>
      <c r="F128" s="589"/>
      <c r="G128" s="778"/>
    </row>
    <row r="129" spans="2:21" ht="14.25" thickTop="1" thickBot="1" x14ac:dyDescent="0.25">
      <c r="B129" s="706"/>
      <c r="C129" s="707" t="s">
        <v>6</v>
      </c>
      <c r="D129" s="779">
        <f>SUM(D110:D128)</f>
        <v>19903.472062719346</v>
      </c>
      <c r="E129" s="727"/>
      <c r="F129" s="727"/>
      <c r="G129" s="780">
        <f>SUM(G110:G123)</f>
        <v>19511.72</v>
      </c>
    </row>
    <row r="131" spans="2:21" x14ac:dyDescent="0.2">
      <c r="B131" s="290" t="str">
        <f>'TRAD-Adults YEAR(1)'!B17</f>
        <v>Commentaire</v>
      </c>
      <c r="C131" s="291"/>
      <c r="D131" s="291"/>
      <c r="E131" s="291"/>
      <c r="F131" s="291"/>
      <c r="G131" s="291"/>
      <c r="H131" s="291"/>
      <c r="I131" s="291"/>
    </row>
    <row r="132" spans="2:21" x14ac:dyDescent="0.2">
      <c r="B132" s="292" t="s">
        <v>240</v>
      </c>
      <c r="C132" s="293" t="str">
        <f>'TRAD-Adults YEAR(1)'!B58</f>
        <v>La défalcation sur les premières lignes est obtenue par le calcul suivant :</v>
      </c>
    </row>
    <row r="133" spans="2:21" x14ac:dyDescent="0.2">
      <c r="B133" s="292"/>
      <c r="C133" s="293" t="str">
        <f>'TRAD-Adults YEAR(1)'!B59</f>
        <v xml:space="preserve"> = - Proportion du schéma dans les 1ères lignes à la fin de l'année * nb de patients passant en 2èmes lignes</v>
      </c>
    </row>
    <row r="135" spans="2:21" ht="15" x14ac:dyDescent="0.2">
      <c r="B135" s="2143" t="str">
        <f>'TRAD-Adults YEAR(1)'!B60</f>
        <v>Synthèse de la situation envisagée en fin d'année</v>
      </c>
      <c r="C135" s="2143"/>
      <c r="D135" s="2143"/>
      <c r="E135" s="2143"/>
      <c r="F135" s="2143"/>
      <c r="G135" s="781"/>
      <c r="H135" s="781"/>
      <c r="I135" s="781"/>
      <c r="J135" s="781"/>
      <c r="K135" s="781"/>
      <c r="L135" s="2143"/>
      <c r="M135" s="2143"/>
      <c r="N135" s="961"/>
    </row>
    <row r="137" spans="2:21" ht="13.5" thickBot="1" x14ac:dyDescent="0.25">
      <c r="B137" s="497"/>
      <c r="C137" s="497"/>
    </row>
    <row r="138" spans="2:21" s="545" customFormat="1" ht="57" customHeight="1" thickBot="1" x14ac:dyDescent="0.25">
      <c r="B138" s="782"/>
      <c r="C138" s="782"/>
      <c r="D138" s="2147" t="str">
        <f>'TRAD-Adults YEAR(1)'!B61</f>
        <v>SANS DEFALCATION des passages en 2èmes lignes sur les 1ères lignes</v>
      </c>
      <c r="E138" s="2148"/>
      <c r="F138" s="2147" t="str">
        <f>'TRAD-Adults YEAR(1)'!B62</f>
        <v>AVEC DEFALCATION PROPORTIONNELLE à la répartition des patients en 1ère ligne</v>
      </c>
      <c r="G138" s="2148"/>
      <c r="H138" s="2147" t="str">
        <f>'TRAD-Adults YEAR(1)'!B63</f>
        <v>AVEC DEFALCATION SUR SCHEMA MAJORITAIRE 1ère ligne</v>
      </c>
      <c r="I138" s="2148"/>
      <c r="N138" s="962"/>
      <c r="U138" s="962"/>
    </row>
    <row r="139" spans="2:21" ht="51.75" thickBot="1" x14ac:dyDescent="0.25">
      <c r="B139" s="354"/>
      <c r="C139" s="439" t="str">
        <f>'TRAD-Adults YEAR(1)'!B7</f>
        <v>Schémas</v>
      </c>
      <c r="D139" s="405" t="str">
        <f>'TRAD-Adults YEAR(1)'!B67</f>
        <v>Nb de patients en fin de période</v>
      </c>
      <c r="E139" s="439" t="s">
        <v>51</v>
      </c>
      <c r="F139" s="405" t="str">
        <f>'TRAD-Adults YEAR(1)'!B67</f>
        <v>Nb de patients en fin de période</v>
      </c>
      <c r="G139" s="439" t="s">
        <v>51</v>
      </c>
      <c r="H139" s="405" t="str">
        <f>'TRAD-Adults YEAR(1)'!B67</f>
        <v>Nb de patients en fin de période</v>
      </c>
      <c r="I139" s="439" t="s">
        <v>51</v>
      </c>
    </row>
    <row r="140" spans="2:21" x14ac:dyDescent="0.2">
      <c r="B140" s="693" t="str">
        <f>'TRAD-Adults YEAR(1)'!B10</f>
        <v>1ères lignes</v>
      </c>
      <c r="C140" s="546" t="str">
        <f>C10</f>
        <v>AZT+3TC+NVP</v>
      </c>
      <c r="D140" s="359">
        <f t="shared" ref="D140:D143" si="35">D110+E110</f>
        <v>10296.517095596608</v>
      </c>
      <c r="E140" s="269">
        <f t="shared" ref="E140:E157" si="36">D140/D$159</f>
        <v>0.50168937044371387</v>
      </c>
      <c r="F140" s="783">
        <f t="shared" ref="F140:F143" si="37">G110</f>
        <v>10056.609643394911</v>
      </c>
      <c r="G140" s="784">
        <f t="shared" ref="G140:G147" si="38">F140/F$159</f>
        <v>0.50034506573660675</v>
      </c>
      <c r="H140" s="359">
        <f>D110+E110-C80</f>
        <v>9872.1752289137294</v>
      </c>
      <c r="I140" s="269">
        <f t="shared" ref="I140:I147" si="39">H140/H$159</f>
        <v>0.49116892660921319</v>
      </c>
    </row>
    <row r="141" spans="2:21" x14ac:dyDescent="0.2">
      <c r="B141" s="696"/>
      <c r="C141" s="323" t="str">
        <f t="shared" ref="C141:C156" si="40">C11</f>
        <v>AZT+3TC+EFV</v>
      </c>
      <c r="D141" s="362">
        <f t="shared" si="35"/>
        <v>1329.7939619901952</v>
      </c>
      <c r="E141" s="273">
        <f t="shared" si="36"/>
        <v>6.4793122705154596E-2</v>
      </c>
      <c r="F141" s="785">
        <f t="shared" si="37"/>
        <v>1298.8099429852928</v>
      </c>
      <c r="G141" s="786">
        <f t="shared" si="38"/>
        <v>6.4619505911632194E-2</v>
      </c>
      <c r="H141" s="362">
        <f t="shared" ref="H141:H143" si="41">D111+E111</f>
        <v>1329.7939619901952</v>
      </c>
      <c r="I141" s="273">
        <f t="shared" si="39"/>
        <v>6.6161049391543852E-2</v>
      </c>
    </row>
    <row r="142" spans="2:21" x14ac:dyDescent="0.2">
      <c r="B142" s="696"/>
      <c r="C142" s="323" t="str">
        <f t="shared" si="40"/>
        <v>AZT+3TC+ABC</v>
      </c>
      <c r="D142" s="362">
        <f t="shared" si="35"/>
        <v>75.02963916189843</v>
      </c>
      <c r="E142" s="273">
        <f t="shared" si="36"/>
        <v>3.6557577757870747E-3</v>
      </c>
      <c r="F142" s="785">
        <f t="shared" si="37"/>
        <v>73.281458742847647</v>
      </c>
      <c r="G142" s="786">
        <f t="shared" si="38"/>
        <v>3.6459619685095803E-3</v>
      </c>
      <c r="H142" s="362">
        <f t="shared" si="41"/>
        <v>75.02963916189843</v>
      </c>
      <c r="I142" s="273">
        <f t="shared" si="39"/>
        <v>3.7329389396465584E-3</v>
      </c>
    </row>
    <row r="143" spans="2:21" x14ac:dyDescent="0.2">
      <c r="B143" s="696"/>
      <c r="C143" s="533" t="str">
        <f t="shared" si="40"/>
        <v>AZT+3TC+LPV/r</v>
      </c>
      <c r="D143" s="362">
        <f t="shared" si="35"/>
        <v>658.6395744434933</v>
      </c>
      <c r="E143" s="273">
        <f t="shared" si="36"/>
        <v>3.2091674338421097E-2</v>
      </c>
      <c r="F143" s="785">
        <f t="shared" si="37"/>
        <v>643.29336166524001</v>
      </c>
      <c r="G143" s="786">
        <f t="shared" si="38"/>
        <v>3.2005682903454208E-2</v>
      </c>
      <c r="H143" s="362">
        <f t="shared" si="41"/>
        <v>658.6395744434933</v>
      </c>
      <c r="I143" s="273">
        <f t="shared" si="39"/>
        <v>3.2769200839778426E-2</v>
      </c>
    </row>
    <row r="144" spans="2:21" x14ac:dyDescent="0.2">
      <c r="B144" s="696"/>
      <c r="C144" s="533" t="str">
        <f t="shared" si="40"/>
        <v>ABC+3TC+EFV</v>
      </c>
      <c r="D144" s="362">
        <f t="shared" ref="D144" si="42">D114+E114</f>
        <v>41.686423948685352</v>
      </c>
      <c r="E144" s="273">
        <f t="shared" ref="E144" si="43">D144/D$159</f>
        <v>2.0311368973310018E-3</v>
      </c>
      <c r="F144" s="785">
        <f t="shared" ref="F144" si="44">G114</f>
        <v>40.715135923028029</v>
      </c>
      <c r="G144" s="786">
        <f t="shared" ref="G144" si="45">F144/F$159</f>
        <v>2.0256943524960451E-3</v>
      </c>
      <c r="H144" s="362">
        <f t="shared" ref="H144" si="46">D114+E114</f>
        <v>41.686423948685352</v>
      </c>
      <c r="I144" s="273">
        <f t="shared" ref="I144" si="47">H144/H$159</f>
        <v>2.0740187071522764E-3</v>
      </c>
    </row>
    <row r="145" spans="2:9" x14ac:dyDescent="0.2">
      <c r="B145" s="696"/>
      <c r="C145" s="323" t="str">
        <f t="shared" si="40"/>
        <v>TDF+FTC/3TC+EFV</v>
      </c>
      <c r="D145" s="362">
        <f>D115+E115</f>
        <v>5735.5069323314656</v>
      </c>
      <c r="E145" s="273">
        <f t="shared" si="36"/>
        <v>0.2794578822471428</v>
      </c>
      <c r="F145" s="785">
        <f t="shared" ref="F145:F153" si="48">G115</f>
        <v>5601.870398497198</v>
      </c>
      <c r="G145" s="786">
        <f t="shared" si="38"/>
        <v>0.27870905923299211</v>
      </c>
      <c r="H145" s="362">
        <f>D115+E115</f>
        <v>5735.5069323314656</v>
      </c>
      <c r="I145" s="273">
        <f t="shared" si="39"/>
        <v>0.28535785864721963</v>
      </c>
    </row>
    <row r="146" spans="2:9" x14ac:dyDescent="0.2">
      <c r="B146" s="696"/>
      <c r="C146" s="323" t="str">
        <f t="shared" si="40"/>
        <v>TDF+FTC/3TC+LPV/r</v>
      </c>
      <c r="D146" s="362">
        <f>D116+E116</f>
        <v>0</v>
      </c>
      <c r="E146" s="273">
        <f t="shared" si="36"/>
        <v>0</v>
      </c>
      <c r="F146" s="785">
        <f t="shared" si="48"/>
        <v>0</v>
      </c>
      <c r="G146" s="786">
        <f t="shared" si="38"/>
        <v>0</v>
      </c>
      <c r="H146" s="362">
        <f>D116+E116</f>
        <v>0</v>
      </c>
      <c r="I146" s="273">
        <f t="shared" si="39"/>
        <v>0</v>
      </c>
    </row>
    <row r="147" spans="2:9" x14ac:dyDescent="0.2">
      <c r="B147" s="696"/>
      <c r="C147" s="323" t="str">
        <f t="shared" si="40"/>
        <v>ABC+3TC+LPV/r</v>
      </c>
      <c r="D147" s="362">
        <f>D117+E117</f>
        <v>23.619344931387424</v>
      </c>
      <c r="E147" s="273">
        <f t="shared" si="36"/>
        <v>1.1508332554498698E-3</v>
      </c>
      <c r="F147" s="785">
        <f t="shared" si="48"/>
        <v>23.069017397081137</v>
      </c>
      <c r="G147" s="786">
        <f t="shared" si="38"/>
        <v>1.1477495334227747E-3</v>
      </c>
      <c r="H147" s="362">
        <f>D117+E117</f>
        <v>23.619344931387424</v>
      </c>
      <c r="I147" s="273">
        <f t="shared" si="39"/>
        <v>1.17512990077252E-3</v>
      </c>
    </row>
    <row r="148" spans="2:9" x14ac:dyDescent="0.2">
      <c r="B148" s="696"/>
      <c r="C148" s="323" t="str">
        <f t="shared" si="40"/>
        <v>TDF+3TC/FTC+ABC</v>
      </c>
      <c r="D148" s="362">
        <f>D118+E118</f>
        <v>51.410294230510999</v>
      </c>
      <c r="E148" s="273">
        <f t="shared" si="36"/>
        <v>2.5049245203372047E-3</v>
      </c>
      <c r="F148" s="785">
        <f t="shared" si="48"/>
        <v>50.2124413457665</v>
      </c>
      <c r="G148" s="786">
        <f t="shared" ref="G148:G157" si="49">F148/F$159</f>
        <v>2.4982124350868052E-3</v>
      </c>
      <c r="H148" s="362">
        <f>D118+E118</f>
        <v>51.410294230510999</v>
      </c>
      <c r="I148" s="273">
        <f t="shared" ref="I148:I157" si="50">H148/H$159</f>
        <v>2.557809038874038E-3</v>
      </c>
    </row>
    <row r="149" spans="2:9" x14ac:dyDescent="0.2">
      <c r="B149" s="696"/>
      <c r="C149" s="705">
        <f t="shared" si="40"/>
        <v>0</v>
      </c>
      <c r="D149" s="787">
        <f>D119+E119</f>
        <v>0</v>
      </c>
      <c r="E149" s="281">
        <f>D149/D$159</f>
        <v>0</v>
      </c>
      <c r="F149" s="788">
        <f t="shared" si="48"/>
        <v>0</v>
      </c>
      <c r="G149" s="789">
        <f t="shared" si="49"/>
        <v>0</v>
      </c>
      <c r="H149" s="787">
        <f>D119+E119</f>
        <v>0</v>
      </c>
      <c r="I149" s="281">
        <f t="shared" si="50"/>
        <v>0</v>
      </c>
    </row>
    <row r="150" spans="2:9" x14ac:dyDescent="0.2">
      <c r="B150" s="701" t="str">
        <f>'TRAD-Adults YEAR(1)'!B11</f>
        <v>2èmes lignes</v>
      </c>
      <c r="C150" s="702" t="str">
        <f t="shared" si="40"/>
        <v>TDF+FTC/3TC+LPV/r</v>
      </c>
      <c r="D150" s="1151">
        <f>D120+F120</f>
        <v>1688.9554000486332</v>
      </c>
      <c r="E150" s="1140">
        <f>D150/D$159</f>
        <v>8.2292969893701051E-2</v>
      </c>
      <c r="F150" s="1152">
        <f t="shared" si="48"/>
        <v>1688.9554000486332</v>
      </c>
      <c r="G150" s="1141">
        <f t="shared" si="49"/>
        <v>8.403035721074828E-2</v>
      </c>
      <c r="H150" s="1151">
        <f>D120+F120</f>
        <v>1688.9554000486332</v>
      </c>
      <c r="I150" s="1140">
        <f t="shared" si="50"/>
        <v>8.403035721074828E-2</v>
      </c>
    </row>
    <row r="151" spans="2:9" x14ac:dyDescent="0.2">
      <c r="B151" s="696"/>
      <c r="C151" s="533" t="str">
        <f t="shared" si="40"/>
        <v>TDF+FTC/3TC+ATV/r</v>
      </c>
      <c r="D151" s="362">
        <f>D121+F121</f>
        <v>34.903199999999998</v>
      </c>
      <c r="E151" s="273">
        <f>D151/D$159</f>
        <v>1.7006298607477254E-3</v>
      </c>
      <c r="F151" s="785">
        <f t="shared" si="48"/>
        <v>34.903199999999998</v>
      </c>
      <c r="G151" s="786">
        <f t="shared" si="49"/>
        <v>1.7365339331717913E-3</v>
      </c>
      <c r="H151" s="362">
        <f>D121+F121</f>
        <v>34.903199999999998</v>
      </c>
      <c r="I151" s="273">
        <f t="shared" si="50"/>
        <v>1.7365339331717913E-3</v>
      </c>
    </row>
    <row r="152" spans="2:9" x14ac:dyDescent="0.2">
      <c r="B152" s="696"/>
      <c r="C152" s="533" t="str">
        <f t="shared" si="40"/>
        <v>ABC+DDI+LPV/r</v>
      </c>
      <c r="D152" s="362">
        <f>D122+F122</f>
        <v>0</v>
      </c>
      <c r="E152" s="273">
        <f>D152/D$159</f>
        <v>0</v>
      </c>
      <c r="F152" s="785">
        <f t="shared" si="48"/>
        <v>0</v>
      </c>
      <c r="G152" s="786">
        <f t="shared" si="49"/>
        <v>0</v>
      </c>
      <c r="H152" s="362">
        <f>D122+F122</f>
        <v>0</v>
      </c>
      <c r="I152" s="273">
        <f t="shared" si="50"/>
        <v>0</v>
      </c>
    </row>
    <row r="153" spans="2:9" x14ac:dyDescent="0.2">
      <c r="B153" s="696"/>
      <c r="C153" s="533" t="str">
        <f t="shared" si="40"/>
        <v>TDF+3TC/FTC+ABC</v>
      </c>
      <c r="D153" s="362">
        <f>D123+F123</f>
        <v>0</v>
      </c>
      <c r="E153" s="273">
        <f>D153/D$159</f>
        <v>0</v>
      </c>
      <c r="F153" s="785">
        <f t="shared" si="48"/>
        <v>0</v>
      </c>
      <c r="G153" s="786">
        <f t="shared" si="49"/>
        <v>0</v>
      </c>
      <c r="H153" s="362">
        <f>D123+F123</f>
        <v>0</v>
      </c>
      <c r="I153" s="273">
        <f t="shared" si="50"/>
        <v>0</v>
      </c>
    </row>
    <row r="154" spans="2:9" x14ac:dyDescent="0.2">
      <c r="B154" s="696"/>
      <c r="C154" s="533" t="str">
        <f t="shared" si="40"/>
        <v>AZT+3TC+LPV/r</v>
      </c>
      <c r="D154" s="362">
        <f t="shared" ref="D154:D156" si="51">D124+F124</f>
        <v>587.6280940790233</v>
      </c>
      <c r="E154" s="273">
        <f t="shared" ref="E154:E156" si="52">D154/D$159</f>
        <v>2.8631698062213801E-2</v>
      </c>
      <c r="F154" s="785">
        <f>G124</f>
        <v>587.6280940790233</v>
      </c>
      <c r="G154" s="786">
        <f>F154/F$159</f>
        <v>2.9236176781879307E-2</v>
      </c>
      <c r="H154" s="362">
        <f>D124+F124</f>
        <v>587.6280940790233</v>
      </c>
      <c r="I154" s="273">
        <f>H154/H$159</f>
        <v>2.9236176781879307E-2</v>
      </c>
    </row>
    <row r="155" spans="2:9" x14ac:dyDescent="0.2">
      <c r="B155" s="696"/>
      <c r="C155" s="533">
        <f t="shared" si="40"/>
        <v>0</v>
      </c>
      <c r="D155" s="362">
        <f t="shared" si="51"/>
        <v>0</v>
      </c>
      <c r="E155" s="273">
        <f t="shared" si="52"/>
        <v>0</v>
      </c>
      <c r="F155" s="785">
        <f t="shared" ref="F155:F156" si="53">G125</f>
        <v>0</v>
      </c>
      <c r="G155" s="786">
        <f t="shared" ref="G155:G156" si="54">F155/F$159</f>
        <v>0</v>
      </c>
      <c r="H155" s="362">
        <f t="shared" ref="H155:H156" si="55">D125+F125</f>
        <v>0</v>
      </c>
      <c r="I155" s="273">
        <f t="shared" ref="I155:I156" si="56">H155/H$159</f>
        <v>0</v>
      </c>
    </row>
    <row r="156" spans="2:9" x14ac:dyDescent="0.2">
      <c r="B156" s="696"/>
      <c r="C156" s="705">
        <f t="shared" si="40"/>
        <v>0</v>
      </c>
      <c r="D156" s="787">
        <f t="shared" si="51"/>
        <v>0</v>
      </c>
      <c r="E156" s="281">
        <f t="shared" si="52"/>
        <v>0</v>
      </c>
      <c r="F156" s="785">
        <f t="shared" si="53"/>
        <v>0</v>
      </c>
      <c r="G156" s="786">
        <f t="shared" si="54"/>
        <v>0</v>
      </c>
      <c r="H156" s="362">
        <f t="shared" si="55"/>
        <v>0</v>
      </c>
      <c r="I156" s="273">
        <f t="shared" si="56"/>
        <v>0</v>
      </c>
    </row>
    <row r="157" spans="2:9" ht="25.5" x14ac:dyDescent="0.2">
      <c r="B157" s="701" t="str">
        <f>'TRAD-Adults YEAR(1)'!B12</f>
        <v>3èmes lignes</v>
      </c>
      <c r="C157" s="790" t="str">
        <f>+'TRAD-Adults YEAR(1)'!B16</f>
        <v>nb de patient total 3èmes lignes</v>
      </c>
      <c r="D157" s="791">
        <f>F127</f>
        <v>0</v>
      </c>
      <c r="E157" s="283">
        <f t="shared" si="36"/>
        <v>0</v>
      </c>
      <c r="F157" s="792">
        <f t="shared" ref="F157:F158" si="57">G127</f>
        <v>0</v>
      </c>
      <c r="G157" s="793">
        <f t="shared" si="49"/>
        <v>0</v>
      </c>
      <c r="H157" s="794">
        <f>K127</f>
        <v>0</v>
      </c>
      <c r="I157" s="283">
        <f t="shared" si="50"/>
        <v>0</v>
      </c>
    </row>
    <row r="158" spans="2:9" ht="13.5" thickBot="1" x14ac:dyDescent="0.25">
      <c r="B158" s="696"/>
      <c r="C158" s="285"/>
      <c r="D158" s="794">
        <f>G128</f>
        <v>0</v>
      </c>
      <c r="E158" s="283"/>
      <c r="F158" s="792">
        <f t="shared" si="57"/>
        <v>0</v>
      </c>
      <c r="G158" s="793"/>
      <c r="H158" s="794">
        <f>K128</f>
        <v>0</v>
      </c>
      <c r="I158" s="283"/>
    </row>
    <row r="159" spans="2:9" ht="14.25" thickTop="1" thickBot="1" x14ac:dyDescent="0.25">
      <c r="B159" s="795"/>
      <c r="C159" s="796" t="s">
        <v>6</v>
      </c>
      <c r="D159" s="797">
        <f>SUM(D140:D156)</f>
        <v>20523.689960761898</v>
      </c>
      <c r="E159" s="798"/>
      <c r="F159" s="797">
        <f>SUM(F140:F156)</f>
        <v>20099.348094079025</v>
      </c>
      <c r="G159" s="799">
        <f>SUM(G140:G156)</f>
        <v>0.99999999999999967</v>
      </c>
      <c r="H159" s="797">
        <f>SUM(H140:H156)</f>
        <v>20099.348094079025</v>
      </c>
      <c r="I159" s="798"/>
    </row>
    <row r="160" spans="2:9" x14ac:dyDescent="0.2">
      <c r="C160" s="260" t="str">
        <f>+'TRAD-Adults YEAR(1)'!B13</f>
        <v>Total Premières lignes</v>
      </c>
      <c r="D160" s="800">
        <f>SUM(D140:D148)</f>
        <v>18212.203266634242</v>
      </c>
    </row>
    <row r="163" spans="1:32" x14ac:dyDescent="0.2">
      <c r="B163" s="290" t="str">
        <f>+'TRAD-Adults YEAR(1)'!B17</f>
        <v>Commentaire</v>
      </c>
      <c r="C163" s="291"/>
      <c r="D163" s="291"/>
      <c r="E163" s="291"/>
      <c r="F163" s="291"/>
      <c r="G163" s="291"/>
      <c r="H163" s="291"/>
      <c r="I163" s="291"/>
      <c r="J163" s="291"/>
      <c r="K163" s="291"/>
      <c r="L163" s="291"/>
      <c r="M163" s="291"/>
      <c r="N163" s="497"/>
    </row>
    <row r="164" spans="1:32" x14ac:dyDescent="0.2">
      <c r="B164" s="801"/>
      <c r="C164" s="293" t="str">
        <f>+'TRAD-Adults YEAR(1)'!B70</f>
        <v>Le nombre de patients en 3èmes lignes n'est volontairement pas pris en compte dans le total.</v>
      </c>
    </row>
    <row r="165" spans="1:32" x14ac:dyDescent="0.2">
      <c r="B165" s="293"/>
      <c r="C165" s="293" t="str">
        <f>+'TRAD-Adults YEAR(1)'!B71</f>
        <v>Pour les années suivantes, nous avons pris en compte une défalcation proportionnelle à la répartition des initiations en premières lignes (données en rouge)</v>
      </c>
    </row>
    <row r="167" spans="1:32" ht="16.5" thickBot="1" x14ac:dyDescent="0.3">
      <c r="A167" s="802" t="str">
        <f>'TRAD-Adults YEAR (2)'!B14</f>
        <v>Quantification des besoins en ARV pour la prise en charge médicale pour la troisième année selon la répartition envisagée</v>
      </c>
      <c r="B167" s="802"/>
      <c r="C167" s="802"/>
      <c r="D167" s="802"/>
      <c r="E167" s="802"/>
      <c r="F167" s="802"/>
      <c r="G167" s="802"/>
      <c r="H167" s="802"/>
      <c r="I167" s="802"/>
      <c r="J167" s="802"/>
      <c r="K167" s="802"/>
      <c r="L167" s="802"/>
    </row>
    <row r="169" spans="1:32" ht="15" x14ac:dyDescent="0.2">
      <c r="B169" s="2143" t="str">
        <f>'TRAD-Adults YEAR(1)'!B72</f>
        <v>Détails des calculs</v>
      </c>
      <c r="C169" s="2143"/>
      <c r="D169" s="2143"/>
      <c r="E169" s="2143"/>
      <c r="F169" s="2143"/>
      <c r="G169" s="1158"/>
      <c r="H169" s="1158"/>
      <c r="I169" s="1158"/>
      <c r="J169" s="1158"/>
      <c r="K169" s="1158"/>
      <c r="L169" s="2143"/>
      <c r="M169" s="2143"/>
      <c r="N169" s="1158"/>
    </row>
    <row r="172" spans="1:32" x14ac:dyDescent="0.2">
      <c r="C172" s="1162"/>
      <c r="D172" s="1163" t="s">
        <v>75</v>
      </c>
      <c r="E172" s="1163"/>
      <c r="F172" s="1163"/>
      <c r="G172" s="1164"/>
      <c r="H172" s="1164"/>
      <c r="I172" s="1164"/>
      <c r="J172" s="1164"/>
      <c r="K172" s="1164"/>
      <c r="L172" s="1163"/>
      <c r="M172" s="1163" t="s">
        <v>84</v>
      </c>
      <c r="N172" s="1163"/>
      <c r="O172" s="1163" t="s">
        <v>85</v>
      </c>
      <c r="P172" s="1163"/>
      <c r="Q172" s="1163"/>
      <c r="R172" s="1164"/>
      <c r="S172" s="1164"/>
      <c r="T172" s="1163"/>
      <c r="U172" s="1163" t="s">
        <v>87</v>
      </c>
      <c r="V172" s="1164"/>
      <c r="W172" s="1164"/>
      <c r="X172" s="1164"/>
      <c r="Y172" s="1164"/>
      <c r="Z172" s="1164"/>
      <c r="AA172" s="1163" t="s">
        <v>331</v>
      </c>
      <c r="AB172" s="1163" t="str">
        <f>'TRAD-Adults YEAR(1)'!B132</f>
        <v>NNRTI 3ème ligne</v>
      </c>
    </row>
    <row r="173" spans="1:32" ht="63.75" x14ac:dyDescent="0.2">
      <c r="C173" s="1165" t="str">
        <f>'TRAD-Adults YEAR(1)'!B106</f>
        <v>Composition</v>
      </c>
      <c r="D173" s="1166" t="s">
        <v>7</v>
      </c>
      <c r="E173" s="1166" t="s">
        <v>140</v>
      </c>
      <c r="F173" s="1166" t="s">
        <v>731</v>
      </c>
      <c r="G173" s="1166" t="s">
        <v>11</v>
      </c>
      <c r="H173" s="1166" t="s">
        <v>586</v>
      </c>
      <c r="I173" s="1166" t="s">
        <v>50</v>
      </c>
      <c r="J173" s="1166" t="s">
        <v>81</v>
      </c>
      <c r="K173" s="1166" t="s">
        <v>348</v>
      </c>
      <c r="L173" s="1166" t="s">
        <v>349</v>
      </c>
      <c r="M173" s="1166" t="s">
        <v>17</v>
      </c>
      <c r="N173" s="1166" t="s">
        <v>19</v>
      </c>
      <c r="O173" s="1166" t="s">
        <v>39</v>
      </c>
      <c r="P173" s="1166" t="s">
        <v>350</v>
      </c>
      <c r="Q173" s="1166" t="s">
        <v>25</v>
      </c>
      <c r="R173" s="1166" t="s">
        <v>28</v>
      </c>
      <c r="S173" s="1166" t="s">
        <v>28</v>
      </c>
      <c r="T173" s="1166" t="s">
        <v>22</v>
      </c>
      <c r="U173" s="1166" t="s">
        <v>33</v>
      </c>
      <c r="V173" s="1166" t="s">
        <v>69</v>
      </c>
      <c r="W173" s="1166" t="s">
        <v>335</v>
      </c>
      <c r="X173" s="1166" t="s">
        <v>68</v>
      </c>
      <c r="Y173" s="1166" t="s">
        <v>576</v>
      </c>
      <c r="Z173" s="1166" t="s">
        <v>343</v>
      </c>
      <c r="AA173" s="1166" t="s">
        <v>329</v>
      </c>
      <c r="AB173" s="1166" t="s">
        <v>330</v>
      </c>
      <c r="AC173" s="1167" t="str">
        <f>'TRAD-Adults YEAR(1)'!B133</f>
        <v>Patients sous traitement</v>
      </c>
      <c r="AD173" s="1167" t="str">
        <f>'TRAD-Adults YEAR(1)'!B134</f>
        <v>Patients initiés/swichés / mois</v>
      </c>
      <c r="AE173" s="1167" t="str">
        <f>'TRAD-Adults YEAR(1)'!B134</f>
        <v>Patients initiés/swichés / mois</v>
      </c>
      <c r="AF173" s="1167" t="str">
        <f>'TRAD-Adults YEAR(1)'!B135</f>
        <v>Défalcation (nb patients switchés/mois)</v>
      </c>
    </row>
    <row r="174" spans="1:32" ht="25.5" x14ac:dyDescent="0.2">
      <c r="C174" s="1165" t="str">
        <f>'TRAD-Adults YEAR(1)'!B107</f>
        <v>Nom du médicament</v>
      </c>
      <c r="D174" s="1166" t="s">
        <v>76</v>
      </c>
      <c r="E174" s="1166"/>
      <c r="F174" s="1166"/>
      <c r="G174" s="1166" t="s">
        <v>78</v>
      </c>
      <c r="H174" s="1166"/>
      <c r="I174" s="1166" t="s">
        <v>79</v>
      </c>
      <c r="J174" s="1166" t="s">
        <v>82</v>
      </c>
      <c r="K174" s="1166"/>
      <c r="L174" s="1166"/>
      <c r="M174" s="1166"/>
      <c r="N174" s="1166"/>
      <c r="O174" s="1166"/>
      <c r="P174" s="1166"/>
      <c r="Q174" s="1166"/>
      <c r="R174" s="1166"/>
      <c r="S174" s="1166"/>
      <c r="T174" s="1166"/>
      <c r="U174" s="1166"/>
      <c r="V174" s="1166"/>
      <c r="W174" s="1166"/>
      <c r="X174" s="1166"/>
      <c r="Y174" s="1166"/>
      <c r="Z174" s="1166"/>
      <c r="AA174" s="1166"/>
      <c r="AB174" s="1166"/>
      <c r="AC174" s="1168"/>
      <c r="AD174" s="1168"/>
      <c r="AE174" s="1168"/>
      <c r="AF174" s="1168"/>
    </row>
    <row r="175" spans="1:32" x14ac:dyDescent="0.2">
      <c r="C175" s="1165" t="str">
        <f>'TRAD-Adults YEAR(1)'!B108</f>
        <v>Forme galénique</v>
      </c>
      <c r="D175" s="1166" t="s">
        <v>521</v>
      </c>
      <c r="E175" s="1166" t="s">
        <v>521</v>
      </c>
      <c r="F175" s="1166" t="s">
        <v>521</v>
      </c>
      <c r="G175" s="1166" t="s">
        <v>521</v>
      </c>
      <c r="H175" s="1166" t="s">
        <v>521</v>
      </c>
      <c r="I175" s="1166" t="s">
        <v>521</v>
      </c>
      <c r="J175" s="1166" t="s">
        <v>521</v>
      </c>
      <c r="K175" s="1166" t="s">
        <v>521</v>
      </c>
      <c r="L175" s="1166" t="s">
        <v>521</v>
      </c>
      <c r="M175" s="1166" t="s">
        <v>521</v>
      </c>
      <c r="N175" s="1166" t="s">
        <v>521</v>
      </c>
      <c r="O175" s="1166" t="s">
        <v>521</v>
      </c>
      <c r="P175" s="1166" t="s">
        <v>521</v>
      </c>
      <c r="Q175" s="1166" t="s">
        <v>521</v>
      </c>
      <c r="R175" s="1166" t="s">
        <v>86</v>
      </c>
      <c r="S175" s="1166" t="s">
        <v>86</v>
      </c>
      <c r="T175" s="1166" t="s">
        <v>521</v>
      </c>
      <c r="U175" s="1166" t="s">
        <v>521</v>
      </c>
      <c r="V175" s="1166" t="s">
        <v>86</v>
      </c>
      <c r="W175" s="1166" t="s">
        <v>88</v>
      </c>
      <c r="X175" s="1166" t="s">
        <v>88</v>
      </c>
      <c r="Y175" s="1166" t="s">
        <v>599</v>
      </c>
      <c r="Z175" s="1166" t="s">
        <v>521</v>
      </c>
      <c r="AA175" s="1166" t="s">
        <v>521</v>
      </c>
      <c r="AB175" s="1166" t="s">
        <v>521</v>
      </c>
      <c r="AC175" s="1168"/>
      <c r="AD175" s="1168"/>
      <c r="AE175" s="1168"/>
      <c r="AF175" s="1168"/>
    </row>
    <row r="176" spans="1:32" x14ac:dyDescent="0.2">
      <c r="C176" s="1165" t="str">
        <f>'TRAD-Adults YEAR(1)'!B109</f>
        <v>Dosage</v>
      </c>
      <c r="D176" s="1173" t="s">
        <v>9</v>
      </c>
      <c r="E176" s="1173" t="s">
        <v>334</v>
      </c>
      <c r="F176" s="1173" t="s">
        <v>734</v>
      </c>
      <c r="G176" s="1173" t="s">
        <v>12</v>
      </c>
      <c r="H176" s="1173" t="s">
        <v>649</v>
      </c>
      <c r="I176" s="1173" t="s">
        <v>80</v>
      </c>
      <c r="J176" s="1173" t="s">
        <v>83</v>
      </c>
      <c r="K176" s="1173" t="s">
        <v>244</v>
      </c>
      <c r="L176" s="1173" t="s">
        <v>24</v>
      </c>
      <c r="M176" s="1173" t="s">
        <v>18</v>
      </c>
      <c r="N176" s="1173" t="s">
        <v>20</v>
      </c>
      <c r="O176" s="1173" t="s">
        <v>23</v>
      </c>
      <c r="P176" s="1173" t="s">
        <v>16</v>
      </c>
      <c r="Q176" s="1173" t="s">
        <v>23</v>
      </c>
      <c r="R176" s="1173" t="s">
        <v>29</v>
      </c>
      <c r="S176" s="1173" t="s">
        <v>32</v>
      </c>
      <c r="T176" s="1173" t="s">
        <v>23</v>
      </c>
      <c r="U176" s="1173" t="s">
        <v>34</v>
      </c>
      <c r="V176" s="1173" t="s">
        <v>32</v>
      </c>
      <c r="W176" s="1173" t="s">
        <v>89</v>
      </c>
      <c r="X176" s="1173" t="s">
        <v>20</v>
      </c>
      <c r="Y176" s="1173" t="s">
        <v>577</v>
      </c>
      <c r="Z176" s="1173" t="s">
        <v>18</v>
      </c>
      <c r="AA176" s="1173" t="s">
        <v>32</v>
      </c>
      <c r="AB176" s="1173" t="s">
        <v>89</v>
      </c>
      <c r="AC176" s="1169"/>
      <c r="AD176" s="1169"/>
      <c r="AE176" s="1169"/>
      <c r="AF176" s="1169"/>
    </row>
    <row r="177" spans="2:32" ht="25.5" x14ac:dyDescent="0.2">
      <c r="C177" s="1165" t="str">
        <f>'TRAD-Adults YEAR(1)'!B77</f>
        <v>Nb cdt/mois/patient</v>
      </c>
      <c r="D177" s="1182">
        <f>'Data &amp; hypothesis Adults'!$K$228</f>
        <v>1</v>
      </c>
      <c r="E177" s="1182">
        <f>'Data &amp; hypothesis Adults'!$K$229</f>
        <v>1</v>
      </c>
      <c r="F177" s="1182">
        <f>'Data &amp; hypothesis Adults'!$K$230</f>
        <v>1</v>
      </c>
      <c r="G177" s="1182">
        <f>'Data &amp; hypothesis Adults'!$K$231</f>
        <v>1</v>
      </c>
      <c r="H177" s="1182">
        <f>'Data &amp; hypothesis Adults'!$K$232</f>
        <v>1</v>
      </c>
      <c r="I177" s="1182">
        <f>'Data &amp; hypothesis Adults'!$K$233</f>
        <v>1</v>
      </c>
      <c r="J177" s="1182">
        <f>'Data &amp; hypothesis Adults'!$K$234</f>
        <v>1</v>
      </c>
      <c r="K177" s="1182">
        <f>'Data &amp; hypothesis Adults'!$K$235</f>
        <v>1</v>
      </c>
      <c r="L177" s="1182">
        <f>'Data &amp; hypothesis Adults'!$K$236</f>
        <v>1</v>
      </c>
      <c r="M177" s="1182">
        <f>'Data &amp; hypothesis Adults'!$K$237</f>
        <v>1</v>
      </c>
      <c r="N177" s="1182">
        <f>'Data &amp; hypothesis Adults'!$K$238</f>
        <v>1</v>
      </c>
      <c r="O177" s="1182">
        <f>'Data &amp; hypothesis Adults'!$K$239</f>
        <v>1</v>
      </c>
      <c r="P177" s="1182">
        <f>'Data &amp; hypothesis Adults'!$K$240</f>
        <v>1</v>
      </c>
      <c r="Q177" s="1182">
        <f>'Data &amp; hypothesis Adults'!$K$241</f>
        <v>1</v>
      </c>
      <c r="R177" s="1182">
        <f>'Data &amp; hypothesis Adults'!$K$242</f>
        <v>1</v>
      </c>
      <c r="S177" s="1182">
        <f>'Data &amp; hypothesis Adults'!$K$243</f>
        <v>1</v>
      </c>
      <c r="T177" s="1182">
        <f>'Data &amp; hypothesis Adults'!$K$244</f>
        <v>1</v>
      </c>
      <c r="U177" s="1182">
        <f>'Data &amp; hypothesis Adults'!$K$245</f>
        <v>1</v>
      </c>
      <c r="V177" s="1182">
        <f>'Data &amp; hypothesis Adults'!$K$246</f>
        <v>0.66666666666666663</v>
      </c>
      <c r="W177" s="1182">
        <f>'Data &amp; hypothesis Adults'!$K$247</f>
        <v>0.7142857142857143</v>
      </c>
      <c r="X177" s="1182">
        <f>'Data &amp; hypothesis Adults'!$K$248</f>
        <v>1</v>
      </c>
      <c r="Y177" s="1182">
        <f>'Data &amp; hypothesis Adults'!$K$249</f>
        <v>1</v>
      </c>
      <c r="Z177" s="1182">
        <f>'Data &amp; hypothesis Adults'!$K$250</f>
        <v>1</v>
      </c>
      <c r="AA177" s="1182">
        <f>'Data &amp; hypothesis Adults'!$K$251</f>
        <v>1</v>
      </c>
      <c r="AB177" s="1182">
        <f>'Data &amp; hypothesis Adults'!$K$252</f>
        <v>1</v>
      </c>
      <c r="AC177" s="1169"/>
      <c r="AD177" s="1169"/>
      <c r="AE177" s="1169"/>
      <c r="AF177" s="1169"/>
    </row>
    <row r="178" spans="2:32" ht="39" customHeight="1" x14ac:dyDescent="0.2">
      <c r="C178" s="1165" t="str">
        <f>'TRAD-Adults YEAR(1)'!B78</f>
        <v>Répartitions spécifiques (DDI, 3ème ligne)</v>
      </c>
      <c r="D178" s="1183"/>
      <c r="E178" s="1183"/>
      <c r="F178" s="1183"/>
      <c r="G178" s="1183"/>
      <c r="H178" s="1183"/>
      <c r="I178" s="1183"/>
      <c r="J178" s="1183"/>
      <c r="K178" s="1183"/>
      <c r="L178" s="1183"/>
      <c r="M178" s="1183"/>
      <c r="N178" s="1183"/>
      <c r="O178" s="1183"/>
      <c r="P178" s="1183"/>
      <c r="Q178" s="1183"/>
      <c r="R178" s="1184">
        <f>'Data &amp; hypothesis Adults'!D168</f>
        <v>0</v>
      </c>
      <c r="S178" s="1184">
        <f>'Data &amp; hypothesis Adults'!D169</f>
        <v>1</v>
      </c>
      <c r="T178" s="1183"/>
      <c r="U178" s="1183"/>
      <c r="V178" s="1185"/>
      <c r="W178" s="1185"/>
      <c r="X178" s="1185"/>
      <c r="Y178" s="1185"/>
      <c r="Z178" s="1185"/>
      <c r="AA178" s="1185"/>
      <c r="AB178" s="1185"/>
      <c r="AC178" s="1169"/>
      <c r="AD178" s="1169"/>
      <c r="AE178" s="1169"/>
      <c r="AF178" s="1169"/>
    </row>
    <row r="179" spans="2:32" ht="39" customHeight="1" x14ac:dyDescent="0.2">
      <c r="C179" s="1165" t="str">
        <f>'TRAD-Adults YEAR(1)'!B79</f>
        <v>Répartitions spécifiques 3ème ligne</v>
      </c>
      <c r="D179" s="1183"/>
      <c r="E179" s="1183"/>
      <c r="F179" s="1183"/>
      <c r="G179" s="1183"/>
      <c r="H179" s="1183"/>
      <c r="I179" s="1183"/>
      <c r="J179" s="1183"/>
      <c r="K179" s="1183"/>
      <c r="L179" s="1183">
        <f>'Data &amp; hypothesis Adults'!D147</f>
        <v>0</v>
      </c>
      <c r="M179" s="1183"/>
      <c r="N179" s="1183"/>
      <c r="O179" s="1183"/>
      <c r="P179" s="1183">
        <f>'Data &amp; hypothesis Adults'!D146</f>
        <v>0</v>
      </c>
      <c r="Q179" s="1183">
        <f>'Data &amp; hypothesis Adults'!D144</f>
        <v>0</v>
      </c>
      <c r="R179" s="1184">
        <f>'Data &amp; hypothesis Adults'!D145</f>
        <v>0</v>
      </c>
      <c r="S179" s="1184">
        <f>'Data &amp; hypothesis Adults'!D145</f>
        <v>0</v>
      </c>
      <c r="T179" s="1183"/>
      <c r="U179" s="1183"/>
      <c r="V179" s="1183">
        <f>'Data &amp; hypothesis Adults'!D148</f>
        <v>0</v>
      </c>
      <c r="W179" s="1183">
        <f>V179+X179+Z179</f>
        <v>0</v>
      </c>
      <c r="X179" s="1183">
        <f>'Data &amp; hypothesis Adults'!D149</f>
        <v>0</v>
      </c>
      <c r="Y179" s="1183">
        <f>'Data &amp; hypothesis Adults'!D150</f>
        <v>0</v>
      </c>
      <c r="Z179" s="1183">
        <f>'Data &amp; hypothesis Adults'!D151</f>
        <v>0</v>
      </c>
      <c r="AA179" s="1183">
        <f>'Data &amp; hypothesis Adults'!D152</f>
        <v>0</v>
      </c>
      <c r="AB179" s="1183">
        <f>'Data &amp; hypothesis Adults'!D153</f>
        <v>0</v>
      </c>
      <c r="AC179" s="1169"/>
      <c r="AD179" s="1169"/>
      <c r="AE179" s="1169"/>
      <c r="AF179" s="1169"/>
    </row>
    <row r="180" spans="2:32" x14ac:dyDescent="0.2">
      <c r="B180" s="1172"/>
      <c r="C180" s="1165" t="str">
        <f>'TRAD-Adults YEAR(1)'!B80</f>
        <v>Schémas</v>
      </c>
      <c r="D180" s="1172"/>
      <c r="E180" s="1172"/>
      <c r="F180" s="1172"/>
      <c r="G180" s="1172"/>
      <c r="H180" s="1172"/>
      <c r="I180" s="1172"/>
      <c r="J180" s="1172"/>
      <c r="K180" s="1172"/>
      <c r="L180" s="1172"/>
      <c r="M180" s="1172"/>
      <c r="N180" s="1172"/>
      <c r="O180" s="1172"/>
      <c r="P180" s="1172"/>
      <c r="Q180" s="1172"/>
      <c r="R180" s="1179"/>
      <c r="S180" s="1179"/>
      <c r="T180" s="1172"/>
      <c r="U180" s="1172"/>
      <c r="V180" s="1172"/>
      <c r="W180" s="1172"/>
      <c r="X180" s="1172"/>
      <c r="Y180" s="1172"/>
      <c r="Z180" s="1172"/>
      <c r="AA180" s="1172"/>
      <c r="AB180" s="1172"/>
      <c r="AC180" s="1172"/>
      <c r="AD180" s="1172"/>
      <c r="AE180" s="1172"/>
      <c r="AF180" s="1172"/>
    </row>
    <row r="181" spans="2:32" ht="15" x14ac:dyDescent="0.25">
      <c r="B181" s="1174" t="str">
        <f>'TRAD-Adults YEAR(1)'!B10</f>
        <v>1ères lignes</v>
      </c>
      <c r="C181" s="1166" t="str">
        <f>C10</f>
        <v>AZT+3TC+NVP</v>
      </c>
      <c r="D181" s="1175" t="str">
        <f>'Data &amp; hypothesis Adults'!E200</f>
        <v>X</v>
      </c>
      <c r="E181" s="1175">
        <f>'Data &amp; hypothesis Adults'!F200</f>
        <v>0</v>
      </c>
      <c r="F181" s="1175">
        <f>'Data &amp; hypothesis Adults'!G200</f>
        <v>0</v>
      </c>
      <c r="G181" s="1175">
        <f>'Data &amp; hypothesis Adults'!H200</f>
        <v>0</v>
      </c>
      <c r="H181" s="1175">
        <f>'Data &amp; hypothesis Adults'!I200</f>
        <v>0</v>
      </c>
      <c r="I181" s="1175">
        <f>'Data &amp; hypothesis Adults'!J200</f>
        <v>0</v>
      </c>
      <c r="J181" s="1175">
        <f>'Data &amp; hypothesis Adults'!K200</f>
        <v>0</v>
      </c>
      <c r="K181" s="1175">
        <f>'Data &amp; hypothesis Adults'!L200</f>
        <v>0</v>
      </c>
      <c r="L181" s="1175">
        <f>'Data &amp; hypothesis Adults'!M200</f>
        <v>0</v>
      </c>
      <c r="M181" s="1175">
        <f>'Data &amp; hypothesis Adults'!N200</f>
        <v>0</v>
      </c>
      <c r="N181" s="1175">
        <f>'Data &amp; hypothesis Adults'!O200</f>
        <v>0</v>
      </c>
      <c r="O181" s="1175">
        <f>'Data &amp; hypothesis Adults'!P200</f>
        <v>0</v>
      </c>
      <c r="P181" s="1175">
        <f>'Data &amp; hypothesis Adults'!Q200</f>
        <v>0</v>
      </c>
      <c r="Q181" s="1175">
        <f>'Data &amp; hypothesis Adults'!R200</f>
        <v>0</v>
      </c>
      <c r="R181" s="1175">
        <f>'Data &amp; hypothesis Adults'!S200</f>
        <v>0</v>
      </c>
      <c r="S181" s="1175">
        <f>'Data &amp; hypothesis Adults'!T200</f>
        <v>0</v>
      </c>
      <c r="T181" s="1175">
        <f>'Data &amp; hypothesis Adults'!U200</f>
        <v>0</v>
      </c>
      <c r="U181" s="1175">
        <f>'Data &amp; hypothesis Adults'!V200</f>
        <v>0</v>
      </c>
      <c r="V181" s="1175">
        <f>'Data &amp; hypothesis Adults'!W200</f>
        <v>0</v>
      </c>
      <c r="W181" s="1175">
        <f>'Data &amp; hypothesis Adults'!X200</f>
        <v>0</v>
      </c>
      <c r="X181" s="1175">
        <f>'Data &amp; hypothesis Adults'!Y200</f>
        <v>0</v>
      </c>
      <c r="Y181" s="1175">
        <f>'Data &amp; hypothesis Adults'!Z200</f>
        <v>0</v>
      </c>
      <c r="Z181" s="1175">
        <f>'Data &amp; hypothesis Adults'!AA200</f>
        <v>0</v>
      </c>
      <c r="AA181" s="1175">
        <f>'Data &amp; hypothesis Adults'!AB200</f>
        <v>0</v>
      </c>
      <c r="AB181" s="1175">
        <f>'Data &amp; hypothesis Adults'!AC200</f>
        <v>0</v>
      </c>
      <c r="AC181" s="1177">
        <f t="shared" ref="AC181:AC194" si="58">D10</f>
        <v>10296.517095596608</v>
      </c>
      <c r="AD181" s="1172">
        <f>E39</f>
        <v>0</v>
      </c>
      <c r="AE181" s="1192"/>
      <c r="AF181" s="1199" t="e">
        <f>-F110/$D$6</f>
        <v>#DIV/0!</v>
      </c>
    </row>
    <row r="182" spans="2:32" ht="15" x14ac:dyDescent="0.25">
      <c r="B182" s="1174"/>
      <c r="C182" s="1166" t="str">
        <f t="shared" ref="C182:C197" si="59">C11</f>
        <v>AZT+3TC+EFV</v>
      </c>
      <c r="D182" s="1175">
        <f>'Data &amp; hypothesis Adults'!E201</f>
        <v>0</v>
      </c>
      <c r="E182" s="1175">
        <f>'Data &amp; hypothesis Adults'!F201</f>
        <v>0</v>
      </c>
      <c r="F182" s="1175">
        <f>'Data &amp; hypothesis Adults'!G201</f>
        <v>0</v>
      </c>
      <c r="G182" s="1175" t="str">
        <f>'Data &amp; hypothesis Adults'!H201</f>
        <v>X</v>
      </c>
      <c r="H182" s="1175">
        <f>'Data &amp; hypothesis Adults'!I201</f>
        <v>0</v>
      </c>
      <c r="I182" s="1175">
        <f>'Data &amp; hypothesis Adults'!J201</f>
        <v>0</v>
      </c>
      <c r="J182" s="1175">
        <f>'Data &amp; hypothesis Adults'!K201</f>
        <v>0</v>
      </c>
      <c r="K182" s="1175">
        <f>'Data &amp; hypothesis Adults'!L201</f>
        <v>0</v>
      </c>
      <c r="L182" s="1175">
        <f>'Data &amp; hypothesis Adults'!M201</f>
        <v>0</v>
      </c>
      <c r="M182" s="1175" t="str">
        <f>'Data &amp; hypothesis Adults'!N201</f>
        <v>X</v>
      </c>
      <c r="N182" s="1175">
        <f>'Data &amp; hypothesis Adults'!O201</f>
        <v>0</v>
      </c>
      <c r="O182" s="1175">
        <f>'Data &amp; hypothesis Adults'!P201</f>
        <v>0</v>
      </c>
      <c r="P182" s="1175">
        <f>'Data &amp; hypothesis Adults'!Q201</f>
        <v>0</v>
      </c>
      <c r="Q182" s="1175">
        <f>'Data &amp; hypothesis Adults'!R201</f>
        <v>0</v>
      </c>
      <c r="R182" s="1175">
        <f>'Data &amp; hypothesis Adults'!S201</f>
        <v>0</v>
      </c>
      <c r="S182" s="1175">
        <f>'Data &amp; hypothesis Adults'!T201</f>
        <v>0</v>
      </c>
      <c r="T182" s="1175">
        <f>'Data &amp; hypothesis Adults'!U201</f>
        <v>0</v>
      </c>
      <c r="U182" s="1175">
        <f>'Data &amp; hypothesis Adults'!V201</f>
        <v>0</v>
      </c>
      <c r="V182" s="1175">
        <f>'Data &amp; hypothesis Adults'!W201</f>
        <v>0</v>
      </c>
      <c r="W182" s="1175">
        <f>'Data &amp; hypothesis Adults'!X201</f>
        <v>0</v>
      </c>
      <c r="X182" s="1175">
        <f>'Data &amp; hypothesis Adults'!Y201</f>
        <v>0</v>
      </c>
      <c r="Y182" s="1175">
        <f>'Data &amp; hypothesis Adults'!Z201</f>
        <v>0</v>
      </c>
      <c r="Z182" s="1175">
        <f>'Data &amp; hypothesis Adults'!AA201</f>
        <v>0</v>
      </c>
      <c r="AA182" s="1175">
        <f>'Data &amp; hypothesis Adults'!AB201</f>
        <v>0</v>
      </c>
      <c r="AB182" s="1175">
        <f>'Data &amp; hypothesis Adults'!AC201</f>
        <v>0</v>
      </c>
      <c r="AC182" s="1172">
        <f t="shared" si="58"/>
        <v>1329.7939619901952</v>
      </c>
      <c r="AD182" s="1172">
        <f>E40</f>
        <v>0</v>
      </c>
      <c r="AE182" s="1192"/>
      <c r="AF182" s="1199" t="e">
        <f>-F111/$D$6</f>
        <v>#DIV/0!</v>
      </c>
    </row>
    <row r="183" spans="2:32" ht="15" x14ac:dyDescent="0.25">
      <c r="B183" s="1174"/>
      <c r="C183" s="1166" t="str">
        <f t="shared" si="59"/>
        <v>AZT+3TC+ABC</v>
      </c>
      <c r="D183" s="1175">
        <f>'Data &amp; hypothesis Adults'!E202</f>
        <v>0</v>
      </c>
      <c r="E183" s="1175" t="str">
        <f>'Data &amp; hypothesis Adults'!F202</f>
        <v>X</v>
      </c>
      <c r="F183" s="1175">
        <f>'Data &amp; hypothesis Adults'!G202</f>
        <v>0</v>
      </c>
      <c r="G183" s="1175">
        <f>'Data &amp; hypothesis Adults'!H202</f>
        <v>0</v>
      </c>
      <c r="H183" s="1175">
        <f>'Data &amp; hypothesis Adults'!I202</f>
        <v>0</v>
      </c>
      <c r="I183" s="1175">
        <f>'Data &amp; hypothesis Adults'!J202</f>
        <v>0</v>
      </c>
      <c r="J183" s="1175">
        <f>'Data &amp; hypothesis Adults'!K202</f>
        <v>0</v>
      </c>
      <c r="K183" s="1175">
        <f>'Data &amp; hypothesis Adults'!L202</f>
        <v>0</v>
      </c>
      <c r="L183" s="1175">
        <f>'Data &amp; hypothesis Adults'!M202</f>
        <v>0</v>
      </c>
      <c r="M183" s="1175">
        <f>'Data &amp; hypothesis Adults'!N202</f>
        <v>0</v>
      </c>
      <c r="N183" s="1175">
        <f>'Data &amp; hypothesis Adults'!O202</f>
        <v>0</v>
      </c>
      <c r="O183" s="1175">
        <f>'Data &amp; hypothesis Adults'!P202</f>
        <v>0</v>
      </c>
      <c r="P183" s="1175">
        <f>'Data &amp; hypothesis Adults'!Q202</f>
        <v>0</v>
      </c>
      <c r="Q183" s="1175">
        <f>'Data &amp; hypothesis Adults'!R202</f>
        <v>0</v>
      </c>
      <c r="R183" s="1175">
        <f>'Data &amp; hypothesis Adults'!S202</f>
        <v>0</v>
      </c>
      <c r="S183" s="1175">
        <f>'Data &amp; hypothesis Adults'!T202</f>
        <v>0</v>
      </c>
      <c r="T183" s="1175">
        <f>'Data &amp; hypothesis Adults'!U202</f>
        <v>0</v>
      </c>
      <c r="U183" s="1175">
        <f>'Data &amp; hypothesis Adults'!V202</f>
        <v>0</v>
      </c>
      <c r="V183" s="1175">
        <f>'Data &amp; hypothesis Adults'!W202</f>
        <v>0</v>
      </c>
      <c r="W183" s="1175">
        <f>'Data &amp; hypothesis Adults'!X202</f>
        <v>0</v>
      </c>
      <c r="X183" s="1175">
        <f>'Data &amp; hypothesis Adults'!Y202</f>
        <v>0</v>
      </c>
      <c r="Y183" s="1175">
        <f>'Data &amp; hypothesis Adults'!Z202</f>
        <v>0</v>
      </c>
      <c r="Z183" s="1175">
        <f>'Data &amp; hypothesis Adults'!AA202</f>
        <v>0</v>
      </c>
      <c r="AA183" s="1175">
        <f>'Data &amp; hypothesis Adults'!AB202</f>
        <v>0</v>
      </c>
      <c r="AB183" s="1175">
        <f>'Data &amp; hypothesis Adults'!AC202</f>
        <v>0</v>
      </c>
      <c r="AC183" s="1172">
        <f t="shared" si="58"/>
        <v>75.02963916189843</v>
      </c>
      <c r="AD183" s="1172">
        <f>E41</f>
        <v>0</v>
      </c>
      <c r="AE183" s="1192"/>
      <c r="AF183" s="1199" t="e">
        <f>-F112/$D$6</f>
        <v>#DIV/0!</v>
      </c>
    </row>
    <row r="184" spans="2:32" ht="15" x14ac:dyDescent="0.25">
      <c r="B184" s="1174"/>
      <c r="C184" s="1166" t="str">
        <f t="shared" si="59"/>
        <v>AZT+3TC+LPV/r</v>
      </c>
      <c r="D184" s="1175">
        <f>'Data &amp; hypothesis Adults'!E203</f>
        <v>0</v>
      </c>
      <c r="E184" s="1175">
        <f>'Data &amp; hypothesis Adults'!F203</f>
        <v>0</v>
      </c>
      <c r="F184" s="1175">
        <f>'Data &amp; hypothesis Adults'!G203</f>
        <v>0</v>
      </c>
      <c r="G184" s="1175" t="str">
        <f>'Data &amp; hypothesis Adults'!H203</f>
        <v>X</v>
      </c>
      <c r="H184" s="1175">
        <f>'Data &amp; hypothesis Adults'!I203</f>
        <v>0</v>
      </c>
      <c r="I184" s="1175">
        <f>'Data &amp; hypothesis Adults'!J203</f>
        <v>0</v>
      </c>
      <c r="J184" s="1175">
        <f>'Data &amp; hypothesis Adults'!K203</f>
        <v>0</v>
      </c>
      <c r="K184" s="1175">
        <f>'Data &amp; hypothesis Adults'!L203</f>
        <v>0</v>
      </c>
      <c r="L184" s="1175">
        <f>'Data &amp; hypothesis Adults'!M203</f>
        <v>0</v>
      </c>
      <c r="M184" s="1175">
        <f>'Data &amp; hypothesis Adults'!N203</f>
        <v>0</v>
      </c>
      <c r="N184" s="1175">
        <f>'Data &amp; hypothesis Adults'!O203</f>
        <v>0</v>
      </c>
      <c r="O184" s="1175">
        <f>'Data &amp; hypothesis Adults'!P203</f>
        <v>0</v>
      </c>
      <c r="P184" s="1175">
        <f>'Data &amp; hypothesis Adults'!Q203</f>
        <v>0</v>
      </c>
      <c r="Q184" s="1175">
        <f>'Data &amp; hypothesis Adults'!R203</f>
        <v>0</v>
      </c>
      <c r="R184" s="1175">
        <f>'Data &amp; hypothesis Adults'!S203</f>
        <v>0</v>
      </c>
      <c r="S184" s="1175">
        <f>'Data &amp; hypothesis Adults'!T203</f>
        <v>0</v>
      </c>
      <c r="T184" s="1175">
        <f>'Data &amp; hypothesis Adults'!U203</f>
        <v>0</v>
      </c>
      <c r="U184" s="1175" t="str">
        <f>'Data &amp; hypothesis Adults'!V203</f>
        <v>X</v>
      </c>
      <c r="V184" s="1175">
        <f>'Data &amp; hypothesis Adults'!W203</f>
        <v>0</v>
      </c>
      <c r="W184" s="1175">
        <f>'Data &amp; hypothesis Adults'!X203</f>
        <v>0</v>
      </c>
      <c r="X184" s="1175">
        <f>'Data &amp; hypothesis Adults'!Y203</f>
        <v>0</v>
      </c>
      <c r="Y184" s="1175">
        <f>'Data &amp; hypothesis Adults'!Z203</f>
        <v>0</v>
      </c>
      <c r="Z184" s="1175">
        <f>'Data &amp; hypothesis Adults'!AA203</f>
        <v>0</v>
      </c>
      <c r="AA184" s="1175">
        <f>'Data &amp; hypothesis Adults'!AB203</f>
        <v>0</v>
      </c>
      <c r="AB184" s="1175">
        <f>'Data &amp; hypothesis Adults'!AC203</f>
        <v>0</v>
      </c>
      <c r="AC184" s="1172">
        <f t="shared" si="58"/>
        <v>658.6395744434933</v>
      </c>
      <c r="AD184" s="1172">
        <f>E42</f>
        <v>0</v>
      </c>
      <c r="AE184" s="1192"/>
      <c r="AF184" s="1199" t="e">
        <f>-F113/$D$6</f>
        <v>#DIV/0!</v>
      </c>
    </row>
    <row r="185" spans="2:32" ht="15" x14ac:dyDescent="0.25">
      <c r="B185" s="1174"/>
      <c r="C185" s="1166" t="str">
        <f t="shared" si="59"/>
        <v>ABC+3TC+EFV</v>
      </c>
      <c r="D185" s="1175">
        <f>'Data &amp; hypothesis Adults'!E204</f>
        <v>0</v>
      </c>
      <c r="E185" s="1175">
        <f>'Data &amp; hypothesis Adults'!F204</f>
        <v>0</v>
      </c>
      <c r="F185" s="1175">
        <f>'Data &amp; hypothesis Adults'!G204</f>
        <v>0</v>
      </c>
      <c r="G185" s="1175">
        <f>'Data &amp; hypothesis Adults'!H204</f>
        <v>0</v>
      </c>
      <c r="H185" s="1175" t="str">
        <f>'Data &amp; hypothesis Adults'!I204</f>
        <v>X</v>
      </c>
      <c r="I185" s="1175">
        <f>'Data &amp; hypothesis Adults'!J204</f>
        <v>0</v>
      </c>
      <c r="J185" s="1175">
        <f>'Data &amp; hypothesis Adults'!K204</f>
        <v>0</v>
      </c>
      <c r="K185" s="1175">
        <f>'Data &amp; hypothesis Adults'!L204</f>
        <v>0</v>
      </c>
      <c r="L185" s="1175">
        <f>'Data &amp; hypothesis Adults'!M204</f>
        <v>0</v>
      </c>
      <c r="M185" s="1175" t="str">
        <f>'Data &amp; hypothesis Adults'!N204</f>
        <v>X</v>
      </c>
      <c r="N185" s="1175">
        <f>'Data &amp; hypothesis Adults'!O204</f>
        <v>0</v>
      </c>
      <c r="O185" s="1175">
        <f>'Data &amp; hypothesis Adults'!P204</f>
        <v>0</v>
      </c>
      <c r="P185" s="1175">
        <f>'Data &amp; hypothesis Adults'!Q204</f>
        <v>0</v>
      </c>
      <c r="Q185" s="1175">
        <f>'Data &amp; hypothesis Adults'!R204</f>
        <v>0</v>
      </c>
      <c r="R185" s="1175">
        <f>'Data &amp; hypothesis Adults'!S204</f>
        <v>0</v>
      </c>
      <c r="S185" s="1175">
        <f>'Data &amp; hypothesis Adults'!T204</f>
        <v>0</v>
      </c>
      <c r="T185" s="1175">
        <f>'Data &amp; hypothesis Adults'!U204</f>
        <v>0</v>
      </c>
      <c r="U185" s="1175">
        <f>'Data &amp; hypothesis Adults'!V204</f>
        <v>0</v>
      </c>
      <c r="V185" s="1175">
        <f>'Data &amp; hypothesis Adults'!W204</f>
        <v>0</v>
      </c>
      <c r="W185" s="1175">
        <f>'Data &amp; hypothesis Adults'!X204</f>
        <v>0</v>
      </c>
      <c r="X185" s="1175">
        <f>'Data &amp; hypothesis Adults'!Y204</f>
        <v>0</v>
      </c>
      <c r="Y185" s="1175">
        <f>'Data &amp; hypothesis Adults'!Z204</f>
        <v>0</v>
      </c>
      <c r="Z185" s="1175">
        <f>'Data &amp; hypothesis Adults'!AA204</f>
        <v>0</v>
      </c>
      <c r="AA185" s="1175">
        <f>'Data &amp; hypothesis Adults'!AB204</f>
        <v>0</v>
      </c>
      <c r="AB185" s="1175">
        <f>'Data &amp; hypothesis Adults'!AC204</f>
        <v>0</v>
      </c>
      <c r="AC185" s="1172">
        <f t="shared" si="58"/>
        <v>41.686423948685352</v>
      </c>
      <c r="AD185" s="1172">
        <f>E43</f>
        <v>0</v>
      </c>
      <c r="AE185" s="1192"/>
      <c r="AF185" s="1199" t="e">
        <f>-F114/$D$6</f>
        <v>#DIV/0!</v>
      </c>
    </row>
    <row r="186" spans="2:32" ht="15" x14ac:dyDescent="0.25">
      <c r="B186" s="1174"/>
      <c r="C186" s="1166" t="str">
        <f t="shared" si="59"/>
        <v>TDF+FTC/3TC+EFV</v>
      </c>
      <c r="D186" s="1175">
        <f>'Data &amp; hypothesis Adults'!E205</f>
        <v>0</v>
      </c>
      <c r="E186" s="1175">
        <f>'Data &amp; hypothesis Adults'!F205</f>
        <v>0</v>
      </c>
      <c r="F186" s="1175">
        <f>'Data &amp; hypothesis Adults'!G205</f>
        <v>0</v>
      </c>
      <c r="G186" s="1175">
        <f>'Data &amp; hypothesis Adults'!H205</f>
        <v>0</v>
      </c>
      <c r="H186" s="1175">
        <f>'Data &amp; hypothesis Adults'!I205</f>
        <v>0</v>
      </c>
      <c r="I186" s="1175">
        <f>'Data &amp; hypothesis Adults'!J205</f>
        <v>0</v>
      </c>
      <c r="J186" s="1175">
        <f>'Data &amp; hypothesis Adults'!K205</f>
        <v>0</v>
      </c>
      <c r="K186" s="1175" t="str">
        <f>'Data &amp; hypothesis Adults'!L205</f>
        <v>X</v>
      </c>
      <c r="L186" s="1175">
        <f>'Data &amp; hypothesis Adults'!M205</f>
        <v>0</v>
      </c>
      <c r="M186" s="1175">
        <f>'Data &amp; hypothesis Adults'!N205</f>
        <v>0</v>
      </c>
      <c r="N186" s="1175">
        <f>'Data &amp; hypothesis Adults'!O205</f>
        <v>0</v>
      </c>
      <c r="O186" s="1175">
        <f>'Data &amp; hypothesis Adults'!P205</f>
        <v>0</v>
      </c>
      <c r="P186" s="1175">
        <f>'Data &amp; hypothesis Adults'!Q205</f>
        <v>0</v>
      </c>
      <c r="Q186" s="1175">
        <f>'Data &amp; hypothesis Adults'!R205</f>
        <v>0</v>
      </c>
      <c r="R186" s="1175">
        <f>'Data &amp; hypothesis Adults'!S205</f>
        <v>0</v>
      </c>
      <c r="S186" s="1175">
        <f>'Data &amp; hypothesis Adults'!T205</f>
        <v>0</v>
      </c>
      <c r="T186" s="1175">
        <f>'Data &amp; hypothesis Adults'!U205</f>
        <v>0</v>
      </c>
      <c r="U186" s="1175">
        <f>'Data &amp; hypothesis Adults'!V205</f>
        <v>0</v>
      </c>
      <c r="V186" s="1175">
        <f>'Data &amp; hypothesis Adults'!W205</f>
        <v>0</v>
      </c>
      <c r="W186" s="1175">
        <f>'Data &amp; hypothesis Adults'!X205</f>
        <v>0</v>
      </c>
      <c r="X186" s="1175">
        <f>'Data &amp; hypothesis Adults'!Y205</f>
        <v>0</v>
      </c>
      <c r="Y186" s="1175">
        <f>'Data &amp; hypothesis Adults'!Z205</f>
        <v>0</v>
      </c>
      <c r="Z186" s="1175">
        <f>'Data &amp; hypothesis Adults'!AA205</f>
        <v>0</v>
      </c>
      <c r="AA186" s="1175">
        <f>'Data &amp; hypothesis Adults'!AB205</f>
        <v>0</v>
      </c>
      <c r="AB186" s="1175">
        <f>'Data &amp; hypothesis Adults'!AC205</f>
        <v>0</v>
      </c>
      <c r="AC186" s="1172">
        <f t="shared" si="58"/>
        <v>5735.5069323314656</v>
      </c>
      <c r="AD186" s="1172">
        <f t="shared" ref="AD186:AD187" si="60">E44</f>
        <v>0</v>
      </c>
      <c r="AE186" s="1192"/>
      <c r="AF186" s="1199" t="e">
        <f t="shared" ref="AF186:AF190" si="61">-F115/$D$6</f>
        <v>#DIV/0!</v>
      </c>
    </row>
    <row r="187" spans="2:32" ht="15" x14ac:dyDescent="0.25">
      <c r="B187" s="1174"/>
      <c r="C187" s="1166" t="str">
        <f t="shared" si="59"/>
        <v>TDF+FTC/3TC+LPV/r</v>
      </c>
      <c r="D187" s="1175">
        <f>'Data &amp; hypothesis Adults'!E206</f>
        <v>0</v>
      </c>
      <c r="E187" s="1175">
        <f>'Data &amp; hypothesis Adults'!F206</f>
        <v>0</v>
      </c>
      <c r="F187" s="1175">
        <f>'Data &amp; hypothesis Adults'!G206</f>
        <v>0</v>
      </c>
      <c r="G187" s="1175">
        <f>'Data &amp; hypothesis Adults'!H206</f>
        <v>0</v>
      </c>
      <c r="H187" s="1175">
        <f>'Data &amp; hypothesis Adults'!I206</f>
        <v>0</v>
      </c>
      <c r="I187" s="1175">
        <f>'Data &amp; hypothesis Adults'!J206</f>
        <v>0</v>
      </c>
      <c r="J187" s="1175">
        <f>'Data &amp; hypothesis Adults'!K206</f>
        <v>0</v>
      </c>
      <c r="K187" s="1175">
        <f>'Data &amp; hypothesis Adults'!L206</f>
        <v>0</v>
      </c>
      <c r="L187" s="1175" t="str">
        <f>'Data &amp; hypothesis Adults'!M206</f>
        <v>X</v>
      </c>
      <c r="M187" s="1175">
        <f>'Data &amp; hypothesis Adults'!N206</f>
        <v>0</v>
      </c>
      <c r="N187" s="1175">
        <f>'Data &amp; hypothesis Adults'!O206</f>
        <v>0</v>
      </c>
      <c r="O187" s="1175">
        <f>'Data &amp; hypothesis Adults'!P206</f>
        <v>0</v>
      </c>
      <c r="P187" s="1175">
        <f>'Data &amp; hypothesis Adults'!Q206</f>
        <v>0</v>
      </c>
      <c r="Q187" s="1175">
        <f>'Data &amp; hypothesis Adults'!R206</f>
        <v>0</v>
      </c>
      <c r="R187" s="1175">
        <f>'Data &amp; hypothesis Adults'!S206</f>
        <v>0</v>
      </c>
      <c r="S187" s="1175">
        <f>'Data &amp; hypothesis Adults'!T206</f>
        <v>0</v>
      </c>
      <c r="T187" s="1175">
        <f>'Data &amp; hypothesis Adults'!U206</f>
        <v>0</v>
      </c>
      <c r="U187" s="1175" t="str">
        <f>'Data &amp; hypothesis Adults'!V206</f>
        <v>X</v>
      </c>
      <c r="V187" s="1175">
        <f>'Data &amp; hypothesis Adults'!W206</f>
        <v>0</v>
      </c>
      <c r="W187" s="1175">
        <f>'Data &amp; hypothesis Adults'!X206</f>
        <v>0</v>
      </c>
      <c r="X187" s="1175">
        <f>'Data &amp; hypothesis Adults'!Y206</f>
        <v>0</v>
      </c>
      <c r="Y187" s="1175">
        <f>'Data &amp; hypothesis Adults'!Z206</f>
        <v>0</v>
      </c>
      <c r="Z187" s="1175">
        <f>'Data &amp; hypothesis Adults'!AA206</f>
        <v>0</v>
      </c>
      <c r="AA187" s="1175">
        <f>'Data &amp; hypothesis Adults'!AB206</f>
        <v>0</v>
      </c>
      <c r="AB187" s="1175">
        <f>'Data &amp; hypothesis Adults'!AC206</f>
        <v>0</v>
      </c>
      <c r="AC187" s="1172">
        <f t="shared" si="58"/>
        <v>0</v>
      </c>
      <c r="AD187" s="1172">
        <f t="shared" si="60"/>
        <v>0</v>
      </c>
      <c r="AE187" s="1192"/>
      <c r="AF187" s="1199" t="e">
        <f t="shared" si="61"/>
        <v>#DIV/0!</v>
      </c>
    </row>
    <row r="188" spans="2:32" ht="15" x14ac:dyDescent="0.25">
      <c r="B188" s="1174"/>
      <c r="C188" s="1166" t="str">
        <f t="shared" si="59"/>
        <v>ABC+3TC+LPV/r</v>
      </c>
      <c r="D188" s="1175">
        <f>'Data &amp; hypothesis Adults'!E207</f>
        <v>0</v>
      </c>
      <c r="E188" s="1175">
        <f>'Data &amp; hypothesis Adults'!F207</f>
        <v>0</v>
      </c>
      <c r="F188" s="1175">
        <f>'Data &amp; hypothesis Adults'!G207</f>
        <v>0</v>
      </c>
      <c r="G188" s="1175">
        <f>'Data &amp; hypothesis Adults'!H207</f>
        <v>0</v>
      </c>
      <c r="H188" s="1175" t="str">
        <f>'Data &amp; hypothesis Adults'!I207</f>
        <v>X</v>
      </c>
      <c r="I188" s="1175">
        <f>'Data &amp; hypothesis Adults'!J207</f>
        <v>0</v>
      </c>
      <c r="J188" s="1175">
        <f>'Data &amp; hypothesis Adults'!K207</f>
        <v>0</v>
      </c>
      <c r="K188" s="1175">
        <f>'Data &amp; hypothesis Adults'!L207</f>
        <v>0</v>
      </c>
      <c r="L188" s="1175">
        <f>'Data &amp; hypothesis Adults'!M207</f>
        <v>0</v>
      </c>
      <c r="M188" s="1175">
        <f>'Data &amp; hypothesis Adults'!N207</f>
        <v>0</v>
      </c>
      <c r="N188" s="1175">
        <f>'Data &amp; hypothesis Adults'!O207</f>
        <v>0</v>
      </c>
      <c r="O188" s="1175">
        <f>'Data &amp; hypothesis Adults'!P207</f>
        <v>0</v>
      </c>
      <c r="P188" s="1175">
        <f>'Data &amp; hypothesis Adults'!Q207</f>
        <v>0</v>
      </c>
      <c r="Q188" s="1175">
        <f>'Data &amp; hypothesis Adults'!R207</f>
        <v>0</v>
      </c>
      <c r="R188" s="1175">
        <f>'Data &amp; hypothesis Adults'!S207</f>
        <v>0</v>
      </c>
      <c r="S188" s="1175">
        <f>'Data &amp; hypothesis Adults'!T207</f>
        <v>0</v>
      </c>
      <c r="T188" s="1175">
        <f>'Data &amp; hypothesis Adults'!U207</f>
        <v>0</v>
      </c>
      <c r="U188" s="1175" t="str">
        <f>'Data &amp; hypothesis Adults'!V207</f>
        <v>X</v>
      </c>
      <c r="V188" s="1175">
        <f>'Data &amp; hypothesis Adults'!W207</f>
        <v>0</v>
      </c>
      <c r="W188" s="1175">
        <f>'Data &amp; hypothesis Adults'!X207</f>
        <v>0</v>
      </c>
      <c r="X188" s="1175">
        <f>'Data &amp; hypothesis Adults'!Y207</f>
        <v>0</v>
      </c>
      <c r="Y188" s="1175">
        <f>'Data &amp; hypothesis Adults'!Z207</f>
        <v>0</v>
      </c>
      <c r="Z188" s="1175">
        <f>'Data &amp; hypothesis Adults'!AA207</f>
        <v>0</v>
      </c>
      <c r="AA188" s="1175">
        <f>'Data &amp; hypothesis Adults'!AB207</f>
        <v>0</v>
      </c>
      <c r="AB188" s="1175">
        <f>'Data &amp; hypothesis Adults'!AC207</f>
        <v>0</v>
      </c>
      <c r="AC188" s="1172">
        <f t="shared" si="58"/>
        <v>23.619344931387424</v>
      </c>
      <c r="AD188" s="1192"/>
      <c r="AE188" s="1192"/>
      <c r="AF188" s="1199" t="e">
        <f t="shared" si="61"/>
        <v>#DIV/0!</v>
      </c>
    </row>
    <row r="189" spans="2:32" ht="15" x14ac:dyDescent="0.25">
      <c r="B189" s="1174"/>
      <c r="C189" s="1166" t="str">
        <f t="shared" si="59"/>
        <v>TDF+3TC/FTC+ABC</v>
      </c>
      <c r="D189" s="1175">
        <f>'Data &amp; hypothesis Adults'!E208</f>
        <v>0</v>
      </c>
      <c r="E189" s="1175">
        <f>'Data &amp; hypothesis Adults'!F208</f>
        <v>0</v>
      </c>
      <c r="F189" s="1175">
        <f>'Data &amp; hypothesis Adults'!G208</f>
        <v>0</v>
      </c>
      <c r="G189" s="1175">
        <f>'Data &amp; hypothesis Adults'!H208</f>
        <v>0</v>
      </c>
      <c r="H189" s="1175">
        <f>'Data &amp; hypothesis Adults'!I208</f>
        <v>0</v>
      </c>
      <c r="I189" s="1175">
        <f>'Data &amp; hypothesis Adults'!J208</f>
        <v>0</v>
      </c>
      <c r="J189" s="1175">
        <f>'Data &amp; hypothesis Adults'!K208</f>
        <v>0</v>
      </c>
      <c r="K189" s="1175">
        <f>'Data &amp; hypothesis Adults'!L208</f>
        <v>0</v>
      </c>
      <c r="L189" s="1175">
        <f>'Data &amp; hypothesis Adults'!M208</f>
        <v>0</v>
      </c>
      <c r="M189" s="1175">
        <f>'Data &amp; hypothesis Adults'!N208</f>
        <v>0</v>
      </c>
      <c r="N189" s="1175">
        <f>'Data &amp; hypothesis Adults'!O208</f>
        <v>0</v>
      </c>
      <c r="O189" s="1175">
        <f>'Data &amp; hypothesis Adults'!P208</f>
        <v>0</v>
      </c>
      <c r="P189" s="1175">
        <f>'Data &amp; hypothesis Adults'!Q208</f>
        <v>0</v>
      </c>
      <c r="Q189" s="1175">
        <f>'Data &amp; hypothesis Adults'!R208</f>
        <v>0</v>
      </c>
      <c r="R189" s="1175">
        <f>'Data &amp; hypothesis Adults'!S208</f>
        <v>0</v>
      </c>
      <c r="S189" s="1175">
        <f>'Data &amp; hypothesis Adults'!T208</f>
        <v>0</v>
      </c>
      <c r="T189" s="1175">
        <f>'Data &amp; hypothesis Adults'!U208</f>
        <v>0</v>
      </c>
      <c r="U189" s="1175">
        <f>'Data &amp; hypothesis Adults'!V208</f>
        <v>0</v>
      </c>
      <c r="V189" s="1175">
        <f>'Data &amp; hypothesis Adults'!W208</f>
        <v>0</v>
      </c>
      <c r="W189" s="1175">
        <f>'Data &amp; hypothesis Adults'!X208</f>
        <v>0</v>
      </c>
      <c r="X189" s="1175">
        <f>'Data &amp; hypothesis Adults'!Y208</f>
        <v>0</v>
      </c>
      <c r="Y189" s="1175">
        <f>'Data &amp; hypothesis Adults'!Z208</f>
        <v>0</v>
      </c>
      <c r="Z189" s="1175">
        <f>'Data &amp; hypothesis Adults'!AA208</f>
        <v>0</v>
      </c>
      <c r="AA189" s="1175">
        <f>'Data &amp; hypothesis Adults'!AB208</f>
        <v>0</v>
      </c>
      <c r="AB189" s="1175">
        <f>'Data &amp; hypothesis Adults'!AC208</f>
        <v>0</v>
      </c>
      <c r="AC189" s="1172">
        <f t="shared" si="58"/>
        <v>51.410294230510999</v>
      </c>
      <c r="AD189" s="1172">
        <f>E46</f>
        <v>0</v>
      </c>
      <c r="AE189" s="1192"/>
      <c r="AF189" s="1199" t="e">
        <f t="shared" si="61"/>
        <v>#DIV/0!</v>
      </c>
    </row>
    <row r="190" spans="2:32" ht="15" x14ac:dyDescent="0.25">
      <c r="B190" s="1174"/>
      <c r="C190" s="1166">
        <f t="shared" si="59"/>
        <v>0</v>
      </c>
      <c r="D190" s="1175">
        <f>'Data &amp; hypothesis Adults'!E209</f>
        <v>0</v>
      </c>
      <c r="E190" s="1175">
        <f>'Data &amp; hypothesis Adults'!F209</f>
        <v>0</v>
      </c>
      <c r="F190" s="1175">
        <f>'Data &amp; hypothesis Adults'!G209</f>
        <v>0</v>
      </c>
      <c r="G190" s="1175">
        <f>'Data &amp; hypothesis Adults'!H209</f>
        <v>0</v>
      </c>
      <c r="H190" s="1175">
        <f>'Data &amp; hypothesis Adults'!I209</f>
        <v>0</v>
      </c>
      <c r="I190" s="1175">
        <f>'Data &amp; hypothesis Adults'!J209</f>
        <v>0</v>
      </c>
      <c r="J190" s="1175">
        <f>'Data &amp; hypothesis Adults'!K209</f>
        <v>0</v>
      </c>
      <c r="K190" s="1175">
        <f>'Data &amp; hypothesis Adults'!L209</f>
        <v>0</v>
      </c>
      <c r="L190" s="1175">
        <f>'Data &amp; hypothesis Adults'!M209</f>
        <v>0</v>
      </c>
      <c r="M190" s="1175">
        <f>'Data &amp; hypothesis Adults'!N209</f>
        <v>0</v>
      </c>
      <c r="N190" s="1175">
        <f>'Data &amp; hypothesis Adults'!O209</f>
        <v>0</v>
      </c>
      <c r="O190" s="1175">
        <f>'Data &amp; hypothesis Adults'!P209</f>
        <v>0</v>
      </c>
      <c r="P190" s="1175">
        <f>'Data &amp; hypothesis Adults'!Q209</f>
        <v>0</v>
      </c>
      <c r="Q190" s="1175">
        <f>'Data &amp; hypothesis Adults'!R209</f>
        <v>0</v>
      </c>
      <c r="R190" s="1175">
        <f>'Data &amp; hypothesis Adults'!S209</f>
        <v>0</v>
      </c>
      <c r="S190" s="1175">
        <f>'Data &amp; hypothesis Adults'!T209</f>
        <v>0</v>
      </c>
      <c r="T190" s="1175">
        <f>'Data &amp; hypothesis Adults'!U209</f>
        <v>0</v>
      </c>
      <c r="U190" s="1175">
        <f>'Data &amp; hypothesis Adults'!V209</f>
        <v>0</v>
      </c>
      <c r="V190" s="1175">
        <f>'Data &amp; hypothesis Adults'!W209</f>
        <v>0</v>
      </c>
      <c r="W190" s="1175">
        <f>'Data &amp; hypothesis Adults'!X209</f>
        <v>0</v>
      </c>
      <c r="X190" s="1175">
        <f>'Data &amp; hypothesis Adults'!Y209</f>
        <v>0</v>
      </c>
      <c r="Y190" s="1175">
        <f>'Data &amp; hypothesis Adults'!Z209</f>
        <v>0</v>
      </c>
      <c r="Z190" s="1175">
        <f>'Data &amp; hypothesis Adults'!AA209</f>
        <v>0</v>
      </c>
      <c r="AA190" s="1175">
        <f>'Data &amp; hypothesis Adults'!AB209</f>
        <v>0</v>
      </c>
      <c r="AB190" s="1175">
        <f>'Data &amp; hypothesis Adults'!AC209</f>
        <v>0</v>
      </c>
      <c r="AC190" s="1172">
        <f t="shared" si="58"/>
        <v>0</v>
      </c>
      <c r="AD190" s="1172">
        <f>E48</f>
        <v>0</v>
      </c>
      <c r="AE190" s="1192"/>
      <c r="AF190" s="1199" t="e">
        <f t="shared" si="61"/>
        <v>#DIV/0!</v>
      </c>
    </row>
    <row r="191" spans="2:32" ht="15" x14ac:dyDescent="0.25">
      <c r="B191" s="1174" t="str">
        <f>'TRAD-Adults YEAR(1)'!B11</f>
        <v>2èmes lignes</v>
      </c>
      <c r="C191" s="1166" t="str">
        <f t="shared" si="59"/>
        <v>TDF+FTC/3TC+LPV/r</v>
      </c>
      <c r="D191" s="1175">
        <f>'Data &amp; hypothesis Adults'!E210</f>
        <v>0</v>
      </c>
      <c r="E191" s="1175">
        <f>'Data &amp; hypothesis Adults'!F210</f>
        <v>0</v>
      </c>
      <c r="F191" s="1175">
        <f>'Data &amp; hypothesis Adults'!G210</f>
        <v>0</v>
      </c>
      <c r="G191" s="1175">
        <f>'Data &amp; hypothesis Adults'!H210</f>
        <v>0</v>
      </c>
      <c r="H191" s="1175">
        <f>'Data &amp; hypothesis Adults'!I210</f>
        <v>0</v>
      </c>
      <c r="I191" s="1175">
        <f>'Data &amp; hypothesis Adults'!J210</f>
        <v>0</v>
      </c>
      <c r="J191" s="1175">
        <f>'Data &amp; hypothesis Adults'!K210</f>
        <v>0</v>
      </c>
      <c r="K191" s="1175">
        <f>'Data &amp; hypothesis Adults'!L210</f>
        <v>0</v>
      </c>
      <c r="L191" s="1175" t="str">
        <f>'Data &amp; hypothesis Adults'!M210</f>
        <v>X</v>
      </c>
      <c r="M191" s="1175">
        <f>'Data &amp; hypothesis Adults'!N210</f>
        <v>0</v>
      </c>
      <c r="N191" s="1175">
        <f>'Data &amp; hypothesis Adults'!O210</f>
        <v>0</v>
      </c>
      <c r="O191" s="1175">
        <f>'Data &amp; hypothesis Adults'!P210</f>
        <v>0</v>
      </c>
      <c r="P191" s="1175">
        <f>'Data &amp; hypothesis Adults'!Q210</f>
        <v>0</v>
      </c>
      <c r="Q191" s="1175">
        <f>'Data &amp; hypothesis Adults'!R210</f>
        <v>0</v>
      </c>
      <c r="R191" s="1175">
        <f>'Data &amp; hypothesis Adults'!S210</f>
        <v>0</v>
      </c>
      <c r="S191" s="1175">
        <f>'Data &amp; hypothesis Adults'!T210</f>
        <v>0</v>
      </c>
      <c r="T191" s="1175">
        <f>'Data &amp; hypothesis Adults'!U210</f>
        <v>0</v>
      </c>
      <c r="U191" s="1175" t="str">
        <f>'Data &amp; hypothesis Adults'!V210</f>
        <v>X</v>
      </c>
      <c r="V191" s="1175">
        <f>'Data &amp; hypothesis Adults'!W210</f>
        <v>0</v>
      </c>
      <c r="W191" s="1175">
        <f>'Data &amp; hypothesis Adults'!X210</f>
        <v>0</v>
      </c>
      <c r="X191" s="1175">
        <f>'Data &amp; hypothesis Adults'!Y210</f>
        <v>0</v>
      </c>
      <c r="Y191" s="1175">
        <f>'Data &amp; hypothesis Adults'!Z210</f>
        <v>0</v>
      </c>
      <c r="Z191" s="1175">
        <f>'Data &amp; hypothesis Adults'!AA210</f>
        <v>0</v>
      </c>
      <c r="AA191" s="1175">
        <f>'Data &amp; hypothesis Adults'!AB210</f>
        <v>0</v>
      </c>
      <c r="AB191" s="1175">
        <f>'Data &amp; hypothesis Adults'!AC210</f>
        <v>0</v>
      </c>
      <c r="AC191" s="1172">
        <f t="shared" si="58"/>
        <v>1264.6135333657555</v>
      </c>
      <c r="AD191" s="1192"/>
      <c r="AE191" s="1178" t="e">
        <f>D73</f>
        <v>#DIV/0!</v>
      </c>
      <c r="AF191" s="1200"/>
    </row>
    <row r="192" spans="2:32" ht="15" x14ac:dyDescent="0.25">
      <c r="B192" s="1174"/>
      <c r="C192" s="1166" t="str">
        <f t="shared" si="59"/>
        <v>TDF+FTC/3TC+ATV/r</v>
      </c>
      <c r="D192" s="1175">
        <f>'Data &amp; hypothesis Adults'!E211</f>
        <v>0</v>
      </c>
      <c r="E192" s="1175">
        <f>'Data &amp; hypothesis Adults'!F211</f>
        <v>0</v>
      </c>
      <c r="F192" s="1175">
        <f>'Data &amp; hypothesis Adults'!G211</f>
        <v>0</v>
      </c>
      <c r="G192" s="1175">
        <f>'Data &amp; hypothesis Adults'!H211</f>
        <v>0</v>
      </c>
      <c r="H192" s="1175">
        <f>'Data &amp; hypothesis Adults'!I211</f>
        <v>0</v>
      </c>
      <c r="I192" s="1175">
        <f>'Data &amp; hypothesis Adults'!J211</f>
        <v>0</v>
      </c>
      <c r="J192" s="1175">
        <f>'Data &amp; hypothesis Adults'!K211</f>
        <v>0</v>
      </c>
      <c r="K192" s="1175">
        <f>'Data &amp; hypothesis Adults'!L211</f>
        <v>0</v>
      </c>
      <c r="L192" s="1175" t="str">
        <f>'Data &amp; hypothesis Adults'!M211</f>
        <v>X</v>
      </c>
      <c r="M192" s="1175">
        <f>'Data &amp; hypothesis Adults'!N211</f>
        <v>0</v>
      </c>
      <c r="N192" s="1175">
        <f>'Data &amp; hypothesis Adults'!O211</f>
        <v>0</v>
      </c>
      <c r="O192" s="1175">
        <f>'Data &amp; hypothesis Adults'!P211</f>
        <v>0</v>
      </c>
      <c r="P192" s="1175">
        <f>'Data &amp; hypothesis Adults'!Q211</f>
        <v>0</v>
      </c>
      <c r="Q192" s="1175">
        <f>'Data &amp; hypothesis Adults'!R211</f>
        <v>0</v>
      </c>
      <c r="R192" s="1175">
        <f>'Data &amp; hypothesis Adults'!S211</f>
        <v>0</v>
      </c>
      <c r="S192" s="1175">
        <f>'Data &amp; hypothesis Adults'!T211</f>
        <v>0</v>
      </c>
      <c r="T192" s="1175">
        <f>'Data &amp; hypothesis Adults'!U211</f>
        <v>0</v>
      </c>
      <c r="U192" s="1175">
        <f>'Data &amp; hypothesis Adults'!V211</f>
        <v>0</v>
      </c>
      <c r="V192" s="1175">
        <f>'Data &amp; hypothesis Adults'!W211</f>
        <v>0</v>
      </c>
      <c r="W192" s="1175">
        <f>'Data &amp; hypothesis Adults'!X211</f>
        <v>0</v>
      </c>
      <c r="X192" s="1175">
        <f>'Data &amp; hypothesis Adults'!Y211</f>
        <v>0</v>
      </c>
      <c r="Y192" s="1175" t="str">
        <f>'Data &amp; hypothesis Adults'!Z211</f>
        <v>X</v>
      </c>
      <c r="Z192" s="1175">
        <f>'Data &amp; hypothesis Adults'!AA211</f>
        <v>0</v>
      </c>
      <c r="AA192" s="1175">
        <f>'Data &amp; hypothesis Adults'!AB211</f>
        <v>0</v>
      </c>
      <c r="AB192" s="1175">
        <f>'Data &amp; hypothesis Adults'!AC211</f>
        <v>0</v>
      </c>
      <c r="AC192" s="1172">
        <f t="shared" si="58"/>
        <v>34.903199999999998</v>
      </c>
      <c r="AD192" s="1192"/>
      <c r="AE192" s="1178" t="e">
        <f t="shared" ref="AE192:AE197" si="62">D74</f>
        <v>#DIV/0!</v>
      </c>
      <c r="AF192" s="1200"/>
    </row>
    <row r="193" spans="1:32" ht="15" x14ac:dyDescent="0.25">
      <c r="B193" s="1174"/>
      <c r="C193" s="1166" t="str">
        <f t="shared" si="59"/>
        <v>ABC+DDI+LPV/r</v>
      </c>
      <c r="D193" s="1175">
        <f>'Data &amp; hypothesis Adults'!E212</f>
        <v>0</v>
      </c>
      <c r="E193" s="1175">
        <f>'Data &amp; hypothesis Adults'!F212</f>
        <v>0</v>
      </c>
      <c r="F193" s="1175">
        <f>'Data &amp; hypothesis Adults'!G212</f>
        <v>0</v>
      </c>
      <c r="G193" s="1175">
        <f>'Data &amp; hypothesis Adults'!H212</f>
        <v>0</v>
      </c>
      <c r="H193" s="1175">
        <f>'Data &amp; hypothesis Adults'!I212</f>
        <v>0</v>
      </c>
      <c r="I193" s="1175">
        <f>'Data &amp; hypothesis Adults'!J212</f>
        <v>0</v>
      </c>
      <c r="J193" s="1175">
        <f>'Data &amp; hypothesis Adults'!K212</f>
        <v>0</v>
      </c>
      <c r="K193" s="1175">
        <f>'Data &amp; hypothesis Adults'!L212</f>
        <v>0</v>
      </c>
      <c r="L193" s="1175">
        <f>'Data &amp; hypothesis Adults'!M212</f>
        <v>0</v>
      </c>
      <c r="M193" s="1175">
        <f>'Data &amp; hypothesis Adults'!N212</f>
        <v>0</v>
      </c>
      <c r="N193" s="1175">
        <f>'Data &amp; hypothesis Adults'!O212</f>
        <v>0</v>
      </c>
      <c r="O193" s="1175">
        <f>'Data &amp; hypothesis Adults'!P212</f>
        <v>0</v>
      </c>
      <c r="P193" s="1175">
        <f>'Data &amp; hypothesis Adults'!Q212</f>
        <v>0</v>
      </c>
      <c r="Q193" s="1175">
        <f>'Data &amp; hypothesis Adults'!R212</f>
        <v>0</v>
      </c>
      <c r="R193" s="1175">
        <f>'Data &amp; hypothesis Adults'!S212</f>
        <v>0</v>
      </c>
      <c r="S193" s="1175">
        <f>'Data &amp; hypothesis Adults'!T212</f>
        <v>0</v>
      </c>
      <c r="T193" s="1175">
        <f>'Data &amp; hypothesis Adults'!U212</f>
        <v>0</v>
      </c>
      <c r="U193" s="1175">
        <f>'Data &amp; hypothesis Adults'!V212</f>
        <v>0</v>
      </c>
      <c r="V193" s="1175">
        <f>'Data &amp; hypothesis Adults'!W212</f>
        <v>0</v>
      </c>
      <c r="W193" s="1175">
        <f>'Data &amp; hypothesis Adults'!X212</f>
        <v>0</v>
      </c>
      <c r="X193" s="1175">
        <f>'Data &amp; hypothesis Adults'!Y212</f>
        <v>0</v>
      </c>
      <c r="Y193" s="1175">
        <f>'Data &amp; hypothesis Adults'!Z212</f>
        <v>0</v>
      </c>
      <c r="Z193" s="1175">
        <f>'Data &amp; hypothesis Adults'!AA212</f>
        <v>0</v>
      </c>
      <c r="AA193" s="1175">
        <f>'Data &amp; hypothesis Adults'!AB212</f>
        <v>0</v>
      </c>
      <c r="AB193" s="1175">
        <f>'Data &amp; hypothesis Adults'!AC212</f>
        <v>0</v>
      </c>
      <c r="AC193" s="1172">
        <f t="shared" si="58"/>
        <v>0</v>
      </c>
      <c r="AD193" s="1192"/>
      <c r="AE193" s="1178" t="e">
        <f t="shared" si="62"/>
        <v>#DIV/0!</v>
      </c>
      <c r="AF193" s="1200"/>
    </row>
    <row r="194" spans="1:32" ht="15" x14ac:dyDescent="0.25">
      <c r="B194" s="1174"/>
      <c r="C194" s="1166" t="str">
        <f t="shared" si="59"/>
        <v>TDF+3TC/FTC+ABC</v>
      </c>
      <c r="D194" s="1175">
        <f>'Data &amp; hypothesis Adults'!E213</f>
        <v>0</v>
      </c>
      <c r="E194" s="1175">
        <f>'Data &amp; hypothesis Adults'!F213</f>
        <v>0</v>
      </c>
      <c r="F194" s="1175">
        <f>'Data &amp; hypothesis Adults'!G213</f>
        <v>0</v>
      </c>
      <c r="G194" s="1175">
        <f>'Data &amp; hypothesis Adults'!H213</f>
        <v>0</v>
      </c>
      <c r="H194" s="1175">
        <f>'Data &amp; hypothesis Adults'!I213</f>
        <v>0</v>
      </c>
      <c r="I194" s="1175">
        <f>'Data &amp; hypothesis Adults'!J213</f>
        <v>0</v>
      </c>
      <c r="J194" s="1175">
        <f>'Data &amp; hypothesis Adults'!K213</f>
        <v>0</v>
      </c>
      <c r="K194" s="1175">
        <f>'Data &amp; hypothesis Adults'!L213</f>
        <v>0</v>
      </c>
      <c r="L194" s="1175" t="str">
        <f>'Data &amp; hypothesis Adults'!M213</f>
        <v>X</v>
      </c>
      <c r="M194" s="1175">
        <f>'Data &amp; hypothesis Adults'!N213</f>
        <v>0</v>
      </c>
      <c r="N194" s="1175">
        <f>'Data &amp; hypothesis Adults'!O213</f>
        <v>0</v>
      </c>
      <c r="O194" s="1175">
        <f>'Data &amp; hypothesis Adults'!P213</f>
        <v>0</v>
      </c>
      <c r="P194" s="1175">
        <f>'Data &amp; hypothesis Adults'!Q213</f>
        <v>0</v>
      </c>
      <c r="Q194" s="1175" t="str">
        <f>'Data &amp; hypothesis Adults'!R213</f>
        <v>X</v>
      </c>
      <c r="R194" s="1175">
        <f>'Data &amp; hypothesis Adults'!S213</f>
        <v>0</v>
      </c>
      <c r="S194" s="1175">
        <f>'Data &amp; hypothesis Adults'!T213</f>
        <v>0</v>
      </c>
      <c r="T194" s="1175">
        <f>'Data &amp; hypothesis Adults'!U213</f>
        <v>0</v>
      </c>
      <c r="U194" s="1175">
        <f>'Data &amp; hypothesis Adults'!V213</f>
        <v>0</v>
      </c>
      <c r="V194" s="1175">
        <f>'Data &amp; hypothesis Adults'!W213</f>
        <v>0</v>
      </c>
      <c r="W194" s="1175">
        <f>'Data &amp; hypothesis Adults'!X213</f>
        <v>0</v>
      </c>
      <c r="X194" s="1175">
        <f>'Data &amp; hypothesis Adults'!Y213</f>
        <v>0</v>
      </c>
      <c r="Y194" s="1175">
        <f>'Data &amp; hypothesis Adults'!Z213</f>
        <v>0</v>
      </c>
      <c r="Z194" s="1175">
        <f>'Data &amp; hypothesis Adults'!AA213</f>
        <v>0</v>
      </c>
      <c r="AA194" s="1175">
        <f>'Data &amp; hypothesis Adults'!AB213</f>
        <v>0</v>
      </c>
      <c r="AB194" s="1175">
        <f>'Data &amp; hypothesis Adults'!AC213</f>
        <v>0</v>
      </c>
      <c r="AC194" s="1172">
        <f t="shared" si="58"/>
        <v>0</v>
      </c>
      <c r="AD194" s="1192"/>
      <c r="AE194" s="1178" t="e">
        <f t="shared" si="62"/>
        <v>#DIV/0!</v>
      </c>
      <c r="AF194" s="1200"/>
    </row>
    <row r="195" spans="1:32" ht="15" x14ac:dyDescent="0.25">
      <c r="B195" s="1187"/>
      <c r="C195" s="1166" t="str">
        <f t="shared" si="59"/>
        <v>AZT+3TC+LPV/r</v>
      </c>
      <c r="D195" s="1175">
        <f>'Data &amp; hypothesis Adults'!E214</f>
        <v>0</v>
      </c>
      <c r="E195" s="1175">
        <f>'Data &amp; hypothesis Adults'!F214</f>
        <v>0</v>
      </c>
      <c r="F195" s="1175">
        <f>'Data &amp; hypothesis Adults'!G214</f>
        <v>0</v>
      </c>
      <c r="G195" s="1175">
        <f>'Data &amp; hypothesis Adults'!H214</f>
        <v>0</v>
      </c>
      <c r="H195" s="1175">
        <f>'Data &amp; hypothesis Adults'!I214</f>
        <v>0</v>
      </c>
      <c r="I195" s="1175">
        <f>'Data &amp; hypothesis Adults'!J214</f>
        <v>0</v>
      </c>
      <c r="J195" s="1175">
        <f>'Data &amp; hypothesis Adults'!K214</f>
        <v>0</v>
      </c>
      <c r="K195" s="1175">
        <f>'Data &amp; hypothesis Adults'!L214</f>
        <v>0</v>
      </c>
      <c r="L195" s="1175">
        <f>'Data &amp; hypothesis Adults'!M214</f>
        <v>0</v>
      </c>
      <c r="M195" s="1175">
        <f>'Data &amp; hypothesis Adults'!N214</f>
        <v>0</v>
      </c>
      <c r="N195" s="1175">
        <f>'Data &amp; hypothesis Adults'!O214</f>
        <v>0</v>
      </c>
      <c r="O195" s="1175">
        <f>'Data &amp; hypothesis Adults'!P214</f>
        <v>0</v>
      </c>
      <c r="P195" s="1175">
        <f>'Data &amp; hypothesis Adults'!Q214</f>
        <v>0</v>
      </c>
      <c r="Q195" s="1175">
        <f>'Data &amp; hypothesis Adults'!R214</f>
        <v>0</v>
      </c>
      <c r="R195" s="1175">
        <f>'Data &amp; hypothesis Adults'!S214</f>
        <v>0</v>
      </c>
      <c r="S195" s="1175">
        <f>'Data &amp; hypothesis Adults'!T214</f>
        <v>0</v>
      </c>
      <c r="T195" s="1175">
        <f>'Data &amp; hypothesis Adults'!U214</f>
        <v>0</v>
      </c>
      <c r="U195" s="1175">
        <f>'Data &amp; hypothesis Adults'!V214</f>
        <v>0</v>
      </c>
      <c r="V195" s="1175">
        <f>'Data &amp; hypothesis Adults'!W214</f>
        <v>0</v>
      </c>
      <c r="W195" s="1175">
        <f>'Data &amp; hypothesis Adults'!X214</f>
        <v>0</v>
      </c>
      <c r="X195" s="1175">
        <f>'Data &amp; hypothesis Adults'!Y214</f>
        <v>0</v>
      </c>
      <c r="Y195" s="1175">
        <f>'Data &amp; hypothesis Adults'!Z214</f>
        <v>0</v>
      </c>
      <c r="Z195" s="1175">
        <f>'Data &amp; hypothesis Adults'!AA214</f>
        <v>0</v>
      </c>
      <c r="AA195" s="1175">
        <f>'Data &amp; hypothesis Adults'!AB214</f>
        <v>0</v>
      </c>
      <c r="AB195" s="1175">
        <f>'Data &amp; hypothesis Adults'!AC214</f>
        <v>0</v>
      </c>
      <c r="AC195" s="1172">
        <f t="shared" ref="AC195:AC197" si="63">D24</f>
        <v>391.75206271934888</v>
      </c>
      <c r="AD195" s="1192"/>
      <c r="AE195" s="1178" t="e">
        <f t="shared" si="62"/>
        <v>#DIV/0!</v>
      </c>
      <c r="AF195" s="1200"/>
    </row>
    <row r="196" spans="1:32" ht="15" x14ac:dyDescent="0.25">
      <c r="B196" s="1187"/>
      <c r="C196" s="1166">
        <f t="shared" si="59"/>
        <v>0</v>
      </c>
      <c r="D196" s="1175">
        <f>'Data &amp; hypothesis Adults'!E215</f>
        <v>0</v>
      </c>
      <c r="E196" s="1175">
        <f>'Data &amp; hypothesis Adults'!F215</f>
        <v>0</v>
      </c>
      <c r="F196" s="1175">
        <f>'Data &amp; hypothesis Adults'!G215</f>
        <v>0</v>
      </c>
      <c r="G196" s="1175">
        <f>'Data &amp; hypothesis Adults'!H215</f>
        <v>0</v>
      </c>
      <c r="H196" s="1175">
        <f>'Data &amp; hypothesis Adults'!I215</f>
        <v>0</v>
      </c>
      <c r="I196" s="1175">
        <f>'Data &amp; hypothesis Adults'!J215</f>
        <v>0</v>
      </c>
      <c r="J196" s="1175">
        <f>'Data &amp; hypothesis Adults'!K215</f>
        <v>0</v>
      </c>
      <c r="K196" s="1175">
        <f>'Data &amp; hypothesis Adults'!L215</f>
        <v>0</v>
      </c>
      <c r="L196" s="1175">
        <f>'Data &amp; hypothesis Adults'!M215</f>
        <v>0</v>
      </c>
      <c r="M196" s="1175">
        <f>'Data &amp; hypothesis Adults'!N215</f>
        <v>0</v>
      </c>
      <c r="N196" s="1175">
        <f>'Data &amp; hypothesis Adults'!O215</f>
        <v>0</v>
      </c>
      <c r="O196" s="1175">
        <f>'Data &amp; hypothesis Adults'!P215</f>
        <v>0</v>
      </c>
      <c r="P196" s="1175">
        <f>'Data &amp; hypothesis Adults'!Q215</f>
        <v>0</v>
      </c>
      <c r="Q196" s="1175">
        <f>'Data &amp; hypothesis Adults'!R215</f>
        <v>0</v>
      </c>
      <c r="R196" s="1175">
        <f>'Data &amp; hypothesis Adults'!S215</f>
        <v>0</v>
      </c>
      <c r="S196" s="1175">
        <f>'Data &amp; hypothesis Adults'!T215</f>
        <v>0</v>
      </c>
      <c r="T196" s="1175">
        <f>'Data &amp; hypothesis Adults'!U215</f>
        <v>0</v>
      </c>
      <c r="U196" s="1175">
        <f>'Data &amp; hypothesis Adults'!V215</f>
        <v>0</v>
      </c>
      <c r="V196" s="1175">
        <f>'Data &amp; hypothesis Adults'!W215</f>
        <v>0</v>
      </c>
      <c r="W196" s="1175">
        <f>'Data &amp; hypothesis Adults'!X215</f>
        <v>0</v>
      </c>
      <c r="X196" s="1175">
        <f>'Data &amp; hypothesis Adults'!Y215</f>
        <v>0</v>
      </c>
      <c r="Y196" s="1175">
        <f>'Data &amp; hypothesis Adults'!Z215</f>
        <v>0</v>
      </c>
      <c r="Z196" s="1175">
        <f>'Data &amp; hypothesis Adults'!AA215</f>
        <v>0</v>
      </c>
      <c r="AA196" s="1175">
        <f>'Data &amp; hypothesis Adults'!AB215</f>
        <v>0</v>
      </c>
      <c r="AB196" s="1175">
        <f>'Data &amp; hypothesis Adults'!AC215</f>
        <v>0</v>
      </c>
      <c r="AC196" s="1172">
        <f t="shared" si="63"/>
        <v>0</v>
      </c>
      <c r="AD196" s="1192"/>
      <c r="AE196" s="1178" t="e">
        <f t="shared" si="62"/>
        <v>#DIV/0!</v>
      </c>
      <c r="AF196" s="1200"/>
    </row>
    <row r="197" spans="1:32" ht="15" x14ac:dyDescent="0.25">
      <c r="B197" s="1187"/>
      <c r="C197" s="1166">
        <f t="shared" si="59"/>
        <v>0</v>
      </c>
      <c r="D197" s="1175">
        <f>'Data &amp; hypothesis Adults'!E216</f>
        <v>0</v>
      </c>
      <c r="E197" s="1175">
        <f>'Data &amp; hypothesis Adults'!F216</f>
        <v>0</v>
      </c>
      <c r="F197" s="1175">
        <f>'Data &amp; hypothesis Adults'!G216</f>
        <v>0</v>
      </c>
      <c r="G197" s="1175">
        <f>'Data &amp; hypothesis Adults'!H216</f>
        <v>0</v>
      </c>
      <c r="H197" s="1175">
        <f>'Data &amp; hypothesis Adults'!I216</f>
        <v>0</v>
      </c>
      <c r="I197" s="1175">
        <f>'Data &amp; hypothesis Adults'!J216</f>
        <v>0</v>
      </c>
      <c r="J197" s="1175">
        <f>'Data &amp; hypothesis Adults'!K216</f>
        <v>0</v>
      </c>
      <c r="K197" s="1175">
        <f>'Data &amp; hypothesis Adults'!L216</f>
        <v>0</v>
      </c>
      <c r="L197" s="1175">
        <f>'Data &amp; hypothesis Adults'!M216</f>
        <v>0</v>
      </c>
      <c r="M197" s="1175">
        <f>'Data &amp; hypothesis Adults'!N216</f>
        <v>0</v>
      </c>
      <c r="N197" s="1175">
        <f>'Data &amp; hypothesis Adults'!O216</f>
        <v>0</v>
      </c>
      <c r="O197" s="1175">
        <f>'Data &amp; hypothesis Adults'!P216</f>
        <v>0</v>
      </c>
      <c r="P197" s="1175">
        <f>'Data &amp; hypothesis Adults'!Q216</f>
        <v>0</v>
      </c>
      <c r="Q197" s="1175">
        <f>'Data &amp; hypothesis Adults'!R216</f>
        <v>0</v>
      </c>
      <c r="R197" s="1175">
        <f>'Data &amp; hypothesis Adults'!S216</f>
        <v>0</v>
      </c>
      <c r="S197" s="1175">
        <f>'Data &amp; hypothesis Adults'!T216</f>
        <v>0</v>
      </c>
      <c r="T197" s="1175">
        <f>'Data &amp; hypothesis Adults'!U216</f>
        <v>0</v>
      </c>
      <c r="U197" s="1175">
        <f>'Data &amp; hypothesis Adults'!V216</f>
        <v>0</v>
      </c>
      <c r="V197" s="1175">
        <f>'Data &amp; hypothesis Adults'!W216</f>
        <v>0</v>
      </c>
      <c r="W197" s="1175">
        <f>'Data &amp; hypothesis Adults'!X216</f>
        <v>0</v>
      </c>
      <c r="X197" s="1175">
        <f>'Data &amp; hypothesis Adults'!Y216</f>
        <v>0</v>
      </c>
      <c r="Y197" s="1175">
        <f>'Data &amp; hypothesis Adults'!Z216</f>
        <v>0</v>
      </c>
      <c r="Z197" s="1175">
        <f>'Data &amp; hypothesis Adults'!AA216</f>
        <v>0</v>
      </c>
      <c r="AA197" s="1175">
        <f>'Data &amp; hypothesis Adults'!AB216</f>
        <v>0</v>
      </c>
      <c r="AB197" s="1175">
        <f>'Data &amp; hypothesis Adults'!AC216</f>
        <v>0</v>
      </c>
      <c r="AC197" s="1172">
        <f t="shared" si="63"/>
        <v>0</v>
      </c>
      <c r="AD197" s="1192"/>
      <c r="AE197" s="1178" t="e">
        <f t="shared" si="62"/>
        <v>#DIV/0!</v>
      </c>
      <c r="AF197" s="1200"/>
    </row>
    <row r="198" spans="1:32" ht="15.75" thickBot="1" x14ac:dyDescent="0.3">
      <c r="B198" s="1187" t="str">
        <f>'TRAD-Adults YEAR(1)'!B12</f>
        <v>3èmes lignes</v>
      </c>
      <c r="C198" s="1188" t="e">
        <f>#REF!</f>
        <v>#REF!</v>
      </c>
      <c r="D198" s="1198"/>
      <c r="E198" s="1198"/>
      <c r="F198" s="1198"/>
      <c r="G198" s="1198"/>
      <c r="H198" s="1198"/>
      <c r="I198" s="1198"/>
      <c r="J198" s="1198"/>
      <c r="K198" s="1198"/>
      <c r="L198" s="1198" t="s">
        <v>225</v>
      </c>
      <c r="M198" s="1198"/>
      <c r="N198" s="1198"/>
      <c r="O198" s="1198"/>
      <c r="P198" s="1198" t="s">
        <v>225</v>
      </c>
      <c r="Q198" s="1198" t="s">
        <v>225</v>
      </c>
      <c r="R198" s="1198" t="s">
        <v>623</v>
      </c>
      <c r="S198" s="1198" t="s">
        <v>623</v>
      </c>
      <c r="T198" s="1198" t="s">
        <v>225</v>
      </c>
      <c r="U198" s="1198"/>
      <c r="V198" s="1198" t="s">
        <v>225</v>
      </c>
      <c r="W198" s="1198" t="s">
        <v>225</v>
      </c>
      <c r="X198" s="1198" t="s">
        <v>225</v>
      </c>
      <c r="Y198" s="1198" t="s">
        <v>225</v>
      </c>
      <c r="Z198" s="1198" t="s">
        <v>225</v>
      </c>
      <c r="AA198" s="1198" t="s">
        <v>225</v>
      </c>
      <c r="AB198" s="1198" t="s">
        <v>225</v>
      </c>
      <c r="AC198" s="1172">
        <f t="shared" ref="AC198" si="64">D27</f>
        <v>0</v>
      </c>
      <c r="AD198" s="1192"/>
      <c r="AE198" s="1178" t="e">
        <f>L87</f>
        <v>#DIV/0!</v>
      </c>
      <c r="AF198" s="1200"/>
    </row>
    <row r="199" spans="1:32" ht="39" thickBot="1" x14ac:dyDescent="0.25">
      <c r="A199" s="696"/>
      <c r="B199" s="2149" t="str">
        <f>'TRAD-Adults YEAR(1)'!B130</f>
        <v>Patients suivis</v>
      </c>
      <c r="C199" s="1189" t="str">
        <f>'TRAD-Adults YEAR(1)'!B81</f>
        <v>Nb de patients suivis recevant l'ARV</v>
      </c>
      <c r="D199" s="1203">
        <f t="shared" ref="D199:U199" si="65">SUMIF(D181:D198, "X", $AC181:$AC198)+SUMIF(D181:D198, "A", $AC181:$AC198)*D178</f>
        <v>10296.517095596608</v>
      </c>
      <c r="E199" s="1203">
        <f t="shared" si="65"/>
        <v>75.02963916189843</v>
      </c>
      <c r="F199" s="1203">
        <f t="shared" si="65"/>
        <v>0</v>
      </c>
      <c r="G199" s="1203">
        <f t="shared" si="65"/>
        <v>1988.4335364336885</v>
      </c>
      <c r="H199" s="1203">
        <f t="shared" si="65"/>
        <v>65.305768880072776</v>
      </c>
      <c r="I199" s="1203">
        <f t="shared" si="65"/>
        <v>0</v>
      </c>
      <c r="J199" s="1203">
        <f t="shared" si="65"/>
        <v>0</v>
      </c>
      <c r="K199" s="1203">
        <f t="shared" si="65"/>
        <v>5735.5069323314656</v>
      </c>
      <c r="L199" s="1203">
        <f t="shared" si="65"/>
        <v>1299.5167333657555</v>
      </c>
      <c r="M199" s="1203">
        <f t="shared" si="65"/>
        <v>1371.4803859388805</v>
      </c>
      <c r="N199" s="1203">
        <f t="shared" si="65"/>
        <v>0</v>
      </c>
      <c r="O199" s="1203">
        <f t="shared" si="65"/>
        <v>0</v>
      </c>
      <c r="P199" s="1203">
        <f t="shared" si="65"/>
        <v>0</v>
      </c>
      <c r="Q199" s="1203">
        <f t="shared" si="65"/>
        <v>0</v>
      </c>
      <c r="R199" s="1203">
        <f t="shared" si="65"/>
        <v>0</v>
      </c>
      <c r="S199" s="1203">
        <f t="shared" si="65"/>
        <v>0</v>
      </c>
      <c r="T199" s="1203">
        <f t="shared" si="65"/>
        <v>0</v>
      </c>
      <c r="U199" s="1203">
        <f t="shared" si="65"/>
        <v>1946.8724527406362</v>
      </c>
      <c r="V199" s="1203">
        <f t="shared" ref="V199:AB199" si="66">SUMIF(V181:V198, "X", $AC181:$AC198)+SUMIF(V181:V198, "A", $AC181:$AC198)*V179</f>
        <v>0</v>
      </c>
      <c r="W199" s="1203">
        <f t="shared" si="66"/>
        <v>0</v>
      </c>
      <c r="X199" s="1203">
        <f t="shared" si="66"/>
        <v>0</v>
      </c>
      <c r="Y199" s="1203">
        <f t="shared" si="66"/>
        <v>34.903199999999998</v>
      </c>
      <c r="Z199" s="1203">
        <f t="shared" si="66"/>
        <v>0</v>
      </c>
      <c r="AA199" s="1203">
        <f t="shared" si="66"/>
        <v>0</v>
      </c>
      <c r="AB199" s="1204">
        <f t="shared" si="66"/>
        <v>0</v>
      </c>
      <c r="AC199" s="1186"/>
      <c r="AD199" s="1172"/>
    </row>
    <row r="200" spans="1:32" ht="77.25" thickBot="1" x14ac:dyDescent="0.25">
      <c r="B200" s="2150"/>
      <c r="C200" s="1189" t="str">
        <f>'TRAD-Adults YEAR(1)'!B82</f>
        <v>Quantités de conditionnements nécessaires pour l'ensemble des patients suivis pour 1 mois</v>
      </c>
      <c r="D200" s="1205">
        <f>D199*D177</f>
        <v>10296.517095596608</v>
      </c>
      <c r="E200" s="1205">
        <f t="shared" ref="E200:AB200" si="67">E199*E177</f>
        <v>75.02963916189843</v>
      </c>
      <c r="F200" s="1205">
        <f t="shared" ref="F200" si="68">F199*F177</f>
        <v>0</v>
      </c>
      <c r="G200" s="1205">
        <f t="shared" si="67"/>
        <v>1988.4335364336885</v>
      </c>
      <c r="H200" s="1205">
        <f t="shared" ref="H200" si="69">H199*H177</f>
        <v>65.305768880072776</v>
      </c>
      <c r="I200" s="1205">
        <f t="shared" si="67"/>
        <v>0</v>
      </c>
      <c r="J200" s="1205">
        <f t="shared" si="67"/>
        <v>0</v>
      </c>
      <c r="K200" s="1205">
        <f t="shared" si="67"/>
        <v>5735.5069323314656</v>
      </c>
      <c r="L200" s="1205">
        <f t="shared" si="67"/>
        <v>1299.5167333657555</v>
      </c>
      <c r="M200" s="1205">
        <f t="shared" si="67"/>
        <v>1371.4803859388805</v>
      </c>
      <c r="N200" s="1205">
        <f t="shared" si="67"/>
        <v>0</v>
      </c>
      <c r="O200" s="1205">
        <f t="shared" si="67"/>
        <v>0</v>
      </c>
      <c r="P200" s="1205">
        <f t="shared" si="67"/>
        <v>0</v>
      </c>
      <c r="Q200" s="1205">
        <f t="shared" si="67"/>
        <v>0</v>
      </c>
      <c r="R200" s="1205">
        <f t="shared" si="67"/>
        <v>0</v>
      </c>
      <c r="S200" s="1205">
        <f t="shared" si="67"/>
        <v>0</v>
      </c>
      <c r="T200" s="1205">
        <f t="shared" si="67"/>
        <v>0</v>
      </c>
      <c r="U200" s="1205">
        <f t="shared" si="67"/>
        <v>1946.8724527406362</v>
      </c>
      <c r="V200" s="1205">
        <f t="shared" si="67"/>
        <v>0</v>
      </c>
      <c r="W200" s="1205">
        <f t="shared" si="67"/>
        <v>0</v>
      </c>
      <c r="X200" s="1205">
        <f t="shared" si="67"/>
        <v>0</v>
      </c>
      <c r="Y200" s="1205">
        <f t="shared" si="67"/>
        <v>34.903199999999998</v>
      </c>
      <c r="Z200" s="1205">
        <f t="shared" si="67"/>
        <v>0</v>
      </c>
      <c r="AA200" s="1205">
        <f t="shared" si="67"/>
        <v>0</v>
      </c>
      <c r="AB200" s="1206">
        <f t="shared" si="67"/>
        <v>0</v>
      </c>
      <c r="AC200" s="1186"/>
      <c r="AD200" s="1172"/>
    </row>
    <row r="201" spans="1:32" ht="77.25" thickBot="1" x14ac:dyDescent="0.25">
      <c r="B201" s="2150"/>
      <c r="C201" s="1189" t="str">
        <f>'TRAD-Adults YEAR(1)'!B83</f>
        <v>Qtés conditionnements pour l'ensemble des patients sur toute la période hors SS</v>
      </c>
      <c r="D201" s="1205">
        <f>D200*$D$6</f>
        <v>0</v>
      </c>
      <c r="E201" s="1205">
        <f t="shared" ref="E201:AB201" si="70">E200*$D$6</f>
        <v>0</v>
      </c>
      <c r="F201" s="1205">
        <f t="shared" ref="F201" si="71">F200*$D$6</f>
        <v>0</v>
      </c>
      <c r="G201" s="1205">
        <f t="shared" si="70"/>
        <v>0</v>
      </c>
      <c r="H201" s="1205">
        <f t="shared" ref="H201" si="72">H200*$D$6</f>
        <v>0</v>
      </c>
      <c r="I201" s="1205">
        <f t="shared" si="70"/>
        <v>0</v>
      </c>
      <c r="J201" s="1205">
        <f t="shared" si="70"/>
        <v>0</v>
      </c>
      <c r="K201" s="1205">
        <f t="shared" si="70"/>
        <v>0</v>
      </c>
      <c r="L201" s="1205">
        <f t="shared" si="70"/>
        <v>0</v>
      </c>
      <c r="M201" s="1205">
        <f t="shared" si="70"/>
        <v>0</v>
      </c>
      <c r="N201" s="1205">
        <f t="shared" si="70"/>
        <v>0</v>
      </c>
      <c r="O201" s="1205">
        <f t="shared" si="70"/>
        <v>0</v>
      </c>
      <c r="P201" s="1205">
        <f t="shared" si="70"/>
        <v>0</v>
      </c>
      <c r="Q201" s="1205">
        <f t="shared" si="70"/>
        <v>0</v>
      </c>
      <c r="R201" s="1205">
        <f t="shared" si="70"/>
        <v>0</v>
      </c>
      <c r="S201" s="1205">
        <f t="shared" si="70"/>
        <v>0</v>
      </c>
      <c r="T201" s="1205">
        <f t="shared" si="70"/>
        <v>0</v>
      </c>
      <c r="U201" s="1205">
        <f t="shared" si="70"/>
        <v>0</v>
      </c>
      <c r="V201" s="1205">
        <f t="shared" si="70"/>
        <v>0</v>
      </c>
      <c r="W201" s="1205">
        <f t="shared" si="70"/>
        <v>0</v>
      </c>
      <c r="X201" s="1205">
        <f t="shared" si="70"/>
        <v>0</v>
      </c>
      <c r="Y201" s="1205">
        <f t="shared" si="70"/>
        <v>0</v>
      </c>
      <c r="Z201" s="1205">
        <f t="shared" si="70"/>
        <v>0</v>
      </c>
      <c r="AA201" s="1205">
        <f t="shared" si="70"/>
        <v>0</v>
      </c>
      <c r="AB201" s="1206">
        <f t="shared" si="70"/>
        <v>0</v>
      </c>
      <c r="AC201" s="1186"/>
      <c r="AD201" s="1172"/>
    </row>
    <row r="202" spans="1:32" ht="77.25" thickBot="1" x14ac:dyDescent="0.25">
      <c r="B202" s="2151"/>
      <c r="C202" s="1189" t="str">
        <f>'TRAD-Adults YEAR(1)'!B84</f>
        <v>Qtés conditionnements pour l'ensemble des patients sur toute la période avec SS</v>
      </c>
      <c r="D202" s="1207">
        <f>(D200*$D$7)</f>
        <v>30889.551286789821</v>
      </c>
      <c r="E202" s="1207">
        <f t="shared" ref="E202:AB202" si="73">(E200*$D$7)</f>
        <v>225.08891748569528</v>
      </c>
      <c r="F202" s="1207">
        <f t="shared" ref="F202" si="74">(F200*$D$7)</f>
        <v>0</v>
      </c>
      <c r="G202" s="1207">
        <f t="shared" si="73"/>
        <v>5965.3006093010654</v>
      </c>
      <c r="H202" s="1207">
        <f t="shared" ref="H202" si="75">(H200*$D$7)</f>
        <v>195.91730664021833</v>
      </c>
      <c r="I202" s="1207">
        <f t="shared" si="73"/>
        <v>0</v>
      </c>
      <c r="J202" s="1207">
        <f t="shared" si="73"/>
        <v>0</v>
      </c>
      <c r="K202" s="1207">
        <f t="shared" si="73"/>
        <v>17206.520796994395</v>
      </c>
      <c r="L202" s="1207">
        <f t="shared" si="73"/>
        <v>3898.5502000972665</v>
      </c>
      <c r="M202" s="1207">
        <f t="shared" si="73"/>
        <v>4114.4411578166419</v>
      </c>
      <c r="N202" s="1207">
        <f t="shared" si="73"/>
        <v>0</v>
      </c>
      <c r="O202" s="1207">
        <f t="shared" si="73"/>
        <v>0</v>
      </c>
      <c r="P202" s="1207">
        <f t="shared" si="73"/>
        <v>0</v>
      </c>
      <c r="Q202" s="1207">
        <f t="shared" si="73"/>
        <v>0</v>
      </c>
      <c r="R202" s="1207">
        <f t="shared" si="73"/>
        <v>0</v>
      </c>
      <c r="S202" s="1207">
        <f t="shared" si="73"/>
        <v>0</v>
      </c>
      <c r="T202" s="1207">
        <f t="shared" si="73"/>
        <v>0</v>
      </c>
      <c r="U202" s="1207">
        <f t="shared" si="73"/>
        <v>5840.6173582219089</v>
      </c>
      <c r="V202" s="1207">
        <f t="shared" si="73"/>
        <v>0</v>
      </c>
      <c r="W202" s="1207">
        <f t="shared" si="73"/>
        <v>0</v>
      </c>
      <c r="X202" s="1207">
        <f t="shared" si="73"/>
        <v>0</v>
      </c>
      <c r="Y202" s="1207">
        <f t="shared" si="73"/>
        <v>104.70959999999999</v>
      </c>
      <c r="Z202" s="1207">
        <f t="shared" si="73"/>
        <v>0</v>
      </c>
      <c r="AA202" s="1207">
        <f t="shared" si="73"/>
        <v>0</v>
      </c>
      <c r="AB202" s="1208">
        <f t="shared" si="73"/>
        <v>0</v>
      </c>
      <c r="AC202" s="1186"/>
      <c r="AD202" s="1172"/>
    </row>
    <row r="203" spans="1:32" ht="39" thickBot="1" x14ac:dyDescent="0.25">
      <c r="B203" s="2149" t="str">
        <f>'TRAD-Adults YEAR(1)'!B90</f>
        <v>Patients initiés</v>
      </c>
      <c r="C203" s="1189" t="str">
        <f>'TRAD-Adults YEAR(1)'!B85</f>
        <v>Nb de patients initiés par mois recevant l'ARV</v>
      </c>
      <c r="D203" s="1203">
        <f t="shared" ref="D203:AB203" si="76">SUMIF(D181:D198, "X", $AD181:$AD198)+SUMIF(D181:D198, "A", $AD181:$AD198)*D178</f>
        <v>0</v>
      </c>
      <c r="E203" s="1203">
        <f t="shared" si="76"/>
        <v>0</v>
      </c>
      <c r="F203" s="1203">
        <f t="shared" si="76"/>
        <v>0</v>
      </c>
      <c r="G203" s="1203">
        <f t="shared" si="76"/>
        <v>0</v>
      </c>
      <c r="H203" s="1203">
        <f t="shared" si="76"/>
        <v>0</v>
      </c>
      <c r="I203" s="1203">
        <f t="shared" si="76"/>
        <v>0</v>
      </c>
      <c r="J203" s="1203">
        <f t="shared" si="76"/>
        <v>0</v>
      </c>
      <c r="K203" s="1203">
        <f t="shared" si="76"/>
        <v>0</v>
      </c>
      <c r="L203" s="1203">
        <f t="shared" si="76"/>
        <v>0</v>
      </c>
      <c r="M203" s="1203">
        <f t="shared" si="76"/>
        <v>0</v>
      </c>
      <c r="N203" s="1203">
        <f t="shared" si="76"/>
        <v>0</v>
      </c>
      <c r="O203" s="1203">
        <f t="shared" si="76"/>
        <v>0</v>
      </c>
      <c r="P203" s="1203">
        <f t="shared" si="76"/>
        <v>0</v>
      </c>
      <c r="Q203" s="1203">
        <f t="shared" si="76"/>
        <v>0</v>
      </c>
      <c r="R203" s="1203">
        <f t="shared" si="76"/>
        <v>0</v>
      </c>
      <c r="S203" s="1203">
        <f t="shared" si="76"/>
        <v>0</v>
      </c>
      <c r="T203" s="1203">
        <f t="shared" si="76"/>
        <v>0</v>
      </c>
      <c r="U203" s="1203">
        <f t="shared" si="76"/>
        <v>0</v>
      </c>
      <c r="V203" s="1203">
        <f t="shared" si="76"/>
        <v>0</v>
      </c>
      <c r="W203" s="1203">
        <f t="shared" si="76"/>
        <v>0</v>
      </c>
      <c r="X203" s="1203">
        <f t="shared" si="76"/>
        <v>0</v>
      </c>
      <c r="Y203" s="1203">
        <f t="shared" si="76"/>
        <v>0</v>
      </c>
      <c r="Z203" s="1203">
        <f t="shared" si="76"/>
        <v>0</v>
      </c>
      <c r="AA203" s="1203">
        <f t="shared" si="76"/>
        <v>0</v>
      </c>
      <c r="AB203" s="1204">
        <f t="shared" si="76"/>
        <v>0</v>
      </c>
      <c r="AC203" s="1186"/>
      <c r="AD203" s="1172"/>
    </row>
    <row r="204" spans="1:32" ht="77.25" thickBot="1" x14ac:dyDescent="0.25">
      <c r="B204" s="2150"/>
      <c r="C204" s="1189" t="str">
        <f>'TRAD-Adults YEAR(1)'!B86</f>
        <v>Quantités de conditionnements nécessaires pour l'ensemble des patients initiés sur 1 mois</v>
      </c>
      <c r="D204" s="1205">
        <f t="shared" ref="D204:AB204" si="77">D203*D177</f>
        <v>0</v>
      </c>
      <c r="E204" s="1205">
        <f t="shared" si="77"/>
        <v>0</v>
      </c>
      <c r="F204" s="1205">
        <f t="shared" ref="F204" si="78">F203*F177</f>
        <v>0</v>
      </c>
      <c r="G204" s="1205">
        <f t="shared" si="77"/>
        <v>0</v>
      </c>
      <c r="H204" s="1205">
        <f t="shared" ref="H204" si="79">H203*H177</f>
        <v>0</v>
      </c>
      <c r="I204" s="1205">
        <f t="shared" si="77"/>
        <v>0</v>
      </c>
      <c r="J204" s="1205">
        <f t="shared" si="77"/>
        <v>0</v>
      </c>
      <c r="K204" s="1205">
        <f t="shared" si="77"/>
        <v>0</v>
      </c>
      <c r="L204" s="1205">
        <f t="shared" si="77"/>
        <v>0</v>
      </c>
      <c r="M204" s="1205">
        <f t="shared" si="77"/>
        <v>0</v>
      </c>
      <c r="N204" s="1205">
        <f t="shared" si="77"/>
        <v>0</v>
      </c>
      <c r="O204" s="1205">
        <f t="shared" si="77"/>
        <v>0</v>
      </c>
      <c r="P204" s="1205">
        <f t="shared" si="77"/>
        <v>0</v>
      </c>
      <c r="Q204" s="1205">
        <f t="shared" si="77"/>
        <v>0</v>
      </c>
      <c r="R204" s="1205">
        <f t="shared" si="77"/>
        <v>0</v>
      </c>
      <c r="S204" s="1205">
        <f t="shared" si="77"/>
        <v>0</v>
      </c>
      <c r="T204" s="1205">
        <f t="shared" si="77"/>
        <v>0</v>
      </c>
      <c r="U204" s="1205">
        <f t="shared" si="77"/>
        <v>0</v>
      </c>
      <c r="V204" s="1205">
        <f t="shared" si="77"/>
        <v>0</v>
      </c>
      <c r="W204" s="1205">
        <f t="shared" si="77"/>
        <v>0</v>
      </c>
      <c r="X204" s="1205">
        <f t="shared" si="77"/>
        <v>0</v>
      </c>
      <c r="Y204" s="1205">
        <f t="shared" si="77"/>
        <v>0</v>
      </c>
      <c r="Z204" s="1205">
        <f t="shared" si="77"/>
        <v>0</v>
      </c>
      <c r="AA204" s="1205">
        <f t="shared" si="77"/>
        <v>0</v>
      </c>
      <c r="AB204" s="1206">
        <f t="shared" si="77"/>
        <v>0</v>
      </c>
      <c r="AC204" s="1186"/>
      <c r="AD204" s="1172"/>
    </row>
    <row r="205" spans="1:32" ht="64.5" thickBot="1" x14ac:dyDescent="0.25">
      <c r="B205" s="2150"/>
      <c r="C205" s="1189" t="str">
        <f>'TRAD-Adults YEAR(1)'!B87</f>
        <v>Quantités conditionnements nécessaires Spécificités 3èmes lignes pour 1 mois</v>
      </c>
      <c r="D205" s="1205">
        <f t="shared" ref="D205:AB205" si="80">(IF(D198="X", $AE$198*D179, "0")+IF(D198="A", $AE$198*D178*D179, "0"))*D177</f>
        <v>0</v>
      </c>
      <c r="E205" s="1205">
        <f t="shared" si="80"/>
        <v>0</v>
      </c>
      <c r="F205" s="1205">
        <f t="shared" si="80"/>
        <v>0</v>
      </c>
      <c r="G205" s="1205">
        <f t="shared" si="80"/>
        <v>0</v>
      </c>
      <c r="H205" s="1205">
        <f t="shared" si="80"/>
        <v>0</v>
      </c>
      <c r="I205" s="1205">
        <f t="shared" si="80"/>
        <v>0</v>
      </c>
      <c r="J205" s="1205">
        <f t="shared" si="80"/>
        <v>0</v>
      </c>
      <c r="K205" s="1205">
        <f t="shared" si="80"/>
        <v>0</v>
      </c>
      <c r="L205" s="1205" t="e">
        <f t="shared" si="80"/>
        <v>#DIV/0!</v>
      </c>
      <c r="M205" s="1205">
        <f t="shared" si="80"/>
        <v>0</v>
      </c>
      <c r="N205" s="1205">
        <f t="shared" si="80"/>
        <v>0</v>
      </c>
      <c r="O205" s="1205">
        <f t="shared" si="80"/>
        <v>0</v>
      </c>
      <c r="P205" s="1205" t="e">
        <f t="shared" si="80"/>
        <v>#DIV/0!</v>
      </c>
      <c r="Q205" s="1205" t="e">
        <f t="shared" si="80"/>
        <v>#DIV/0!</v>
      </c>
      <c r="R205" s="1205" t="e">
        <f t="shared" si="80"/>
        <v>#DIV/0!</v>
      </c>
      <c r="S205" s="1205" t="e">
        <f t="shared" si="80"/>
        <v>#DIV/0!</v>
      </c>
      <c r="T205" s="1205" t="e">
        <f t="shared" si="80"/>
        <v>#DIV/0!</v>
      </c>
      <c r="U205" s="1205">
        <f t="shared" si="80"/>
        <v>0</v>
      </c>
      <c r="V205" s="1205" t="e">
        <f t="shared" si="80"/>
        <v>#DIV/0!</v>
      </c>
      <c r="W205" s="1205" t="e">
        <f t="shared" si="80"/>
        <v>#DIV/0!</v>
      </c>
      <c r="X205" s="1205" t="e">
        <f t="shared" si="80"/>
        <v>#DIV/0!</v>
      </c>
      <c r="Y205" s="1205" t="e">
        <f t="shared" si="80"/>
        <v>#DIV/0!</v>
      </c>
      <c r="Z205" s="1205" t="e">
        <f t="shared" si="80"/>
        <v>#DIV/0!</v>
      </c>
      <c r="AA205" s="1205" t="e">
        <f t="shared" si="80"/>
        <v>#DIV/0!</v>
      </c>
      <c r="AB205" s="1206" t="e">
        <f t="shared" si="80"/>
        <v>#DIV/0!</v>
      </c>
      <c r="AC205" s="1186"/>
      <c r="AD205" s="1172"/>
    </row>
    <row r="206" spans="1:32" ht="77.25" thickBot="1" x14ac:dyDescent="0.25">
      <c r="B206" s="2150"/>
      <c r="C206" s="1189" t="str">
        <f>'TRAD-Adults YEAR(1)'!B88</f>
        <v>Qtés conditionnements pour l'ensemble des patients initiés sur toute la période sans SS</v>
      </c>
      <c r="D206" s="1205">
        <f>(D204+D205)*$I$6</f>
        <v>0</v>
      </c>
      <c r="E206" s="1205">
        <f t="shared" ref="E206:AB206" si="81">(E204+E205)*$I$6</f>
        <v>0</v>
      </c>
      <c r="F206" s="1205">
        <f t="shared" ref="F206" si="82">(F204+F205)*$I$6</f>
        <v>0</v>
      </c>
      <c r="G206" s="1205">
        <f t="shared" si="81"/>
        <v>0</v>
      </c>
      <c r="H206" s="1205">
        <f t="shared" ref="H206" si="83">(H204+H205)*$I$6</f>
        <v>0</v>
      </c>
      <c r="I206" s="1205">
        <f t="shared" si="81"/>
        <v>0</v>
      </c>
      <c r="J206" s="1205">
        <f t="shared" si="81"/>
        <v>0</v>
      </c>
      <c r="K206" s="1205">
        <f t="shared" si="81"/>
        <v>0</v>
      </c>
      <c r="L206" s="1205" t="e">
        <f>(L204+L205)*$I$6</f>
        <v>#DIV/0!</v>
      </c>
      <c r="M206" s="1205">
        <f t="shared" si="81"/>
        <v>0</v>
      </c>
      <c r="N206" s="1205">
        <f>(N204+N205)*$I$6</f>
        <v>0</v>
      </c>
      <c r="O206" s="1205">
        <f t="shared" si="81"/>
        <v>0</v>
      </c>
      <c r="P206" s="1205" t="e">
        <f t="shared" si="81"/>
        <v>#DIV/0!</v>
      </c>
      <c r="Q206" s="1205" t="e">
        <f>(Q204+Q205)*$I$6</f>
        <v>#DIV/0!</v>
      </c>
      <c r="R206" s="1205" t="e">
        <f t="shared" si="81"/>
        <v>#DIV/0!</v>
      </c>
      <c r="S206" s="1205" t="e">
        <f t="shared" si="81"/>
        <v>#DIV/0!</v>
      </c>
      <c r="T206" s="1205" t="e">
        <f t="shared" si="81"/>
        <v>#DIV/0!</v>
      </c>
      <c r="U206" s="1205">
        <f t="shared" si="81"/>
        <v>0</v>
      </c>
      <c r="V206" s="1205" t="e">
        <f t="shared" si="81"/>
        <v>#DIV/0!</v>
      </c>
      <c r="W206" s="1205" t="e">
        <f t="shared" si="81"/>
        <v>#DIV/0!</v>
      </c>
      <c r="X206" s="1205" t="e">
        <f t="shared" si="81"/>
        <v>#DIV/0!</v>
      </c>
      <c r="Y206" s="1205" t="e">
        <f t="shared" si="81"/>
        <v>#DIV/0!</v>
      </c>
      <c r="Z206" s="1205" t="e">
        <f t="shared" si="81"/>
        <v>#DIV/0!</v>
      </c>
      <c r="AA206" s="1205" t="e">
        <f t="shared" si="81"/>
        <v>#DIV/0!</v>
      </c>
      <c r="AB206" s="1206" t="e">
        <f t="shared" si="81"/>
        <v>#DIV/0!</v>
      </c>
      <c r="AC206" s="1186"/>
      <c r="AD206" s="1172"/>
    </row>
    <row r="207" spans="1:32" ht="77.25" thickBot="1" x14ac:dyDescent="0.25">
      <c r="B207" s="2151"/>
      <c r="C207" s="1189" t="str">
        <f>'TRAD-Adults YEAR(1)'!B89</f>
        <v>Qtés conditionnements pour l'ensemble des patients initiés sur toute la période avec SS</v>
      </c>
      <c r="D207" s="1207">
        <f>(D204+D205)*$I$7</f>
        <v>0</v>
      </c>
      <c r="E207" s="1207">
        <f t="shared" ref="E207:AB207" si="84">(E204+E205)*$I$7</f>
        <v>0</v>
      </c>
      <c r="F207" s="1207">
        <f t="shared" ref="F207" si="85">(F204+F205)*$I$7</f>
        <v>0</v>
      </c>
      <c r="G207" s="1207">
        <f t="shared" si="84"/>
        <v>0</v>
      </c>
      <c r="H207" s="1207">
        <f t="shared" ref="H207" si="86">(H204+H205)*$I$7</f>
        <v>0</v>
      </c>
      <c r="I207" s="1207">
        <f t="shared" si="84"/>
        <v>0</v>
      </c>
      <c r="J207" s="1207">
        <f t="shared" si="84"/>
        <v>0</v>
      </c>
      <c r="K207" s="1207">
        <f t="shared" si="84"/>
        <v>0</v>
      </c>
      <c r="L207" s="1207" t="e">
        <f t="shared" si="84"/>
        <v>#DIV/0!</v>
      </c>
      <c r="M207" s="1207">
        <f t="shared" si="84"/>
        <v>0</v>
      </c>
      <c r="N207" s="1207">
        <f t="shared" si="84"/>
        <v>0</v>
      </c>
      <c r="O207" s="1207">
        <f t="shared" si="84"/>
        <v>0</v>
      </c>
      <c r="P207" s="1207" t="e">
        <f t="shared" si="84"/>
        <v>#DIV/0!</v>
      </c>
      <c r="Q207" s="1207" t="e">
        <f t="shared" si="84"/>
        <v>#DIV/0!</v>
      </c>
      <c r="R207" s="1207" t="e">
        <f t="shared" si="84"/>
        <v>#DIV/0!</v>
      </c>
      <c r="S207" s="1207" t="e">
        <f t="shared" si="84"/>
        <v>#DIV/0!</v>
      </c>
      <c r="T207" s="1207" t="e">
        <f t="shared" si="84"/>
        <v>#DIV/0!</v>
      </c>
      <c r="U207" s="1207">
        <f t="shared" si="84"/>
        <v>0</v>
      </c>
      <c r="V207" s="1207" t="e">
        <f t="shared" si="84"/>
        <v>#DIV/0!</v>
      </c>
      <c r="W207" s="1207" t="e">
        <f t="shared" si="84"/>
        <v>#DIV/0!</v>
      </c>
      <c r="X207" s="1207" t="e">
        <f t="shared" si="84"/>
        <v>#DIV/0!</v>
      </c>
      <c r="Y207" s="1207" t="e">
        <f t="shared" si="84"/>
        <v>#DIV/0!</v>
      </c>
      <c r="Z207" s="1207" t="e">
        <f t="shared" si="84"/>
        <v>#DIV/0!</v>
      </c>
      <c r="AA207" s="1207" t="e">
        <f t="shared" si="84"/>
        <v>#DIV/0!</v>
      </c>
      <c r="AB207" s="1208" t="e">
        <f t="shared" si="84"/>
        <v>#DIV/0!</v>
      </c>
      <c r="AC207" s="1186"/>
      <c r="AD207" s="1172"/>
    </row>
    <row r="208" spans="1:32" ht="39" thickBot="1" x14ac:dyDescent="0.25">
      <c r="B208" s="2149" t="str">
        <f>'TRAD-Adults YEAR(1)'!B93</f>
        <v>Patients switchés</v>
      </c>
      <c r="C208" s="1189" t="str">
        <f>'TRAD-Adults YEAR(1)'!B85</f>
        <v>Nb de patients initiés par mois recevant l'ARV</v>
      </c>
      <c r="D208" s="1203">
        <f t="shared" ref="D208:AB208" si="87">SUMIF(D181:D198, "X", $AE181:$AE198)+SUMIF(D181:D198, "A", $AE181:$AE198)*D178</f>
        <v>0</v>
      </c>
      <c r="E208" s="1203">
        <f t="shared" si="87"/>
        <v>0</v>
      </c>
      <c r="F208" s="1203">
        <f t="shared" si="87"/>
        <v>0</v>
      </c>
      <c r="G208" s="1203">
        <f t="shared" si="87"/>
        <v>0</v>
      </c>
      <c r="H208" s="1203">
        <f t="shared" si="87"/>
        <v>0</v>
      </c>
      <c r="I208" s="1203">
        <f t="shared" si="87"/>
        <v>0</v>
      </c>
      <c r="J208" s="1203">
        <f t="shared" si="87"/>
        <v>0</v>
      </c>
      <c r="K208" s="1203">
        <f t="shared" si="87"/>
        <v>0</v>
      </c>
      <c r="L208" s="1203" t="e">
        <f t="shared" si="87"/>
        <v>#DIV/0!</v>
      </c>
      <c r="M208" s="1203">
        <f t="shared" si="87"/>
        <v>0</v>
      </c>
      <c r="N208" s="1203">
        <f t="shared" si="87"/>
        <v>0</v>
      </c>
      <c r="O208" s="1203">
        <f t="shared" si="87"/>
        <v>0</v>
      </c>
      <c r="P208" s="1203" t="e">
        <f t="shared" si="87"/>
        <v>#DIV/0!</v>
      </c>
      <c r="Q208" s="1203" t="e">
        <f t="shared" si="87"/>
        <v>#DIV/0!</v>
      </c>
      <c r="R208" s="1203" t="e">
        <f t="shared" si="87"/>
        <v>#DIV/0!</v>
      </c>
      <c r="S208" s="1203" t="e">
        <f t="shared" si="87"/>
        <v>#DIV/0!</v>
      </c>
      <c r="T208" s="1203" t="e">
        <f t="shared" si="87"/>
        <v>#DIV/0!</v>
      </c>
      <c r="U208" s="1203" t="e">
        <f t="shared" si="87"/>
        <v>#DIV/0!</v>
      </c>
      <c r="V208" s="1203" t="e">
        <f t="shared" si="87"/>
        <v>#DIV/0!</v>
      </c>
      <c r="W208" s="1203" t="e">
        <f t="shared" si="87"/>
        <v>#DIV/0!</v>
      </c>
      <c r="X208" s="1203" t="e">
        <f t="shared" si="87"/>
        <v>#DIV/0!</v>
      </c>
      <c r="Y208" s="1203" t="e">
        <f t="shared" si="87"/>
        <v>#DIV/0!</v>
      </c>
      <c r="Z208" s="1203" t="e">
        <f t="shared" si="87"/>
        <v>#DIV/0!</v>
      </c>
      <c r="AA208" s="1203" t="e">
        <f t="shared" si="87"/>
        <v>#DIV/0!</v>
      </c>
      <c r="AB208" s="1204" t="e">
        <f t="shared" si="87"/>
        <v>#DIV/0!</v>
      </c>
      <c r="AC208" s="1186"/>
      <c r="AD208" s="1172"/>
    </row>
    <row r="209" spans="2:30" ht="77.25" thickBot="1" x14ac:dyDescent="0.25">
      <c r="B209" s="2150"/>
      <c r="C209" s="1189" t="str">
        <f>'TRAD-Adults YEAR(1)'!B86</f>
        <v>Quantités de conditionnements nécessaires pour l'ensemble des patients initiés sur 1 mois</v>
      </c>
      <c r="D209" s="1205">
        <f>D208*D177</f>
        <v>0</v>
      </c>
      <c r="E209" s="1205">
        <f t="shared" ref="E209:AB209" si="88">E208*E177</f>
        <v>0</v>
      </c>
      <c r="F209" s="1205">
        <f t="shared" ref="F209" si="89">F208*F177</f>
        <v>0</v>
      </c>
      <c r="G209" s="1205">
        <f t="shared" si="88"/>
        <v>0</v>
      </c>
      <c r="H209" s="1205">
        <f t="shared" ref="H209" si="90">H208*H177</f>
        <v>0</v>
      </c>
      <c r="I209" s="1205">
        <f t="shared" si="88"/>
        <v>0</v>
      </c>
      <c r="J209" s="1205">
        <f t="shared" si="88"/>
        <v>0</v>
      </c>
      <c r="K209" s="1205">
        <f t="shared" si="88"/>
        <v>0</v>
      </c>
      <c r="L209" s="1205" t="e">
        <f t="shared" si="88"/>
        <v>#DIV/0!</v>
      </c>
      <c r="M209" s="1205">
        <f t="shared" si="88"/>
        <v>0</v>
      </c>
      <c r="N209" s="1205">
        <f t="shared" si="88"/>
        <v>0</v>
      </c>
      <c r="O209" s="1205">
        <f t="shared" si="88"/>
        <v>0</v>
      </c>
      <c r="P209" s="1205" t="e">
        <f t="shared" si="88"/>
        <v>#DIV/0!</v>
      </c>
      <c r="Q209" s="1205" t="e">
        <f t="shared" si="88"/>
        <v>#DIV/0!</v>
      </c>
      <c r="R209" s="1205" t="e">
        <f t="shared" si="88"/>
        <v>#DIV/0!</v>
      </c>
      <c r="S209" s="1205" t="e">
        <f t="shared" si="88"/>
        <v>#DIV/0!</v>
      </c>
      <c r="T209" s="1205" t="e">
        <f t="shared" si="88"/>
        <v>#DIV/0!</v>
      </c>
      <c r="U209" s="1205" t="e">
        <f t="shared" si="88"/>
        <v>#DIV/0!</v>
      </c>
      <c r="V209" s="1205" t="e">
        <f t="shared" si="88"/>
        <v>#DIV/0!</v>
      </c>
      <c r="W209" s="1205" t="e">
        <f t="shared" si="88"/>
        <v>#DIV/0!</v>
      </c>
      <c r="X209" s="1205" t="e">
        <f t="shared" si="88"/>
        <v>#DIV/0!</v>
      </c>
      <c r="Y209" s="1205" t="e">
        <f t="shared" si="88"/>
        <v>#DIV/0!</v>
      </c>
      <c r="Z209" s="1205" t="e">
        <f t="shared" si="88"/>
        <v>#DIV/0!</v>
      </c>
      <c r="AA209" s="1205" t="e">
        <f t="shared" si="88"/>
        <v>#DIV/0!</v>
      </c>
      <c r="AB209" s="1206" t="e">
        <f t="shared" si="88"/>
        <v>#DIV/0!</v>
      </c>
      <c r="AC209" s="1186"/>
      <c r="AD209" s="1172"/>
    </row>
    <row r="210" spans="2:30" ht="64.5" thickBot="1" x14ac:dyDescent="0.25">
      <c r="B210" s="2150"/>
      <c r="C210" s="1189" t="str">
        <f>'TRAD-Adults YEAR(1)'!B87</f>
        <v>Quantités conditionnements nécessaires Spécificités 3èmes lignes pour 1 mois</v>
      </c>
      <c r="D210" s="1205">
        <f t="shared" ref="D210:AB210" si="91">(IF(D198="X", $AE$198*D179, "0")+IF(D198="A", $AE$198*D178*D179, "0"))*D177</f>
        <v>0</v>
      </c>
      <c r="E210" s="1205">
        <f t="shared" si="91"/>
        <v>0</v>
      </c>
      <c r="F210" s="1205">
        <f t="shared" si="91"/>
        <v>0</v>
      </c>
      <c r="G210" s="1205">
        <f t="shared" si="91"/>
        <v>0</v>
      </c>
      <c r="H210" s="1205">
        <f t="shared" si="91"/>
        <v>0</v>
      </c>
      <c r="I210" s="1205">
        <f t="shared" si="91"/>
        <v>0</v>
      </c>
      <c r="J210" s="1205">
        <f t="shared" si="91"/>
        <v>0</v>
      </c>
      <c r="K210" s="1205">
        <f t="shared" si="91"/>
        <v>0</v>
      </c>
      <c r="L210" s="1205" t="e">
        <f t="shared" si="91"/>
        <v>#DIV/0!</v>
      </c>
      <c r="M210" s="1205">
        <f t="shared" si="91"/>
        <v>0</v>
      </c>
      <c r="N210" s="1205">
        <f t="shared" si="91"/>
        <v>0</v>
      </c>
      <c r="O210" s="1205">
        <f t="shared" si="91"/>
        <v>0</v>
      </c>
      <c r="P210" s="1205" t="e">
        <f t="shared" si="91"/>
        <v>#DIV/0!</v>
      </c>
      <c r="Q210" s="1205" t="e">
        <f t="shared" si="91"/>
        <v>#DIV/0!</v>
      </c>
      <c r="R210" s="1205" t="e">
        <f t="shared" si="91"/>
        <v>#DIV/0!</v>
      </c>
      <c r="S210" s="1205" t="e">
        <f t="shared" si="91"/>
        <v>#DIV/0!</v>
      </c>
      <c r="T210" s="1205" t="e">
        <f t="shared" si="91"/>
        <v>#DIV/0!</v>
      </c>
      <c r="U210" s="1205">
        <f t="shared" si="91"/>
        <v>0</v>
      </c>
      <c r="V210" s="1205" t="e">
        <f t="shared" si="91"/>
        <v>#DIV/0!</v>
      </c>
      <c r="W210" s="1205" t="e">
        <f t="shared" si="91"/>
        <v>#DIV/0!</v>
      </c>
      <c r="X210" s="1205" t="e">
        <f t="shared" si="91"/>
        <v>#DIV/0!</v>
      </c>
      <c r="Y210" s="1205" t="e">
        <f t="shared" si="91"/>
        <v>#DIV/0!</v>
      </c>
      <c r="Z210" s="1205" t="e">
        <f t="shared" si="91"/>
        <v>#DIV/0!</v>
      </c>
      <c r="AA210" s="1205" t="e">
        <f t="shared" si="91"/>
        <v>#DIV/0!</v>
      </c>
      <c r="AB210" s="1206" t="e">
        <f t="shared" si="91"/>
        <v>#DIV/0!</v>
      </c>
      <c r="AC210" s="1186"/>
      <c r="AD210" s="1172"/>
    </row>
    <row r="211" spans="2:30" ht="77.25" thickBot="1" x14ac:dyDescent="0.25">
      <c r="B211" s="2150"/>
      <c r="C211" s="1189" t="str">
        <f>'TRAD-Adults YEAR(1)'!B88</f>
        <v>Qtés conditionnements pour l'ensemble des patients initiés sur toute la période sans SS</v>
      </c>
      <c r="D211" s="1205">
        <f>(D209+D210)*$I$6</f>
        <v>0</v>
      </c>
      <c r="E211" s="1205">
        <f t="shared" ref="E211:AB211" si="92">(E209+E210)*$I$6</f>
        <v>0</v>
      </c>
      <c r="F211" s="1205">
        <f t="shared" ref="F211" si="93">(F209+F210)*$I$6</f>
        <v>0</v>
      </c>
      <c r="G211" s="1205">
        <f t="shared" si="92"/>
        <v>0</v>
      </c>
      <c r="H211" s="1205">
        <f t="shared" ref="H211" si="94">(H209+H210)*$I$6</f>
        <v>0</v>
      </c>
      <c r="I211" s="1205">
        <f t="shared" si="92"/>
        <v>0</v>
      </c>
      <c r="J211" s="1205">
        <f t="shared" si="92"/>
        <v>0</v>
      </c>
      <c r="K211" s="1205">
        <f t="shared" si="92"/>
        <v>0</v>
      </c>
      <c r="L211" s="1205" t="e">
        <f t="shared" si="92"/>
        <v>#DIV/0!</v>
      </c>
      <c r="M211" s="1205">
        <f t="shared" si="92"/>
        <v>0</v>
      </c>
      <c r="N211" s="1205">
        <f t="shared" si="92"/>
        <v>0</v>
      </c>
      <c r="O211" s="1205">
        <f t="shared" si="92"/>
        <v>0</v>
      </c>
      <c r="P211" s="1205" t="e">
        <f t="shared" si="92"/>
        <v>#DIV/0!</v>
      </c>
      <c r="Q211" s="1205" t="e">
        <f t="shared" si="92"/>
        <v>#DIV/0!</v>
      </c>
      <c r="R211" s="1205" t="e">
        <f t="shared" si="92"/>
        <v>#DIV/0!</v>
      </c>
      <c r="S211" s="1205" t="e">
        <f t="shared" si="92"/>
        <v>#DIV/0!</v>
      </c>
      <c r="T211" s="1205" t="e">
        <f t="shared" si="92"/>
        <v>#DIV/0!</v>
      </c>
      <c r="U211" s="1205" t="e">
        <f t="shared" si="92"/>
        <v>#DIV/0!</v>
      </c>
      <c r="V211" s="1205" t="e">
        <f t="shared" si="92"/>
        <v>#DIV/0!</v>
      </c>
      <c r="W211" s="1205" t="e">
        <f t="shared" si="92"/>
        <v>#DIV/0!</v>
      </c>
      <c r="X211" s="1205" t="e">
        <f t="shared" si="92"/>
        <v>#DIV/0!</v>
      </c>
      <c r="Y211" s="1205" t="e">
        <f t="shared" si="92"/>
        <v>#DIV/0!</v>
      </c>
      <c r="Z211" s="1205" t="e">
        <f t="shared" si="92"/>
        <v>#DIV/0!</v>
      </c>
      <c r="AA211" s="1205" t="e">
        <f t="shared" si="92"/>
        <v>#DIV/0!</v>
      </c>
      <c r="AB211" s="1206" t="e">
        <f t="shared" si="92"/>
        <v>#DIV/0!</v>
      </c>
      <c r="AC211" s="1186"/>
      <c r="AD211" s="1172"/>
    </row>
    <row r="212" spans="2:30" ht="77.25" thickBot="1" x14ac:dyDescent="0.25">
      <c r="B212" s="2151"/>
      <c r="C212" s="1189" t="str">
        <f>'TRAD-Adults YEAR(1)'!B89</f>
        <v>Qtés conditionnements pour l'ensemble des patients initiés sur toute la période avec SS</v>
      </c>
      <c r="D212" s="1207">
        <f>(D209+D210)*$I$7</f>
        <v>0</v>
      </c>
      <c r="E212" s="1207">
        <f t="shared" ref="E212:AB212" si="95">(E209+E210)*$I$7</f>
        <v>0</v>
      </c>
      <c r="F212" s="1207">
        <f t="shared" ref="F212" si="96">(F209+F210)*$I$7</f>
        <v>0</v>
      </c>
      <c r="G212" s="1207">
        <f t="shared" si="95"/>
        <v>0</v>
      </c>
      <c r="H212" s="1207">
        <f t="shared" ref="H212" si="97">(H209+H210)*$I$7</f>
        <v>0</v>
      </c>
      <c r="I212" s="1207">
        <f t="shared" si="95"/>
        <v>0</v>
      </c>
      <c r="J212" s="1207">
        <f t="shared" si="95"/>
        <v>0</v>
      </c>
      <c r="K212" s="1207">
        <f t="shared" si="95"/>
        <v>0</v>
      </c>
      <c r="L212" s="1207" t="e">
        <f t="shared" si="95"/>
        <v>#DIV/0!</v>
      </c>
      <c r="M212" s="1207">
        <f t="shared" si="95"/>
        <v>0</v>
      </c>
      <c r="N212" s="1207">
        <f t="shared" si="95"/>
        <v>0</v>
      </c>
      <c r="O212" s="1207">
        <f t="shared" si="95"/>
        <v>0</v>
      </c>
      <c r="P212" s="1207" t="e">
        <f t="shared" si="95"/>
        <v>#DIV/0!</v>
      </c>
      <c r="Q212" s="1207" t="e">
        <f t="shared" si="95"/>
        <v>#DIV/0!</v>
      </c>
      <c r="R212" s="1207" t="e">
        <f t="shared" si="95"/>
        <v>#DIV/0!</v>
      </c>
      <c r="S212" s="1207" t="e">
        <f t="shared" si="95"/>
        <v>#DIV/0!</v>
      </c>
      <c r="T212" s="1207" t="e">
        <f t="shared" si="95"/>
        <v>#DIV/0!</v>
      </c>
      <c r="U212" s="1207" t="e">
        <f t="shared" si="95"/>
        <v>#DIV/0!</v>
      </c>
      <c r="V212" s="1207" t="e">
        <f t="shared" si="95"/>
        <v>#DIV/0!</v>
      </c>
      <c r="W212" s="1207" t="e">
        <f t="shared" si="95"/>
        <v>#DIV/0!</v>
      </c>
      <c r="X212" s="1207" t="e">
        <f t="shared" si="95"/>
        <v>#DIV/0!</v>
      </c>
      <c r="Y212" s="1207" t="e">
        <f t="shared" si="95"/>
        <v>#DIV/0!</v>
      </c>
      <c r="Z212" s="1207" t="e">
        <f t="shared" si="95"/>
        <v>#DIV/0!</v>
      </c>
      <c r="AA212" s="1207" t="e">
        <f t="shared" si="95"/>
        <v>#DIV/0!</v>
      </c>
      <c r="AB212" s="1208" t="e">
        <f t="shared" si="95"/>
        <v>#DIV/0!</v>
      </c>
      <c r="AC212" s="1186"/>
      <c r="AD212" s="1172"/>
    </row>
    <row r="213" spans="2:30" ht="39" thickBot="1" x14ac:dyDescent="0.25">
      <c r="B213" s="2152" t="str">
        <f>'TRAD-Adults YEAR(1)'!B96</f>
        <v>Initiation NVP</v>
      </c>
      <c r="C213" s="1189" t="str">
        <f>'TRAD-Adults YEAR(1)'!B98</f>
        <v>Besoins pour initiation NVP sans SS</v>
      </c>
      <c r="D213" s="1203">
        <f>IF('Data &amp; hypothesis Adults'!D184="X", 'Adults YEAR1'!AD181*0.25, "0")*$D$6</f>
        <v>0</v>
      </c>
      <c r="E213" s="1203"/>
      <c r="F213" s="1582"/>
      <c r="G213" s="1203">
        <f>IF('Data &amp; hypothesis Adults'!D184="X", 'Adults YEAR1'!AD181*0.25, IF('Data &amp; hypothesis Adults'!D185="X", 'Adults YEAR1'!AD181*0.5, "0"))*$D$6</f>
        <v>0</v>
      </c>
      <c r="H213" s="1582"/>
      <c r="I213" s="1203">
        <f>IF('Data &amp; hypothesis Adults'!D186="X", 'Adults YEAR1'!AD186*0.25, "0")*$D$6</f>
        <v>0</v>
      </c>
      <c r="J213" s="1203">
        <f>IF('Data &amp; hypothesis Adults'!D186="X", 'Adults YEAR1'!AD186*0.25, IF('Data &amp; hypothesis Adults'!D187="X", 'Adults YEAR1'!AD186*0.5, "0"))*$D$6</f>
        <v>0</v>
      </c>
      <c r="K213" s="1203"/>
      <c r="L213" s="1203"/>
      <c r="M213" s="1203"/>
      <c r="N213" s="1203">
        <f>(IF('Data &amp; hypothesis Adults'!D185="X",'Adults YEAR1'!AD181*0.25,"0")+IF('Data &amp; hypothesis Adults'!D187="X",'Adults YEAR1'!AD186*0.25,"0"))*$D$6</f>
        <v>0</v>
      </c>
      <c r="O213" s="1203"/>
      <c r="P213" s="1203"/>
      <c r="Q213" s="1203"/>
      <c r="R213" s="1203"/>
      <c r="S213" s="1203"/>
      <c r="T213" s="1203"/>
      <c r="U213" s="1203"/>
      <c r="V213" s="1203"/>
      <c r="W213" s="1203"/>
      <c r="X213" s="1203"/>
      <c r="Y213" s="1203"/>
      <c r="Z213" s="1203"/>
      <c r="AA213" s="1203"/>
      <c r="AB213" s="1204"/>
      <c r="AC213" s="1186"/>
      <c r="AD213" s="1172"/>
    </row>
    <row r="214" spans="2:30" ht="39" thickBot="1" x14ac:dyDescent="0.25">
      <c r="B214" s="2153"/>
      <c r="C214" s="1189" t="str">
        <f>'TRAD-Adults YEAR(1)'!B99</f>
        <v>Besoins pour initiation NVP avec SS</v>
      </c>
      <c r="D214" s="1209">
        <f>IF('Data &amp; hypothesis Adults'!D184="X", 'Adults YEAR1'!AD181*0.25, "0")*$D$7</f>
        <v>15.450000000000001</v>
      </c>
      <c r="E214" s="1209"/>
      <c r="F214" s="1209"/>
      <c r="G214" s="1209">
        <f>IF('Data &amp; hypothesis Adults'!D184="X", 'Adults YEAR1'!AD181*0.25, IF('Data &amp; hypothesis Adults'!D185="X", 'Adults YEAR1'!AD181*0.5, "0"))*$D$7</f>
        <v>15.450000000000001</v>
      </c>
      <c r="H214" s="1209"/>
      <c r="I214" s="1209">
        <f>IF('Data &amp; hypothesis Adults'!D186="X", 'Adults YEAR1'!AD186*0.25, "0")*$D$7</f>
        <v>0</v>
      </c>
      <c r="J214" s="1209">
        <f>IF('Data &amp; hypothesis Adults'!D186="X", 'Adults YEAR1'!AD186*0.25, IF('Data &amp; hypothesis Adults'!D187="X", 'Adults YEAR1'!AD186*0.5, "0"))*$D$7</f>
        <v>0</v>
      </c>
      <c r="K214" s="1209"/>
      <c r="L214" s="1209"/>
      <c r="M214" s="1209"/>
      <c r="N214" s="1209">
        <f>(IF('Data &amp; hypothesis Adults'!D185="X",'Adults YEAR1'!AD181*0.25,"0")+IF('Data &amp; hypothesis Adults'!D187="X",'Adults YEAR1'!AD186*0.25,"0"))*$D$7</f>
        <v>0</v>
      </c>
      <c r="O214" s="1209"/>
      <c r="P214" s="1209"/>
      <c r="Q214" s="1209"/>
      <c r="R214" s="1209"/>
      <c r="S214" s="1209"/>
      <c r="T214" s="1209"/>
      <c r="U214" s="1209"/>
      <c r="V214" s="1209"/>
      <c r="W214" s="1209"/>
      <c r="X214" s="1209"/>
      <c r="Y214" s="1209"/>
      <c r="Z214" s="1209"/>
      <c r="AA214" s="1209"/>
      <c r="AB214" s="1210"/>
      <c r="AC214" s="1186"/>
      <c r="AD214" s="1172"/>
    </row>
    <row r="215" spans="2:30" ht="26.25" customHeight="1" thickBot="1" x14ac:dyDescent="0.3">
      <c r="B215" s="1201" t="str">
        <f>'TRAD-Adults YEAR(1)'!B97</f>
        <v>Défalcation retrait du passage en 2ème sur les 1ères lignes (ATTENTION négatif)</v>
      </c>
      <c r="C215" s="1189" t="str">
        <f>'TRAD-Adults YEAR(1)'!B100</f>
        <v>Défalcation sans SS</v>
      </c>
      <c r="D215" s="1203" t="str">
        <f>IF('Data &amp; hypothesis Adults'!$G$124="X", SUMIF(D181:D198, "X", $AF181:$AF198)*$I$6*'Data &amp; hypothesis Adults'!$G$126*D177, "0")</f>
        <v>0</v>
      </c>
      <c r="E215" s="1203" t="str">
        <f>IF('Data &amp; hypothesis Adults'!$G$124="X", SUMIF(E181:E198, "X", $AF181:$AF198)*$I$6*'Data &amp; hypothesis Adults'!$G$126*E177, "0")</f>
        <v>0</v>
      </c>
      <c r="F215" s="1203" t="str">
        <f>IF('Data &amp; hypothesis Adults'!$G$124="X", SUMIF(F181:F198, "X", $AF181:$AF198)*$I$6*'Data &amp; hypothesis Adults'!$G$126*F177, "0")</f>
        <v>0</v>
      </c>
      <c r="G215" s="1203" t="str">
        <f>IF('Data &amp; hypothesis Adults'!$G$124="X", SUMIF(G181:G198, "X", $AF181:$AF198)*$I$6*'Data &amp; hypothesis Adults'!$G$126*G177, "0")</f>
        <v>0</v>
      </c>
      <c r="H215" s="1203" t="str">
        <f>IF('Data &amp; hypothesis Adults'!$G$124="X", SUMIF(H181:H198, "X", $AF181:$AF198)*$I$6*'Data &amp; hypothesis Adults'!$G$126*H177, "0")</f>
        <v>0</v>
      </c>
      <c r="I215" s="1203" t="str">
        <f>IF('Data &amp; hypothesis Adults'!$G$124="X", SUMIF(I181:I198, "X", $AF181:$AF198)*$I$6*'Data &amp; hypothesis Adults'!$G$126*I177, "0")</f>
        <v>0</v>
      </c>
      <c r="J215" s="1203" t="str">
        <f>IF('Data &amp; hypothesis Adults'!$G$124="X", SUMIF(J181:J198, "X", $AF181:$AF198)*$I$6*'Data &amp; hypothesis Adults'!$G$126*J177, "0")</f>
        <v>0</v>
      </c>
      <c r="K215" s="1203" t="str">
        <f>IF('Data &amp; hypothesis Adults'!$G$124="X", SUMIF(K181:K198, "X", $AF181:$AF198)*$I$6*'Data &amp; hypothesis Adults'!$G$126*K177, "0")</f>
        <v>0</v>
      </c>
      <c r="L215" s="1203" t="str">
        <f>IF('Data &amp; hypothesis Adults'!$G$124="X", SUMIF(L181:L198, "X", $AF181:$AF198)*$I$6*'Data &amp; hypothesis Adults'!$G$126*L177, "0")</f>
        <v>0</v>
      </c>
      <c r="M215" s="1203" t="str">
        <f>IF('Data &amp; hypothesis Adults'!$G$124="X", SUMIF(M181:M198, "X", $AF181:$AF198)*$I$6*'Data &amp; hypothesis Adults'!$G$126*M177, "0")</f>
        <v>0</v>
      </c>
      <c r="N215" s="1203" t="str">
        <f>IF('Data &amp; hypothesis Adults'!$G$124="X", SUMIF(N181:N198, "X", $AF181:$AF198)*$I$6*'Data &amp; hypothesis Adults'!$G$126*N177, "0")</f>
        <v>0</v>
      </c>
      <c r="O215" s="1203" t="str">
        <f>IF('Data &amp; hypothesis Adults'!$G$124="X", SUMIF(O181:O198, "X", $AF181:$AF198)*$I$6*'Data &amp; hypothesis Adults'!$G$126*O177, "0")</f>
        <v>0</v>
      </c>
      <c r="P215" s="1203" t="str">
        <f>IF('Data &amp; hypothesis Adults'!$G$124="X", SUMIF(P181:P198, "X", $AF181:$AF198)*$I$6*'Data &amp; hypothesis Adults'!$G$126*P177, "0")</f>
        <v>0</v>
      </c>
      <c r="Q215" s="1203" t="str">
        <f>IF('Data &amp; hypothesis Adults'!$G$124="X", SUMIF(Q181:Q198, "X", $AF181:$AF198)*$I$6*'Data &amp; hypothesis Adults'!$G$126*Q177, "0")</f>
        <v>0</v>
      </c>
      <c r="R215" s="1203" t="str">
        <f>IF('Data &amp; hypothesis Adults'!$G$124="X", SUMIF(R181:R198, "X", $AF181:$AF198)*$I$6*'Data &amp; hypothesis Adults'!$G$126*R177, "0")</f>
        <v>0</v>
      </c>
      <c r="S215" s="1203" t="str">
        <f>IF('Data &amp; hypothesis Adults'!$G$124="X", SUMIF(S181:S198, "X", $AF181:$AF198)*$I$6*'Data &amp; hypothesis Adults'!$G$126*S177, "0")</f>
        <v>0</v>
      </c>
      <c r="T215" s="1203" t="str">
        <f>IF('Data &amp; hypothesis Adults'!$G$124="X", SUMIF(T181:T198, "X", $AF181:$AF198)*$I$6*'Data &amp; hypothesis Adults'!$G$126*T177, "0")</f>
        <v>0</v>
      </c>
      <c r="U215" s="1203" t="str">
        <f>IF('Data &amp; hypothesis Adults'!$G$124="X", SUMIF(U181:U198, "X", $AF181:$AF198)*$I$6*'Data &amp; hypothesis Adults'!$G$126*U177, "0")</f>
        <v>0</v>
      </c>
      <c r="V215" s="1203" t="str">
        <f>IF('Data &amp; hypothesis Adults'!$G$124="X", SUMIF(V181:V198, "X", $AF181:$AF198)*$I$6*'Data &amp; hypothesis Adults'!$G$126*V177, "0")</f>
        <v>0</v>
      </c>
      <c r="W215" s="1203" t="str">
        <f>IF('Data &amp; hypothesis Adults'!$G$124="X", SUMIF(W181:W198, "X", $AF181:$AF198)*$I$6*'Data &amp; hypothesis Adults'!$G$126*W177, "0")</f>
        <v>0</v>
      </c>
      <c r="X215" s="1203" t="str">
        <f>IF('Data &amp; hypothesis Adults'!$G$124="X", SUMIF(X181:X198, "X", $AF181:$AF198)*$I$6*'Data &amp; hypothesis Adults'!$G$126*X177, "0")</f>
        <v>0</v>
      </c>
      <c r="Y215" s="1203" t="str">
        <f>IF('Data &amp; hypothesis Adults'!$G$124="X", SUMIF(Y181:Y198, "X", $AF181:$AF198)*$I$6*'Data &amp; hypothesis Adults'!$G$126*Y177, "0")</f>
        <v>0</v>
      </c>
      <c r="Z215" s="1203" t="str">
        <f>IF('Data &amp; hypothesis Adults'!$G$124="X", SUMIF(Z181:Z198, "X", $AF181:$AF198)*$I$6*'Data &amp; hypothesis Adults'!$G$126*Z177, "0")</f>
        <v>0</v>
      </c>
      <c r="AA215" s="1203" t="str">
        <f>IF('Data &amp; hypothesis Adults'!$G$124="X", SUMIF(AA181:AA198, "X", $AF181:$AF198)*$I$6*'Data &amp; hypothesis Adults'!$G$126*AA177, "0")</f>
        <v>0</v>
      </c>
      <c r="AB215" s="1204" t="str">
        <f>IF('Data &amp; hypothesis Adults'!$G$124="X", SUMIF(AB181:AB198, "X", $AF181:$AF198)*$I$6*'Data &amp; hypothesis Adults'!$G$126*AB177, "0")</f>
        <v>0</v>
      </c>
      <c r="AC215" s="1186"/>
      <c r="AD215" s="1172"/>
    </row>
    <row r="216" spans="2:30" ht="13.5" customHeight="1" thickBot="1" x14ac:dyDescent="0.3">
      <c r="B216" s="1202"/>
      <c r="C216" s="1189" t="str">
        <f>'TRAD-Adults YEAR(1)'!B101</f>
        <v>Défalcation avec SS</v>
      </c>
      <c r="D216" s="1207" t="str">
        <f>IF('Data &amp; hypothesis Adults'!$G$124="X", SUMIF(D181:D198, "X", $AF181:$AF198)*$I$7*'Data &amp; hypothesis Adults'!$G$126*D177, "0")</f>
        <v>0</v>
      </c>
      <c r="E216" s="1207" t="str">
        <f>IF('Data &amp; hypothesis Adults'!$G$124="X", SUMIF(E181:E198, "X", $AF181:$AF198)*$I$7*'Data &amp; hypothesis Adults'!$G$126*E177, "0")</f>
        <v>0</v>
      </c>
      <c r="F216" s="1207" t="str">
        <f>IF('Data &amp; hypothesis Adults'!$G$124="X", SUMIF(F181:F198, "X", $AF181:$AF198)*$I$7*'Data &amp; hypothesis Adults'!$G$126*F177, "0")</f>
        <v>0</v>
      </c>
      <c r="G216" s="1207" t="str">
        <f>IF('Data &amp; hypothesis Adults'!$G$124="X", SUMIF(G181:G198, "X", $AF181:$AF198)*$I$7*'Data &amp; hypothesis Adults'!$G$126*G177, "0")</f>
        <v>0</v>
      </c>
      <c r="H216" s="1207" t="str">
        <f>IF('Data &amp; hypothesis Adults'!$G$124="X", SUMIF(H181:H198, "X", $AF181:$AF198)*$I$7*'Data &amp; hypothesis Adults'!$G$126*H177, "0")</f>
        <v>0</v>
      </c>
      <c r="I216" s="1207" t="str">
        <f>IF('Data &amp; hypothesis Adults'!$G$124="X", SUMIF(I181:I198, "X", $AF181:$AF198)*$I$7*'Data &amp; hypothesis Adults'!$G$126*I177, "0")</f>
        <v>0</v>
      </c>
      <c r="J216" s="1207" t="str">
        <f>IF('Data &amp; hypothesis Adults'!$G$124="X", SUMIF(J181:J198, "X", $AF181:$AF198)*$I$7*'Data &amp; hypothesis Adults'!$G$126*J177, "0")</f>
        <v>0</v>
      </c>
      <c r="K216" s="1207" t="str">
        <f>IF('Data &amp; hypothesis Adults'!$G$124="X", SUMIF(K181:K198, "X", $AF181:$AF198)*$I$7*'Data &amp; hypothesis Adults'!$G$126*K177, "0")</f>
        <v>0</v>
      </c>
      <c r="L216" s="1207" t="str">
        <f>IF('Data &amp; hypothesis Adults'!$G$124="X", SUMIF(L181:L198, "X", $AF181:$AF198)*$I$7*'Data &amp; hypothesis Adults'!$G$126*L177, "0")</f>
        <v>0</v>
      </c>
      <c r="M216" s="1207" t="str">
        <f>IF('Data &amp; hypothesis Adults'!$G$124="X", SUMIF(M181:M198, "X", $AF181:$AF198)*$I$7*'Data &amp; hypothesis Adults'!$G$126*M177, "0")</f>
        <v>0</v>
      </c>
      <c r="N216" s="1207" t="str">
        <f>IF('Data &amp; hypothesis Adults'!$G$124="X", SUMIF(N181:N198, "X", $AF181:$AF198)*$I$7*'Data &amp; hypothesis Adults'!$G$126*N177, "0")</f>
        <v>0</v>
      </c>
      <c r="O216" s="1207" t="str">
        <f>IF('Data &amp; hypothesis Adults'!$G$124="X", SUMIF(O181:O198, "X", $AF181:$AF198)*$I$7*'Data &amp; hypothesis Adults'!$G$126*O177, "0")</f>
        <v>0</v>
      </c>
      <c r="P216" s="1207" t="str">
        <f>IF('Data &amp; hypothesis Adults'!$G$124="X", SUMIF(P181:P198, "X", $AF181:$AF198)*$I$7*'Data &amp; hypothesis Adults'!$G$126*P177, "0")</f>
        <v>0</v>
      </c>
      <c r="Q216" s="1207" t="str">
        <f>IF('Data &amp; hypothesis Adults'!$G$124="X", SUMIF(Q181:Q198, "X", $AF181:$AF198)*$I$7*'Data &amp; hypothesis Adults'!$G$126*Q177, "0")</f>
        <v>0</v>
      </c>
      <c r="R216" s="1207" t="str">
        <f>IF('Data &amp; hypothesis Adults'!$G$124="X", SUMIF(R181:R198, "X", $AF181:$AF198)*$I$7*'Data &amp; hypothesis Adults'!$G$126*R177, "0")</f>
        <v>0</v>
      </c>
      <c r="S216" s="1207" t="str">
        <f>IF('Data &amp; hypothesis Adults'!$G$124="X", SUMIF(S181:S198, "X", $AF181:$AF198)*$I$7*'Data &amp; hypothesis Adults'!$G$126*S177, "0")</f>
        <v>0</v>
      </c>
      <c r="T216" s="1207" t="str">
        <f>IF('Data &amp; hypothesis Adults'!$G$124="X", SUMIF(T181:T198, "X", $AF181:$AF198)*$I$7*'Data &amp; hypothesis Adults'!$G$126*T177, "0")</f>
        <v>0</v>
      </c>
      <c r="U216" s="1207" t="str">
        <f>IF('Data &amp; hypothesis Adults'!$G$124="X", SUMIF(U181:U198, "X", $AF181:$AF198)*$I$7*'Data &amp; hypothesis Adults'!$G$126*U177, "0")</f>
        <v>0</v>
      </c>
      <c r="V216" s="1207" t="str">
        <f>IF('Data &amp; hypothesis Adults'!$G$124="X", SUMIF(V181:V198, "X", $AF181:$AF198)*$I$7*'Data &amp; hypothesis Adults'!$G$126*V177, "0")</f>
        <v>0</v>
      </c>
      <c r="W216" s="1207" t="str">
        <f>IF('Data &amp; hypothesis Adults'!$G$124="X", SUMIF(W181:W198, "X", $AF181:$AF198)*$I$7*'Data &amp; hypothesis Adults'!$G$126*W177, "0")</f>
        <v>0</v>
      </c>
      <c r="X216" s="1207" t="str">
        <f>IF('Data &amp; hypothesis Adults'!$G$124="X", SUMIF(X181:X198, "X", $AF181:$AF198)*$I$7*'Data &amp; hypothesis Adults'!$G$126*X177, "0")</f>
        <v>0</v>
      </c>
      <c r="Y216" s="1207" t="str">
        <f>IF('Data &amp; hypothesis Adults'!$G$124="X", SUMIF(Y181:Y198, "X", $AF181:$AF198)*$I$7*'Data &amp; hypothesis Adults'!$G$126*Y177, "0")</f>
        <v>0</v>
      </c>
      <c r="Z216" s="1207" t="str">
        <f>IF('Data &amp; hypothesis Adults'!$G$124="X", SUMIF(Z181:Z198, "X", $AF181:$AF198)*$I$7*'Data &amp; hypothesis Adults'!$G$126*Z177, "0")</f>
        <v>0</v>
      </c>
      <c r="AA216" s="1207" t="str">
        <f>IF('Data &amp; hypothesis Adults'!$G$124="X", SUMIF(AA181:AA198, "X", $AF181:$AF198)*$I$7*'Data &amp; hypothesis Adults'!$G$126*AA177, "0")</f>
        <v>0</v>
      </c>
      <c r="AB216" s="1208" t="str">
        <f>IF('Data &amp; hypothesis Adults'!$G$124="X", SUMIF(AB181:AB198, "X", $AF181:$AF198)*$I$7*'Data &amp; hypothesis Adults'!$G$126*AB177, "0")</f>
        <v>0</v>
      </c>
      <c r="AC216" s="1186"/>
      <c r="AD216" s="1172"/>
    </row>
    <row r="217" spans="2:30" ht="26.25" thickBot="1" x14ac:dyDescent="0.3">
      <c r="B217" s="1170" t="s">
        <v>6</v>
      </c>
      <c r="C217" s="1189" t="str">
        <f>'TRAD-Adults YEAR(1)'!B102</f>
        <v>Besoins totaux hors SS</v>
      </c>
      <c r="D217" s="1191">
        <f>D201+D206+D211+D213-D215</f>
        <v>0</v>
      </c>
      <c r="E217" s="1191">
        <f t="shared" ref="E217:AB218" si="98">E201+E206+E211+E213-E215</f>
        <v>0</v>
      </c>
      <c r="F217" s="1191">
        <f t="shared" ref="F217" si="99">F201+F206+F211+F213-F215</f>
        <v>0</v>
      </c>
      <c r="G217" s="1191">
        <f t="shared" si="98"/>
        <v>0</v>
      </c>
      <c r="H217" s="1191">
        <f t="shared" ref="H217" si="100">H201+H206+H211+H213-H215</f>
        <v>0</v>
      </c>
      <c r="I217" s="1191">
        <f t="shared" si="98"/>
        <v>0</v>
      </c>
      <c r="J217" s="1191">
        <f t="shared" si="98"/>
        <v>0</v>
      </c>
      <c r="K217" s="1191">
        <f t="shared" si="98"/>
        <v>0</v>
      </c>
      <c r="L217" s="1191" t="e">
        <f t="shared" si="98"/>
        <v>#DIV/0!</v>
      </c>
      <c r="M217" s="1191">
        <f t="shared" si="98"/>
        <v>0</v>
      </c>
      <c r="N217" s="1191">
        <f t="shared" si="98"/>
        <v>0</v>
      </c>
      <c r="O217" s="1191">
        <f t="shared" si="98"/>
        <v>0</v>
      </c>
      <c r="P217" s="1191" t="e">
        <f t="shared" si="98"/>
        <v>#DIV/0!</v>
      </c>
      <c r="Q217" s="1191" t="e">
        <f t="shared" si="98"/>
        <v>#DIV/0!</v>
      </c>
      <c r="R217" s="1191" t="e">
        <f t="shared" si="98"/>
        <v>#DIV/0!</v>
      </c>
      <c r="S217" s="1191" t="e">
        <f t="shared" si="98"/>
        <v>#DIV/0!</v>
      </c>
      <c r="T217" s="1191" t="e">
        <f t="shared" si="98"/>
        <v>#DIV/0!</v>
      </c>
      <c r="U217" s="1191" t="e">
        <f t="shared" si="98"/>
        <v>#DIV/0!</v>
      </c>
      <c r="V217" s="1191" t="e">
        <f t="shared" si="98"/>
        <v>#DIV/0!</v>
      </c>
      <c r="W217" s="1191" t="e">
        <f t="shared" si="98"/>
        <v>#DIV/0!</v>
      </c>
      <c r="X217" s="1191" t="e">
        <f t="shared" si="98"/>
        <v>#DIV/0!</v>
      </c>
      <c r="Y217" s="1191" t="e">
        <f t="shared" si="98"/>
        <v>#DIV/0!</v>
      </c>
      <c r="Z217" s="1191" t="e">
        <f t="shared" si="98"/>
        <v>#DIV/0!</v>
      </c>
      <c r="AA217" s="1191" t="e">
        <f t="shared" si="98"/>
        <v>#DIV/0!</v>
      </c>
      <c r="AB217" s="1191" t="e">
        <f t="shared" si="98"/>
        <v>#DIV/0!</v>
      </c>
      <c r="AC217" s="1172"/>
      <c r="AD217" s="1172"/>
    </row>
    <row r="218" spans="2:30" ht="26.25" thickBot="1" x14ac:dyDescent="0.25">
      <c r="B218"/>
      <c r="C218" s="1189" t="str">
        <f>'TRAD-Adults YEAR(1)'!B103</f>
        <v>Besoins totaux avec SS</v>
      </c>
      <c r="D218" s="1191">
        <f>D202+D207+D212+D214-D216</f>
        <v>30905.001286789822</v>
      </c>
      <c r="E218" s="1180">
        <f t="shared" si="98"/>
        <v>225.08891748569528</v>
      </c>
      <c r="F218" s="1180">
        <f t="shared" ref="F218" si="101">F202+F207+F212+F214-F216</f>
        <v>0</v>
      </c>
      <c r="G218" s="1180">
        <f t="shared" si="98"/>
        <v>5980.7506093010652</v>
      </c>
      <c r="H218" s="1180">
        <f t="shared" ref="H218" si="102">H202+H207+H212+H214-H216</f>
        <v>195.91730664021833</v>
      </c>
      <c r="I218" s="1180">
        <f t="shared" si="98"/>
        <v>0</v>
      </c>
      <c r="J218" s="1180">
        <f t="shared" si="98"/>
        <v>0</v>
      </c>
      <c r="K218" s="1180">
        <f t="shared" si="98"/>
        <v>17206.520796994395</v>
      </c>
      <c r="L218" s="1180" t="e">
        <f t="shared" si="98"/>
        <v>#DIV/0!</v>
      </c>
      <c r="M218" s="1180">
        <f t="shared" si="98"/>
        <v>4114.4411578166419</v>
      </c>
      <c r="N218" s="1180">
        <f t="shared" si="98"/>
        <v>0</v>
      </c>
      <c r="O218" s="1180">
        <f t="shared" si="98"/>
        <v>0</v>
      </c>
      <c r="P218" s="1180" t="e">
        <f t="shared" si="98"/>
        <v>#DIV/0!</v>
      </c>
      <c r="Q218" s="1180" t="e">
        <f t="shared" si="98"/>
        <v>#DIV/0!</v>
      </c>
      <c r="R218" s="1180" t="e">
        <f t="shared" si="98"/>
        <v>#DIV/0!</v>
      </c>
      <c r="S218" s="1180" t="e">
        <f t="shared" si="98"/>
        <v>#DIV/0!</v>
      </c>
      <c r="T218" s="1180" t="e">
        <f t="shared" si="98"/>
        <v>#DIV/0!</v>
      </c>
      <c r="U218" s="1180" t="e">
        <f t="shared" si="98"/>
        <v>#DIV/0!</v>
      </c>
      <c r="V218" s="1180" t="e">
        <f t="shared" si="98"/>
        <v>#DIV/0!</v>
      </c>
      <c r="W218" s="1180" t="e">
        <f t="shared" si="98"/>
        <v>#DIV/0!</v>
      </c>
      <c r="X218" s="1180" t="e">
        <f t="shared" si="98"/>
        <v>#DIV/0!</v>
      </c>
      <c r="Y218" s="1180" t="e">
        <f t="shared" si="98"/>
        <v>#DIV/0!</v>
      </c>
      <c r="Z218" s="1180" t="e">
        <f t="shared" si="98"/>
        <v>#DIV/0!</v>
      </c>
      <c r="AA218" s="1180" t="e">
        <f t="shared" si="98"/>
        <v>#DIV/0!</v>
      </c>
      <c r="AB218" s="1180" t="e">
        <f t="shared" si="98"/>
        <v>#DIV/0!</v>
      </c>
      <c r="AC218" s="1172"/>
      <c r="AD218" s="1172"/>
    </row>
    <row r="219" spans="2:30" ht="38.25" x14ac:dyDescent="0.2">
      <c r="B219"/>
      <c r="C219" s="1189" t="str">
        <f>'TRAD-Adults YEAR(1)'!B104</f>
        <v>Quantités nécessaire sur le SS</v>
      </c>
      <c r="D219" s="1181">
        <f>D218-D217</f>
        <v>30905.001286789822</v>
      </c>
      <c r="E219" s="1181">
        <f t="shared" ref="E219:AB219" si="103">E218-E217</f>
        <v>225.08891748569528</v>
      </c>
      <c r="F219" s="1181">
        <f t="shared" ref="F219" si="104">F218-F217</f>
        <v>0</v>
      </c>
      <c r="G219" s="1181">
        <f t="shared" si="103"/>
        <v>5980.7506093010652</v>
      </c>
      <c r="H219" s="1181">
        <f t="shared" ref="H219" si="105">H218-H217</f>
        <v>195.91730664021833</v>
      </c>
      <c r="I219" s="1181">
        <f t="shared" si="103"/>
        <v>0</v>
      </c>
      <c r="J219" s="1181">
        <f t="shared" si="103"/>
        <v>0</v>
      </c>
      <c r="K219" s="1181">
        <f t="shared" si="103"/>
        <v>17206.520796994395</v>
      </c>
      <c r="L219" s="1181" t="e">
        <f t="shared" si="103"/>
        <v>#DIV/0!</v>
      </c>
      <c r="M219" s="1181">
        <f t="shared" si="103"/>
        <v>4114.4411578166419</v>
      </c>
      <c r="N219" s="1181">
        <f t="shared" si="103"/>
        <v>0</v>
      </c>
      <c r="O219" s="1181">
        <f t="shared" si="103"/>
        <v>0</v>
      </c>
      <c r="P219" s="1181" t="e">
        <f t="shared" si="103"/>
        <v>#DIV/0!</v>
      </c>
      <c r="Q219" s="1181" t="e">
        <f t="shared" si="103"/>
        <v>#DIV/0!</v>
      </c>
      <c r="R219" s="1181" t="e">
        <f t="shared" si="103"/>
        <v>#DIV/0!</v>
      </c>
      <c r="S219" s="1181" t="e">
        <f t="shared" si="103"/>
        <v>#DIV/0!</v>
      </c>
      <c r="T219" s="1181" t="e">
        <f t="shared" si="103"/>
        <v>#DIV/0!</v>
      </c>
      <c r="U219" s="1181" t="e">
        <f t="shared" si="103"/>
        <v>#DIV/0!</v>
      </c>
      <c r="V219" s="1181" t="e">
        <f t="shared" si="103"/>
        <v>#DIV/0!</v>
      </c>
      <c r="W219" s="1181" t="e">
        <f t="shared" si="103"/>
        <v>#DIV/0!</v>
      </c>
      <c r="X219" s="1181" t="e">
        <f t="shared" si="103"/>
        <v>#DIV/0!</v>
      </c>
      <c r="Y219" s="1181" t="e">
        <f t="shared" si="103"/>
        <v>#DIV/0!</v>
      </c>
      <c r="Z219" s="1181" t="e">
        <f t="shared" si="103"/>
        <v>#DIV/0!</v>
      </c>
      <c r="AA219" s="1181" t="e">
        <f t="shared" si="103"/>
        <v>#DIV/0!</v>
      </c>
      <c r="AB219" s="1181" t="e">
        <f t="shared" si="103"/>
        <v>#DIV/0!</v>
      </c>
      <c r="AC219" s="1172"/>
      <c r="AD219" s="1172"/>
    </row>
    <row r="220" spans="2:30" x14ac:dyDescent="0.2">
      <c r="B220"/>
      <c r="C220" s="1248"/>
      <c r="D220" s="1249"/>
      <c r="E220" s="1249"/>
      <c r="F220" s="1249"/>
      <c r="G220" s="1249"/>
      <c r="H220" s="1249"/>
      <c r="I220" s="1249"/>
      <c r="J220" s="1249"/>
      <c r="K220" s="1249"/>
      <c r="L220" s="1249"/>
      <c r="M220" s="1249"/>
      <c r="N220" s="1249"/>
      <c r="O220" s="1249"/>
      <c r="P220" s="1249"/>
      <c r="Q220" s="1249"/>
      <c r="R220" s="1249"/>
      <c r="S220" s="1249"/>
      <c r="T220" s="1249"/>
      <c r="U220" s="1249"/>
      <c r="V220" s="1249"/>
      <c r="W220" s="1249"/>
      <c r="X220" s="1249"/>
      <c r="Y220" s="1249"/>
      <c r="Z220" s="1249"/>
      <c r="AA220" s="1249"/>
      <c r="AB220" s="1249"/>
      <c r="AC220" s="497"/>
      <c r="AD220" s="497"/>
    </row>
    <row r="222" spans="2:30" ht="15" x14ac:dyDescent="0.2">
      <c r="B222" s="2143" t="str">
        <f>'TRAD-Adults YEAR(1)'!B105</f>
        <v>Synthèse</v>
      </c>
      <c r="C222" s="2143"/>
      <c r="D222" s="2143"/>
      <c r="E222" s="2143"/>
      <c r="F222" s="2143"/>
      <c r="G222" s="1158"/>
      <c r="H222" s="1158"/>
      <c r="I222" s="1158"/>
      <c r="J222" s="1158"/>
      <c r="K222" s="1158"/>
      <c r="L222" s="2143"/>
      <c r="M222" s="2143"/>
      <c r="N222" s="1158"/>
    </row>
    <row r="223" spans="2:30" ht="13.5" thickBot="1" x14ac:dyDescent="0.25"/>
    <row r="224" spans="2:30" ht="13.5" thickBot="1" x14ac:dyDescent="0.25">
      <c r="I224" s="803"/>
      <c r="J224" s="2141" t="str">
        <f>'TRAD-Adults YEAR(1)'!B113</f>
        <v>Calculs SANS marge de sécurité</v>
      </c>
      <c r="K224" s="2142"/>
      <c r="L224" s="2142"/>
      <c r="M224" s="2142"/>
      <c r="N224" s="2142"/>
      <c r="O224" s="2142"/>
      <c r="P224" s="2141" t="str">
        <f>'TRAD-Adults YEAR(1)'!B121</f>
        <v>Calculs AVEC marge de sécurité</v>
      </c>
      <c r="Q224" s="2142"/>
      <c r="R224" s="2142"/>
      <c r="S224" s="2142"/>
      <c r="T224" s="2142"/>
      <c r="U224" s="2142"/>
      <c r="V224" s="2155" t="str">
        <f>'TRAD-Adults YEAR(1)'!B124</f>
        <v>MARGE</v>
      </c>
      <c r="W224" s="2156"/>
    </row>
    <row r="225" spans="2:23" ht="77.25" thickBot="1" x14ac:dyDescent="0.25">
      <c r="B225" s="294"/>
      <c r="C225" s="295" t="str">
        <f>'TRAD-Adults YEAR(1)'!B106</f>
        <v>Composition</v>
      </c>
      <c r="D225" s="296" t="str">
        <f>'TRAD-Adults YEAR(1)'!B107</f>
        <v>Nom du médicament</v>
      </c>
      <c r="E225" s="296" t="str">
        <f>'TRAD-Adults YEAR(1)'!B108</f>
        <v>Forme galénique</v>
      </c>
      <c r="F225" s="296" t="str">
        <f>'TRAD-Adults YEAR(1)'!B109</f>
        <v>Dosage</v>
      </c>
      <c r="G225" s="296" t="str">
        <f>'TRAD-Adults YEAR(1)'!B110</f>
        <v>Nb d'unités de prise / boite</v>
      </c>
      <c r="H225" s="296" t="str">
        <f>'TRAD-Adults YEAR(1)'!B111</f>
        <v>Nb de prise / mois / patient</v>
      </c>
      <c r="I225" s="297" t="str">
        <f>'TRAD-Adults YEAR(1)'!B112</f>
        <v>Nb de boite / mois / patient</v>
      </c>
      <c r="J225" s="438" t="str">
        <f>'TRAD-Adults YEAR(1)'!B114</f>
        <v>Qtés de boites pour les patients présents en début de période</v>
      </c>
      <c r="K225" s="300" t="str">
        <f>'TRAD-Adults YEAR(1)'!B115</f>
        <v>Qtés de boites pour les Initiations</v>
      </c>
      <c r="L225" s="300" t="str">
        <f>'TRAD-Adults YEAR(1)'!B116</f>
        <v>Qtés de boites pour initiation NVP</v>
      </c>
      <c r="M225" s="299" t="str">
        <f>'TRAD-Adults YEAR(1)'!B117</f>
        <v>Passage en 2ème ligne Entrées</v>
      </c>
      <c r="N225" s="299" t="str">
        <f>'TRAD-Adults YEAR(1)'!B118</f>
        <v>Passage en 2ème ligne - Défalcation 1ère ligne [1]</v>
      </c>
      <c r="O225" s="805" t="str">
        <f>'TRAD-Adults YEAR(1)'!B119</f>
        <v>TOTAL (nb de boites)</v>
      </c>
      <c r="P225" s="438" t="str">
        <f>'TRAD-Adults YEAR(1)'!B114</f>
        <v>Qtés de boites pour les patients présents en début de période</v>
      </c>
      <c r="Q225" s="300" t="str">
        <f>'TRAD-Adults YEAR(1)'!B115</f>
        <v>Qtés de boites pour les Initiations</v>
      </c>
      <c r="R225" s="300" t="str">
        <f>'TRAD-Adults YEAR(1)'!B116</f>
        <v>Qtés de boites pour initiation NVP</v>
      </c>
      <c r="S225" s="299" t="str">
        <f>'TRAD-Adults YEAR(1)'!B117</f>
        <v>Passage en 2ème ligne Entrées</v>
      </c>
      <c r="T225" s="299" t="str">
        <f>'TRAD-Adults YEAR(1)'!B118</f>
        <v>Passage en 2ème ligne - Défalcation 1ère ligne [1]</v>
      </c>
      <c r="U225" s="805" t="str">
        <f>'TRAD-Adults YEAR(1)'!B122</f>
        <v>TOTAL + Marge période définie (nb de boites)</v>
      </c>
      <c r="V225" s="806" t="str">
        <f>'TRAD-Adults YEAR(1)'!B123</f>
        <v>Marge période définie (nb de boites)</v>
      </c>
      <c r="W225" s="837" t="str">
        <f>'TRAD-Adults YEAR(1)'!B131</f>
        <v>Différence de marge / année précédente</v>
      </c>
    </row>
    <row r="226" spans="2:23" x14ac:dyDescent="0.2">
      <c r="B226" s="807" t="s">
        <v>75</v>
      </c>
      <c r="C226" s="305" t="s">
        <v>7</v>
      </c>
      <c r="D226" s="305" t="s">
        <v>76</v>
      </c>
      <c r="E226" s="305" t="s">
        <v>521</v>
      </c>
      <c r="F226" s="1242" t="str">
        <f>'Data &amp; hypothesis Adults'!G228</f>
        <v>300/150/200 mg</v>
      </c>
      <c r="G226" s="1236">
        <f>'Data &amp; hypothesis Adults'!H228</f>
        <v>60</v>
      </c>
      <c r="H226" s="1236">
        <f>'Data &amp; hypothesis Adults'!J228</f>
        <v>60</v>
      </c>
      <c r="I226" s="1211">
        <f>'Data &amp; hypothesis Adults'!K228</f>
        <v>1</v>
      </c>
      <c r="J226" s="809">
        <f t="array" ref="J226:J250">TRANSPOSE($D201:$AB201)</f>
        <v>0</v>
      </c>
      <c r="K226" s="809">
        <f t="array" ref="K226:K250">TRANSPOSE($D206:$AB206)</f>
        <v>0</v>
      </c>
      <c r="L226" s="809">
        <f t="array" ref="L226:L250">TRANSPOSE($D213:$AB213)</f>
        <v>0</v>
      </c>
      <c r="M226" s="809">
        <f t="array" ref="M226:M250">TRANSPOSE($D211:$AB211)</f>
        <v>0</v>
      </c>
      <c r="N226" s="809" t="str">
        <f t="array" ref="N226:N250">TRANSPOSE($D215:$AB215)</f>
        <v>0</v>
      </c>
      <c r="O226" s="810">
        <f>ROUNDUP(SUM(J226:M226)-N226, 0)</f>
        <v>0</v>
      </c>
      <c r="P226" s="809">
        <f t="array" ref="P226:P250">TRANSPOSE($D202:$AB202)</f>
        <v>30889.551286789821</v>
      </c>
      <c r="Q226" s="809">
        <f t="array" ref="Q226:Q250">TRANSPOSE($D207:$AB207)</f>
        <v>0</v>
      </c>
      <c r="R226" s="809">
        <f t="array" ref="R226:R250">TRANSPOSE($D214:$AB214)</f>
        <v>15.450000000000001</v>
      </c>
      <c r="S226" s="809">
        <f t="array" ref="S226:S250">TRANSPOSE($D212:$AB212)</f>
        <v>0</v>
      </c>
      <c r="T226" s="809" t="str">
        <f t="array" ref="T226:T250">TRANSPOSE($D216:$AB216)</f>
        <v>0</v>
      </c>
      <c r="U226" s="810">
        <f>ROUNDUP(SUM(P226:S226)-T226, 0)</f>
        <v>30906</v>
      </c>
      <c r="V226" s="811">
        <f t="shared" ref="V226:V250" si="106">IF((U226-O226)&gt;0, (U226-O226), "0")</f>
        <v>30906</v>
      </c>
      <c r="W226" s="810" t="str">
        <f>IF((V226-'Adults YEAR2'!V226)&gt;0, (V226-'Adults YEAR2'!V226), "0")</f>
        <v>0</v>
      </c>
    </row>
    <row r="227" spans="2:23" x14ac:dyDescent="0.2">
      <c r="B227" s="812"/>
      <c r="C227" s="314" t="s">
        <v>140</v>
      </c>
      <c r="D227" s="314"/>
      <c r="E227" s="314" t="s">
        <v>521</v>
      </c>
      <c r="F227" s="1243" t="str">
        <f>'Data &amp; hypothesis Adults'!G229</f>
        <v>300/150/300 mg</v>
      </c>
      <c r="G227" s="1237">
        <f>'Data &amp; hypothesis Adults'!H229</f>
        <v>60</v>
      </c>
      <c r="H227" s="1237">
        <f>'Data &amp; hypothesis Adults'!J229</f>
        <v>60</v>
      </c>
      <c r="I227" s="1212">
        <f>'Data &amp; hypothesis Adults'!K229</f>
        <v>1</v>
      </c>
      <c r="J227" s="814">
        <v>0</v>
      </c>
      <c r="K227" s="814">
        <v>0</v>
      </c>
      <c r="L227" s="814">
        <v>0</v>
      </c>
      <c r="M227" s="814">
        <v>0</v>
      </c>
      <c r="N227" s="814" t="str">
        <v>0</v>
      </c>
      <c r="O227" s="815">
        <f t="shared" ref="O227:O250" si="107">ROUNDUP(SUM(J227:M227)-N227, 0)</f>
        <v>0</v>
      </c>
      <c r="P227" s="814">
        <v>225.08891748569528</v>
      </c>
      <c r="Q227" s="814">
        <v>0</v>
      </c>
      <c r="R227" s="814">
        <v>0</v>
      </c>
      <c r="S227" s="814">
        <v>0</v>
      </c>
      <c r="T227" s="814" t="str">
        <v>0</v>
      </c>
      <c r="U227" s="815">
        <f t="shared" ref="U227:U250" si="108">ROUNDUP(SUM(P227:S227)-T227, 0)</f>
        <v>226</v>
      </c>
      <c r="V227" s="825">
        <f t="shared" ref="V227:V230" si="109">IF((U227-O227)&gt;0, (U227-O227), "0")</f>
        <v>226</v>
      </c>
      <c r="W227" s="824" t="str">
        <f>IF((V227-'Adults YEAR2'!V227)&gt;0, (V227-'Adults YEAR2'!V227), "0")</f>
        <v>0</v>
      </c>
    </row>
    <row r="228" spans="2:23" x14ac:dyDescent="0.2">
      <c r="B228" s="812"/>
      <c r="C228" s="314" t="s">
        <v>731</v>
      </c>
      <c r="D228" s="314"/>
      <c r="E228" s="314" t="s">
        <v>729</v>
      </c>
      <c r="F228" s="1243" t="str">
        <f>'Data &amp; hypothesis Adults'!G230</f>
        <v>[300/150]/600 mg</v>
      </c>
      <c r="G228" s="1237">
        <f>'Data &amp; hypothesis Adults'!H230</f>
        <v>60</v>
      </c>
      <c r="H228" s="1237">
        <f>'Data &amp; hypothesis Adults'!J230</f>
        <v>60</v>
      </c>
      <c r="I228" s="1212">
        <f>'Data &amp; hypothesis Adults'!K230</f>
        <v>1</v>
      </c>
      <c r="J228" s="814">
        <v>0</v>
      </c>
      <c r="K228" s="814">
        <v>0</v>
      </c>
      <c r="L228" s="814">
        <v>0</v>
      </c>
      <c r="M228" s="814">
        <v>0</v>
      </c>
      <c r="N228" s="814" t="str">
        <v>0</v>
      </c>
      <c r="O228" s="824">
        <f t="shared" si="107"/>
        <v>0</v>
      </c>
      <c r="P228" s="814">
        <v>0</v>
      </c>
      <c r="Q228" s="814">
        <v>0</v>
      </c>
      <c r="R228" s="814">
        <v>0</v>
      </c>
      <c r="S228" s="814">
        <v>0</v>
      </c>
      <c r="T228" s="814" t="str">
        <v>0</v>
      </c>
      <c r="U228" s="824">
        <f t="shared" si="108"/>
        <v>0</v>
      </c>
      <c r="V228" s="825" t="str">
        <f t="shared" si="109"/>
        <v>0</v>
      </c>
      <c r="W228" s="824" t="str">
        <f>IF((V228-'Adults YEAR2'!V228)&gt;0, (V228-'Adults YEAR2'!V228), "0")</f>
        <v>0</v>
      </c>
    </row>
    <row r="229" spans="2:23" x14ac:dyDescent="0.2">
      <c r="B229" s="817"/>
      <c r="C229" s="323" t="s">
        <v>11</v>
      </c>
      <c r="D229" s="323" t="s">
        <v>78</v>
      </c>
      <c r="E229" s="323" t="s">
        <v>521</v>
      </c>
      <c r="F229" s="1244" t="str">
        <f>'Data &amp; hypothesis Adults'!G231</f>
        <v>300/150 mg</v>
      </c>
      <c r="G229" s="1238">
        <f>'Data &amp; hypothesis Adults'!H231</f>
        <v>60</v>
      </c>
      <c r="H229" s="1238">
        <f>'Data &amp; hypothesis Adults'!J231</f>
        <v>60</v>
      </c>
      <c r="I229" s="1213">
        <f>'Data &amp; hypothesis Adults'!K231</f>
        <v>1</v>
      </c>
      <c r="J229" s="819">
        <v>0</v>
      </c>
      <c r="K229" s="819">
        <v>0</v>
      </c>
      <c r="L229" s="819">
        <v>0</v>
      </c>
      <c r="M229" s="819">
        <v>0</v>
      </c>
      <c r="N229" s="819" t="str">
        <v>0</v>
      </c>
      <c r="O229" s="824">
        <f t="shared" si="107"/>
        <v>0</v>
      </c>
      <c r="P229" s="819">
        <v>5965.3006093010654</v>
      </c>
      <c r="Q229" s="819">
        <v>0</v>
      </c>
      <c r="R229" s="819">
        <v>15.450000000000001</v>
      </c>
      <c r="S229" s="819">
        <v>0</v>
      </c>
      <c r="T229" s="819" t="str">
        <v>0</v>
      </c>
      <c r="U229" s="824">
        <f t="shared" si="108"/>
        <v>5981</v>
      </c>
      <c r="V229" s="825">
        <f t="shared" si="109"/>
        <v>5981</v>
      </c>
      <c r="W229" s="824" t="str">
        <f>IF((V229-'Adults YEAR2'!V229)&gt;0, (V229-'Adults YEAR2'!V229), "0")</f>
        <v>0</v>
      </c>
    </row>
    <row r="230" spans="2:23" x14ac:dyDescent="0.2">
      <c r="B230" s="817"/>
      <c r="C230" s="822" t="s">
        <v>586</v>
      </c>
      <c r="D230" s="822"/>
      <c r="E230" s="822" t="s">
        <v>521</v>
      </c>
      <c r="F230" s="1244" t="str">
        <f>'Data &amp; hypothesis Adults'!G232</f>
        <v>600/300 mg</v>
      </c>
      <c r="G230" s="1238">
        <f>'Data &amp; hypothesis Adults'!H232</f>
        <v>30</v>
      </c>
      <c r="H230" s="1238">
        <f>'Data &amp; hypothesis Adults'!J232</f>
        <v>30</v>
      </c>
      <c r="I230" s="1213">
        <f>'Data &amp; hypothesis Adults'!K232</f>
        <v>1</v>
      </c>
      <c r="J230" s="823">
        <v>0</v>
      </c>
      <c r="K230" s="823">
        <v>0</v>
      </c>
      <c r="L230" s="823">
        <v>0</v>
      </c>
      <c r="M230" s="823">
        <v>0</v>
      </c>
      <c r="N230" s="823" t="str">
        <v>0</v>
      </c>
      <c r="O230" s="824">
        <f t="shared" si="107"/>
        <v>0</v>
      </c>
      <c r="P230" s="823">
        <v>195.91730664021833</v>
      </c>
      <c r="Q230" s="823">
        <v>0</v>
      </c>
      <c r="R230" s="823">
        <v>0</v>
      </c>
      <c r="S230" s="823">
        <v>0</v>
      </c>
      <c r="T230" s="823" t="str">
        <v>0</v>
      </c>
      <c r="U230" s="824">
        <f t="shared" si="108"/>
        <v>196</v>
      </c>
      <c r="V230" s="825">
        <f t="shared" si="109"/>
        <v>196</v>
      </c>
      <c r="W230" s="824" t="str">
        <f>IF((V230-'Adults YEAR2'!V230)&gt;0, (V230-'Adults YEAR2'!V230), "0")</f>
        <v>0</v>
      </c>
    </row>
    <row r="231" spans="2:23" x14ac:dyDescent="0.2">
      <c r="B231" s="817"/>
      <c r="C231" s="822" t="s">
        <v>50</v>
      </c>
      <c r="D231" s="822" t="s">
        <v>79</v>
      </c>
      <c r="E231" s="822" t="s">
        <v>521</v>
      </c>
      <c r="F231" s="1245" t="str">
        <f>'Data &amp; hypothesis Adults'!G233</f>
        <v>30/150/200 mg</v>
      </c>
      <c r="G231" s="1239">
        <f>'Data &amp; hypothesis Adults'!H233</f>
        <v>60</v>
      </c>
      <c r="H231" s="1239">
        <f>'Data &amp; hypothesis Adults'!J233</f>
        <v>60</v>
      </c>
      <c r="I231" s="1214">
        <f>'Data &amp; hypothesis Adults'!K233</f>
        <v>1</v>
      </c>
      <c r="J231" s="823">
        <v>0</v>
      </c>
      <c r="K231" s="823">
        <v>0</v>
      </c>
      <c r="L231" s="823">
        <v>0</v>
      </c>
      <c r="M231" s="823">
        <v>0</v>
      </c>
      <c r="N231" s="823" t="str">
        <v>0</v>
      </c>
      <c r="O231" s="824">
        <f t="shared" si="107"/>
        <v>0</v>
      </c>
      <c r="P231" s="823">
        <v>0</v>
      </c>
      <c r="Q231" s="823">
        <v>0</v>
      </c>
      <c r="R231" s="823">
        <v>0</v>
      </c>
      <c r="S231" s="823">
        <v>0</v>
      </c>
      <c r="T231" s="823" t="str">
        <v>0</v>
      </c>
      <c r="U231" s="824">
        <f t="shared" si="108"/>
        <v>0</v>
      </c>
      <c r="V231" s="825" t="str">
        <f t="shared" si="106"/>
        <v>0</v>
      </c>
      <c r="W231" s="824" t="str">
        <f>IF((V231-'Adults YEAR2'!V231)&gt;0, (V231-'Adults YEAR2'!V231), "0")</f>
        <v>0</v>
      </c>
    </row>
    <row r="232" spans="2:23" x14ac:dyDescent="0.2">
      <c r="B232" s="817"/>
      <c r="C232" s="822" t="s">
        <v>81</v>
      </c>
      <c r="D232" s="822" t="s">
        <v>82</v>
      </c>
      <c r="E232" s="822" t="s">
        <v>521</v>
      </c>
      <c r="F232" s="1245" t="str">
        <f>'Data &amp; hypothesis Adults'!G234</f>
        <v>30/150 mg</v>
      </c>
      <c r="G232" s="1239">
        <f>'Data &amp; hypothesis Adults'!H234</f>
        <v>60</v>
      </c>
      <c r="H232" s="1239">
        <f>'Data &amp; hypothesis Adults'!J234</f>
        <v>60</v>
      </c>
      <c r="I232" s="1214">
        <f>'Data &amp; hypothesis Adults'!K234</f>
        <v>1</v>
      </c>
      <c r="J232" s="823">
        <v>0</v>
      </c>
      <c r="K232" s="823">
        <v>0</v>
      </c>
      <c r="L232" s="823">
        <v>0</v>
      </c>
      <c r="M232" s="823">
        <v>0</v>
      </c>
      <c r="N232" s="823" t="str">
        <v>0</v>
      </c>
      <c r="O232" s="824">
        <f t="shared" si="107"/>
        <v>0</v>
      </c>
      <c r="P232" s="823">
        <v>0</v>
      </c>
      <c r="Q232" s="823">
        <v>0</v>
      </c>
      <c r="R232" s="823">
        <v>0</v>
      </c>
      <c r="S232" s="823">
        <v>0</v>
      </c>
      <c r="T232" s="823" t="str">
        <v>0</v>
      </c>
      <c r="U232" s="824">
        <f t="shared" si="108"/>
        <v>0</v>
      </c>
      <c r="V232" s="825" t="str">
        <f t="shared" si="106"/>
        <v>0</v>
      </c>
      <c r="W232" s="824" t="str">
        <f>IF((V232-'Adults YEAR2'!V232)&gt;0, (V232-'Adults YEAR2'!V232), "0")</f>
        <v>0</v>
      </c>
    </row>
    <row r="233" spans="2:23" x14ac:dyDescent="0.2">
      <c r="B233" s="817"/>
      <c r="C233" s="323" t="s">
        <v>348</v>
      </c>
      <c r="D233" s="323"/>
      <c r="E233" s="323" t="s">
        <v>521</v>
      </c>
      <c r="F233" s="1244" t="str">
        <f>'Data &amp; hypothesis Adults'!G235</f>
        <v>300/200/600 mg</v>
      </c>
      <c r="G233" s="1238">
        <f>'Data &amp; hypothesis Adults'!H235</f>
        <v>30</v>
      </c>
      <c r="H233" s="1238">
        <f>'Data &amp; hypothesis Adults'!J235</f>
        <v>30</v>
      </c>
      <c r="I233" s="1213">
        <f>'Data &amp; hypothesis Adults'!K235</f>
        <v>1</v>
      </c>
      <c r="J233" s="818">
        <v>0</v>
      </c>
      <c r="K233" s="818">
        <v>0</v>
      </c>
      <c r="L233" s="818">
        <v>0</v>
      </c>
      <c r="M233" s="818">
        <v>0</v>
      </c>
      <c r="N233" s="818" t="str">
        <v>0</v>
      </c>
      <c r="O233" s="820">
        <f t="shared" si="107"/>
        <v>0</v>
      </c>
      <c r="P233" s="818">
        <v>17206.520796994395</v>
      </c>
      <c r="Q233" s="818">
        <v>0</v>
      </c>
      <c r="R233" s="818">
        <v>0</v>
      </c>
      <c r="S233" s="818">
        <v>0</v>
      </c>
      <c r="T233" s="818" t="str">
        <v>0</v>
      </c>
      <c r="U233" s="820">
        <f t="shared" si="108"/>
        <v>17207</v>
      </c>
      <c r="V233" s="821">
        <f t="shared" si="106"/>
        <v>17207</v>
      </c>
      <c r="W233" s="820" t="str">
        <f>IF((V233-'Adults YEAR2'!V233)&gt;0, (V233-'Adults YEAR2'!V233), "0")</f>
        <v>0</v>
      </c>
    </row>
    <row r="234" spans="2:23" x14ac:dyDescent="0.2">
      <c r="B234" s="826"/>
      <c r="C234" s="332" t="s">
        <v>349</v>
      </c>
      <c r="D234" s="332"/>
      <c r="E234" s="332" t="s">
        <v>521</v>
      </c>
      <c r="F234" s="1246" t="str">
        <f>'Data &amp; hypothesis Adults'!G236</f>
        <v>300/200 mg</v>
      </c>
      <c r="G234" s="1240">
        <f>'Data &amp; hypothesis Adults'!H236</f>
        <v>30</v>
      </c>
      <c r="H234" s="1240">
        <f>'Data &amp; hypothesis Adults'!J236</f>
        <v>30</v>
      </c>
      <c r="I234" s="1215">
        <f>'Data &amp; hypothesis Adults'!K236</f>
        <v>1</v>
      </c>
      <c r="J234" s="828">
        <v>0</v>
      </c>
      <c r="K234" s="828" t="e">
        <v>#DIV/0!</v>
      </c>
      <c r="L234" s="828">
        <v>0</v>
      </c>
      <c r="M234" s="828" t="e">
        <v>#DIV/0!</v>
      </c>
      <c r="N234" s="828" t="str">
        <v>0</v>
      </c>
      <c r="O234" s="829" t="e">
        <f t="shared" si="107"/>
        <v>#DIV/0!</v>
      </c>
      <c r="P234" s="828">
        <v>3898.5502000972665</v>
      </c>
      <c r="Q234" s="828" t="e">
        <v>#DIV/0!</v>
      </c>
      <c r="R234" s="828">
        <v>0</v>
      </c>
      <c r="S234" s="828" t="e">
        <v>#DIV/0!</v>
      </c>
      <c r="T234" s="828" t="str">
        <v>0</v>
      </c>
      <c r="U234" s="829" t="e">
        <f t="shared" si="108"/>
        <v>#DIV/0!</v>
      </c>
      <c r="V234" s="830" t="e">
        <f t="shared" si="106"/>
        <v>#DIV/0!</v>
      </c>
      <c r="W234" s="829" t="e">
        <f>IF((V234-'Adults YEAR2'!V234)&gt;0, (V234-'Adults YEAR2'!V234), "0")</f>
        <v>#DIV/0!</v>
      </c>
    </row>
    <row r="235" spans="2:23" x14ac:dyDescent="0.2">
      <c r="B235" s="812" t="s">
        <v>84</v>
      </c>
      <c r="C235" s="305" t="s">
        <v>17</v>
      </c>
      <c r="D235" s="305"/>
      <c r="E235" s="305" t="s">
        <v>521</v>
      </c>
      <c r="F235" s="1242" t="str">
        <f>'Data &amp; hypothesis Adults'!G237</f>
        <v>600 mg</v>
      </c>
      <c r="G235" s="1236">
        <f>'Data &amp; hypothesis Adults'!H237</f>
        <v>30</v>
      </c>
      <c r="H235" s="1236">
        <f>'Data &amp; hypothesis Adults'!J237</f>
        <v>30</v>
      </c>
      <c r="I235" s="1211">
        <f>'Data &amp; hypothesis Adults'!K237</f>
        <v>1</v>
      </c>
      <c r="J235" s="809">
        <v>0</v>
      </c>
      <c r="K235" s="809">
        <v>0</v>
      </c>
      <c r="L235" s="809">
        <v>0</v>
      </c>
      <c r="M235" s="809">
        <v>0</v>
      </c>
      <c r="N235" s="809" t="str">
        <v>0</v>
      </c>
      <c r="O235" s="810">
        <f t="shared" si="107"/>
        <v>0</v>
      </c>
      <c r="P235" s="809">
        <v>4114.4411578166419</v>
      </c>
      <c r="Q235" s="809">
        <v>0</v>
      </c>
      <c r="R235" s="809">
        <v>0</v>
      </c>
      <c r="S235" s="809">
        <v>0</v>
      </c>
      <c r="T235" s="809" t="str">
        <v>0</v>
      </c>
      <c r="U235" s="810">
        <f t="shared" si="108"/>
        <v>4115</v>
      </c>
      <c r="V235" s="811">
        <f t="shared" si="106"/>
        <v>4115</v>
      </c>
      <c r="W235" s="810" t="str">
        <f>IF((V235-'Adults YEAR2'!V235)&gt;0, (V235-'Adults YEAR2'!V235), "0")</f>
        <v>0</v>
      </c>
    </row>
    <row r="236" spans="2:23" x14ac:dyDescent="0.2">
      <c r="B236" s="826"/>
      <c r="C236" s="332" t="s">
        <v>19</v>
      </c>
      <c r="D236" s="332"/>
      <c r="E236" s="332" t="s">
        <v>521</v>
      </c>
      <c r="F236" s="1246" t="str">
        <f>'Data &amp; hypothesis Adults'!G238</f>
        <v>200 mg</v>
      </c>
      <c r="G236" s="1240">
        <f>'Data &amp; hypothesis Adults'!H238</f>
        <v>60</v>
      </c>
      <c r="H236" s="1240">
        <f>'Data &amp; hypothesis Adults'!J238</f>
        <v>60</v>
      </c>
      <c r="I236" s="1215">
        <f>'Data &amp; hypothesis Adults'!K238</f>
        <v>1</v>
      </c>
      <c r="J236" s="828">
        <v>0</v>
      </c>
      <c r="K236" s="828">
        <v>0</v>
      </c>
      <c r="L236" s="828">
        <v>0</v>
      </c>
      <c r="M236" s="828">
        <v>0</v>
      </c>
      <c r="N236" s="828" t="str">
        <v>0</v>
      </c>
      <c r="O236" s="829">
        <f t="shared" si="107"/>
        <v>0</v>
      </c>
      <c r="P236" s="828">
        <v>0</v>
      </c>
      <c r="Q236" s="828">
        <v>0</v>
      </c>
      <c r="R236" s="828">
        <v>0</v>
      </c>
      <c r="S236" s="828">
        <v>0</v>
      </c>
      <c r="T236" s="828" t="str">
        <v>0</v>
      </c>
      <c r="U236" s="829">
        <f t="shared" si="108"/>
        <v>0</v>
      </c>
      <c r="V236" s="830" t="str">
        <f t="shared" si="106"/>
        <v>0</v>
      </c>
      <c r="W236" s="829" t="str">
        <f>IF((V236-'Adults YEAR2'!V236)&gt;0, (V236-'Adults YEAR2'!V236), "0")</f>
        <v>0</v>
      </c>
    </row>
    <row r="237" spans="2:23" x14ac:dyDescent="0.2">
      <c r="B237" s="812" t="s">
        <v>85</v>
      </c>
      <c r="C237" s="305" t="s">
        <v>39</v>
      </c>
      <c r="D237" s="305"/>
      <c r="E237" s="305" t="s">
        <v>521</v>
      </c>
      <c r="F237" s="1242" t="str">
        <f>'Data &amp; hypothesis Adults'!G239</f>
        <v>300 mg</v>
      </c>
      <c r="G237" s="1236">
        <f>'Data &amp; hypothesis Adults'!H239</f>
        <v>60</v>
      </c>
      <c r="H237" s="1236">
        <f>'Data &amp; hypothesis Adults'!J239</f>
        <v>60</v>
      </c>
      <c r="I237" s="1211">
        <f>'Data &amp; hypothesis Adults'!K239</f>
        <v>1</v>
      </c>
      <c r="J237" s="808">
        <v>0</v>
      </c>
      <c r="K237" s="808">
        <v>0</v>
      </c>
      <c r="L237" s="808">
        <v>0</v>
      </c>
      <c r="M237" s="808">
        <v>0</v>
      </c>
      <c r="N237" s="808" t="str">
        <v>0</v>
      </c>
      <c r="O237" s="810">
        <f t="shared" si="107"/>
        <v>0</v>
      </c>
      <c r="P237" s="808">
        <v>0</v>
      </c>
      <c r="Q237" s="808">
        <v>0</v>
      </c>
      <c r="R237" s="808">
        <v>0</v>
      </c>
      <c r="S237" s="808">
        <v>0</v>
      </c>
      <c r="T237" s="808" t="str">
        <v>0</v>
      </c>
      <c r="U237" s="810">
        <f t="shared" si="108"/>
        <v>0</v>
      </c>
      <c r="V237" s="811" t="str">
        <f t="shared" si="106"/>
        <v>0</v>
      </c>
      <c r="W237" s="810" t="str">
        <f>IF((V237-'Adults YEAR2'!V237)&gt;0, (V237-'Adults YEAR2'!V237), "0")</f>
        <v>0</v>
      </c>
    </row>
    <row r="238" spans="2:23" x14ac:dyDescent="0.2">
      <c r="B238" s="812"/>
      <c r="C238" s="314" t="s">
        <v>350</v>
      </c>
      <c r="D238" s="314"/>
      <c r="E238" s="314" t="s">
        <v>521</v>
      </c>
      <c r="F238" s="1243" t="str">
        <f>'Data &amp; hypothesis Adults'!G240</f>
        <v>150 mg</v>
      </c>
      <c r="G238" s="1237">
        <f>'Data &amp; hypothesis Adults'!H240</f>
        <v>60</v>
      </c>
      <c r="H238" s="1237">
        <f>'Data &amp; hypothesis Adults'!J240</f>
        <v>60</v>
      </c>
      <c r="I238" s="1212">
        <f>'Data &amp; hypothesis Adults'!K240</f>
        <v>1</v>
      </c>
      <c r="J238" s="813">
        <v>0</v>
      </c>
      <c r="K238" s="813" t="e">
        <v>#DIV/0!</v>
      </c>
      <c r="L238" s="813">
        <v>0</v>
      </c>
      <c r="M238" s="813" t="e">
        <v>#DIV/0!</v>
      </c>
      <c r="N238" s="813" t="str">
        <v>0</v>
      </c>
      <c r="O238" s="815" t="e">
        <f t="shared" si="107"/>
        <v>#DIV/0!</v>
      </c>
      <c r="P238" s="813">
        <v>0</v>
      </c>
      <c r="Q238" s="813" t="e">
        <v>#DIV/0!</v>
      </c>
      <c r="R238" s="813">
        <v>0</v>
      </c>
      <c r="S238" s="813" t="e">
        <v>#DIV/0!</v>
      </c>
      <c r="T238" s="813" t="str">
        <v>0</v>
      </c>
      <c r="U238" s="815" t="e">
        <f t="shared" si="108"/>
        <v>#DIV/0!</v>
      </c>
      <c r="V238" s="816" t="e">
        <f t="shared" si="106"/>
        <v>#DIV/0!</v>
      </c>
      <c r="W238" s="815" t="e">
        <f>IF((V238-'Adults YEAR2'!V238)&gt;0, (V238-'Adults YEAR2'!V238), "0")</f>
        <v>#DIV/0!</v>
      </c>
    </row>
    <row r="239" spans="2:23" x14ac:dyDescent="0.2">
      <c r="B239" s="812"/>
      <c r="C239" s="314" t="s">
        <v>25</v>
      </c>
      <c r="D239" s="314"/>
      <c r="E239" s="314" t="s">
        <v>521</v>
      </c>
      <c r="F239" s="1243" t="str">
        <f>'Data &amp; hypothesis Adults'!G241</f>
        <v>300 mg</v>
      </c>
      <c r="G239" s="1237">
        <f>'Data &amp; hypothesis Adults'!H241</f>
        <v>60</v>
      </c>
      <c r="H239" s="1237">
        <f>'Data &amp; hypothesis Adults'!J241</f>
        <v>60</v>
      </c>
      <c r="I239" s="1212">
        <f>'Data &amp; hypothesis Adults'!K241</f>
        <v>1</v>
      </c>
      <c r="J239" s="813">
        <v>0</v>
      </c>
      <c r="K239" s="813" t="e">
        <v>#DIV/0!</v>
      </c>
      <c r="L239" s="813">
        <v>0</v>
      </c>
      <c r="M239" s="813" t="e">
        <v>#DIV/0!</v>
      </c>
      <c r="N239" s="813" t="str">
        <v>0</v>
      </c>
      <c r="O239" s="815" t="e">
        <f t="shared" si="107"/>
        <v>#DIV/0!</v>
      </c>
      <c r="P239" s="813">
        <v>0</v>
      </c>
      <c r="Q239" s="813" t="e">
        <v>#DIV/0!</v>
      </c>
      <c r="R239" s="813">
        <v>0</v>
      </c>
      <c r="S239" s="813" t="e">
        <v>#DIV/0!</v>
      </c>
      <c r="T239" s="813" t="str">
        <v>0</v>
      </c>
      <c r="U239" s="815" t="e">
        <f t="shared" si="108"/>
        <v>#DIV/0!</v>
      </c>
      <c r="V239" s="816" t="e">
        <f t="shared" si="106"/>
        <v>#DIV/0!</v>
      </c>
      <c r="W239" s="815" t="e">
        <f>IF((V239-'Adults YEAR2'!V239)&gt;0, (V239-'Adults YEAR2'!V239), "0")</f>
        <v>#DIV/0!</v>
      </c>
    </row>
    <row r="240" spans="2:23" x14ac:dyDescent="0.2">
      <c r="B240" s="817"/>
      <c r="C240" s="323" t="s">
        <v>28</v>
      </c>
      <c r="D240" s="323"/>
      <c r="E240" s="323" t="s">
        <v>86</v>
      </c>
      <c r="F240" s="1244" t="str">
        <f>'Data &amp; hypothesis Adults'!G242</f>
        <v>250 mg</v>
      </c>
      <c r="G240" s="1238">
        <f>'Data &amp; hypothesis Adults'!H242</f>
        <v>30</v>
      </c>
      <c r="H240" s="1238">
        <f>'Data &amp; hypothesis Adults'!J242</f>
        <v>30</v>
      </c>
      <c r="I240" s="1213">
        <f>'Data &amp; hypothesis Adults'!K242</f>
        <v>1</v>
      </c>
      <c r="J240" s="818">
        <v>0</v>
      </c>
      <c r="K240" s="818" t="e">
        <v>#DIV/0!</v>
      </c>
      <c r="L240" s="818">
        <v>0</v>
      </c>
      <c r="M240" s="818" t="e">
        <v>#DIV/0!</v>
      </c>
      <c r="N240" s="818" t="str">
        <v>0</v>
      </c>
      <c r="O240" s="820" t="e">
        <f t="shared" si="107"/>
        <v>#DIV/0!</v>
      </c>
      <c r="P240" s="818">
        <v>0</v>
      </c>
      <c r="Q240" s="818" t="e">
        <v>#DIV/0!</v>
      </c>
      <c r="R240" s="818">
        <v>0</v>
      </c>
      <c r="S240" s="818" t="e">
        <v>#DIV/0!</v>
      </c>
      <c r="T240" s="818" t="str">
        <v>0</v>
      </c>
      <c r="U240" s="820" t="e">
        <f t="shared" si="108"/>
        <v>#DIV/0!</v>
      </c>
      <c r="V240" s="821" t="e">
        <f t="shared" si="106"/>
        <v>#DIV/0!</v>
      </c>
      <c r="W240" s="820" t="e">
        <f>IF((V240-'Adults YEAR2'!V240)&gt;0, (V240-'Adults YEAR2'!V240), "0")</f>
        <v>#DIV/0!</v>
      </c>
    </row>
    <row r="241" spans="2:23" x14ac:dyDescent="0.2">
      <c r="B241" s="817"/>
      <c r="C241" s="323" t="s">
        <v>28</v>
      </c>
      <c r="D241" s="323"/>
      <c r="E241" s="323" t="s">
        <v>86</v>
      </c>
      <c r="F241" s="1244" t="str">
        <f>'Data &amp; hypothesis Adults'!G243</f>
        <v>400 mg</v>
      </c>
      <c r="G241" s="1238">
        <f>'Data &amp; hypothesis Adults'!H243</f>
        <v>30</v>
      </c>
      <c r="H241" s="1238">
        <f>'Data &amp; hypothesis Adults'!J243</f>
        <v>30</v>
      </c>
      <c r="I241" s="1213">
        <f>'Data &amp; hypothesis Adults'!K243</f>
        <v>1</v>
      </c>
      <c r="J241" s="818">
        <v>0</v>
      </c>
      <c r="K241" s="818" t="e">
        <v>#DIV/0!</v>
      </c>
      <c r="L241" s="818">
        <v>0</v>
      </c>
      <c r="M241" s="818" t="e">
        <v>#DIV/0!</v>
      </c>
      <c r="N241" s="818" t="str">
        <v>0</v>
      </c>
      <c r="O241" s="820" t="e">
        <f t="shared" si="107"/>
        <v>#DIV/0!</v>
      </c>
      <c r="P241" s="818">
        <v>0</v>
      </c>
      <c r="Q241" s="818" t="e">
        <v>#DIV/0!</v>
      </c>
      <c r="R241" s="818">
        <v>0</v>
      </c>
      <c r="S241" s="818" t="e">
        <v>#DIV/0!</v>
      </c>
      <c r="T241" s="818" t="str">
        <v>0</v>
      </c>
      <c r="U241" s="820" t="e">
        <f t="shared" si="108"/>
        <v>#DIV/0!</v>
      </c>
      <c r="V241" s="821" t="e">
        <f t="shared" si="106"/>
        <v>#DIV/0!</v>
      </c>
      <c r="W241" s="820" t="e">
        <f>IF((V241-'Adults YEAR2'!V241)&gt;0, (V241-'Adults YEAR2'!V241), "0")</f>
        <v>#DIV/0!</v>
      </c>
    </row>
    <row r="242" spans="2:23" x14ac:dyDescent="0.2">
      <c r="B242" s="826"/>
      <c r="C242" s="332" t="s">
        <v>22</v>
      </c>
      <c r="D242" s="332"/>
      <c r="E242" s="332" t="s">
        <v>521</v>
      </c>
      <c r="F242" s="1246" t="str">
        <f>'Data &amp; hypothesis Adults'!G244</f>
        <v>300 mg</v>
      </c>
      <c r="G242" s="1240">
        <f>'Data &amp; hypothesis Adults'!H244</f>
        <v>30</v>
      </c>
      <c r="H242" s="1240">
        <f>'Data &amp; hypothesis Adults'!J244</f>
        <v>30</v>
      </c>
      <c r="I242" s="1215">
        <f>'Data &amp; hypothesis Adults'!K244</f>
        <v>1</v>
      </c>
      <c r="J242" s="828">
        <v>0</v>
      </c>
      <c r="K242" s="828" t="e">
        <v>#DIV/0!</v>
      </c>
      <c r="L242" s="828">
        <v>0</v>
      </c>
      <c r="M242" s="828" t="e">
        <v>#DIV/0!</v>
      </c>
      <c r="N242" s="828" t="str">
        <v>0</v>
      </c>
      <c r="O242" s="829" t="e">
        <f t="shared" si="107"/>
        <v>#DIV/0!</v>
      </c>
      <c r="P242" s="828">
        <v>0</v>
      </c>
      <c r="Q242" s="828" t="e">
        <v>#DIV/0!</v>
      </c>
      <c r="R242" s="828">
        <v>0</v>
      </c>
      <c r="S242" s="828" t="e">
        <v>#DIV/0!</v>
      </c>
      <c r="T242" s="828" t="str">
        <v>0</v>
      </c>
      <c r="U242" s="829" t="e">
        <f t="shared" si="108"/>
        <v>#DIV/0!</v>
      </c>
      <c r="V242" s="830" t="e">
        <f t="shared" si="106"/>
        <v>#DIV/0!</v>
      </c>
      <c r="W242" s="829" t="e">
        <f>IF((V242-'Adults YEAR2'!V242)&gt;0, (V242-'Adults YEAR2'!V242), "0")</f>
        <v>#DIV/0!</v>
      </c>
    </row>
    <row r="243" spans="2:23" x14ac:dyDescent="0.2">
      <c r="B243" s="812" t="s">
        <v>87</v>
      </c>
      <c r="C243" s="314" t="s">
        <v>33</v>
      </c>
      <c r="D243" s="314"/>
      <c r="E243" s="314" t="s">
        <v>521</v>
      </c>
      <c r="F243" s="1243" t="str">
        <f>'Data &amp; hypothesis Adults'!G245</f>
        <v>200/50 mg</v>
      </c>
      <c r="G243" s="1237">
        <f>'Data &amp; hypothesis Adults'!H245</f>
        <v>120</v>
      </c>
      <c r="H243" s="1237">
        <f>'Data &amp; hypothesis Adults'!J245</f>
        <v>120</v>
      </c>
      <c r="I243" s="1212">
        <f>'Data &amp; hypothesis Adults'!K245</f>
        <v>1</v>
      </c>
      <c r="J243" s="813">
        <v>0</v>
      </c>
      <c r="K243" s="813">
        <v>0</v>
      </c>
      <c r="L243" s="813">
        <v>0</v>
      </c>
      <c r="M243" s="813" t="e">
        <v>#DIV/0!</v>
      </c>
      <c r="N243" s="813" t="str">
        <v>0</v>
      </c>
      <c r="O243" s="815" t="e">
        <f t="shared" si="107"/>
        <v>#DIV/0!</v>
      </c>
      <c r="P243" s="813">
        <v>5840.6173582219089</v>
      </c>
      <c r="Q243" s="813">
        <v>0</v>
      </c>
      <c r="R243" s="813">
        <v>0</v>
      </c>
      <c r="S243" s="813" t="e">
        <v>#DIV/0!</v>
      </c>
      <c r="T243" s="813" t="str">
        <v>0</v>
      </c>
      <c r="U243" s="815" t="e">
        <f t="shared" si="108"/>
        <v>#DIV/0!</v>
      </c>
      <c r="V243" s="816" t="e">
        <f t="shared" si="106"/>
        <v>#DIV/0!</v>
      </c>
      <c r="W243" s="815" t="e">
        <f>IF((V243-'Adults YEAR2'!V243)&gt;0, (V243-'Adults YEAR2'!V243), "0")</f>
        <v>#DIV/0!</v>
      </c>
    </row>
    <row r="244" spans="2:23" x14ac:dyDescent="0.2">
      <c r="B244" s="817"/>
      <c r="C244" s="314" t="s">
        <v>69</v>
      </c>
      <c r="D244" s="314"/>
      <c r="E244" s="314" t="s">
        <v>86</v>
      </c>
      <c r="F244" s="1243" t="str">
        <f>'Data &amp; hypothesis Adults'!G246</f>
        <v>400 mg</v>
      </c>
      <c r="G244" s="1237">
        <f>'Data &amp; hypothesis Adults'!H246</f>
        <v>180</v>
      </c>
      <c r="H244" s="1237">
        <f>'Data &amp; hypothesis Adults'!J246</f>
        <v>120</v>
      </c>
      <c r="I244" s="1216">
        <f>'Data &amp; hypothesis Adults'!K246</f>
        <v>0.66666666666666663</v>
      </c>
      <c r="J244" s="813">
        <v>0</v>
      </c>
      <c r="K244" s="813" t="e">
        <v>#DIV/0!</v>
      </c>
      <c r="L244" s="813">
        <v>0</v>
      </c>
      <c r="M244" s="813" t="e">
        <v>#DIV/0!</v>
      </c>
      <c r="N244" s="813" t="str">
        <v>0</v>
      </c>
      <c r="O244" s="815" t="e">
        <f t="shared" si="107"/>
        <v>#DIV/0!</v>
      </c>
      <c r="P244" s="813">
        <v>0</v>
      </c>
      <c r="Q244" s="813" t="e">
        <v>#DIV/0!</v>
      </c>
      <c r="R244" s="813">
        <v>0</v>
      </c>
      <c r="S244" s="813" t="e">
        <v>#DIV/0!</v>
      </c>
      <c r="T244" s="813" t="str">
        <v>0</v>
      </c>
      <c r="U244" s="815" t="e">
        <f t="shared" si="108"/>
        <v>#DIV/0!</v>
      </c>
      <c r="V244" s="816" t="e">
        <f t="shared" si="106"/>
        <v>#DIV/0!</v>
      </c>
      <c r="W244" s="815" t="e">
        <f>IF((V244-'Adults YEAR2'!V244)&gt;0, (V244-'Adults YEAR2'!V244), "0")</f>
        <v>#DIV/0!</v>
      </c>
    </row>
    <row r="245" spans="2:23" x14ac:dyDescent="0.2">
      <c r="B245" s="817"/>
      <c r="C245" s="323" t="s">
        <v>335</v>
      </c>
      <c r="D245" s="323"/>
      <c r="E245" s="323" t="s">
        <v>88</v>
      </c>
      <c r="F245" s="1244" t="str">
        <f>'Data &amp; hypothesis Adults'!G247</f>
        <v>100 mg</v>
      </c>
      <c r="G245" s="1238">
        <f>'Data &amp; hypothesis Adults'!H247</f>
        <v>84</v>
      </c>
      <c r="H245" s="1238">
        <f>'Data &amp; hypothesis Adults'!J247</f>
        <v>60</v>
      </c>
      <c r="I245" s="1217">
        <f>'Data &amp; hypothesis Adults'!K247</f>
        <v>0.7142857142857143</v>
      </c>
      <c r="J245" s="818">
        <v>0</v>
      </c>
      <c r="K245" s="818" t="e">
        <v>#DIV/0!</v>
      </c>
      <c r="L245" s="818">
        <v>0</v>
      </c>
      <c r="M245" s="818" t="e">
        <v>#DIV/0!</v>
      </c>
      <c r="N245" s="818" t="str">
        <v>0</v>
      </c>
      <c r="O245" s="820" t="e">
        <f t="shared" si="107"/>
        <v>#DIV/0!</v>
      </c>
      <c r="P245" s="818">
        <v>0</v>
      </c>
      <c r="Q245" s="818" t="e">
        <v>#DIV/0!</v>
      </c>
      <c r="R245" s="818">
        <v>0</v>
      </c>
      <c r="S245" s="818" t="e">
        <v>#DIV/0!</v>
      </c>
      <c r="T245" s="818" t="str">
        <v>0</v>
      </c>
      <c r="U245" s="820" t="e">
        <f t="shared" si="108"/>
        <v>#DIV/0!</v>
      </c>
      <c r="V245" s="821" t="e">
        <f t="shared" si="106"/>
        <v>#DIV/0!</v>
      </c>
      <c r="W245" s="820" t="e">
        <f>IF((V245-'Adults YEAR2'!V245)&gt;0, (V245-'Adults YEAR2'!V245), "0")</f>
        <v>#DIV/0!</v>
      </c>
    </row>
    <row r="246" spans="2:23" x14ac:dyDescent="0.2">
      <c r="B246" s="817"/>
      <c r="C246" s="323" t="s">
        <v>68</v>
      </c>
      <c r="D246" s="323"/>
      <c r="E246" s="323" t="s">
        <v>88</v>
      </c>
      <c r="F246" s="1244" t="str">
        <f>'Data &amp; hypothesis Adults'!G248</f>
        <v>500 mg</v>
      </c>
      <c r="G246" s="1238">
        <f>'Data &amp; hypothesis Adults'!H248</f>
        <v>120</v>
      </c>
      <c r="H246" s="1238">
        <f>'Data &amp; hypothesis Adults'!J248</f>
        <v>120</v>
      </c>
      <c r="I246" s="1213">
        <f>'Data &amp; hypothesis Adults'!K248</f>
        <v>1</v>
      </c>
      <c r="J246" s="818">
        <v>0</v>
      </c>
      <c r="K246" s="818" t="e">
        <v>#DIV/0!</v>
      </c>
      <c r="L246" s="818">
        <v>0</v>
      </c>
      <c r="M246" s="818" t="e">
        <v>#DIV/0!</v>
      </c>
      <c r="N246" s="818" t="str">
        <v>0</v>
      </c>
      <c r="O246" s="820" t="e">
        <f t="shared" si="107"/>
        <v>#DIV/0!</v>
      </c>
      <c r="P246" s="818">
        <v>0</v>
      </c>
      <c r="Q246" s="818" t="e">
        <v>#DIV/0!</v>
      </c>
      <c r="R246" s="818">
        <v>0</v>
      </c>
      <c r="S246" s="818" t="e">
        <v>#DIV/0!</v>
      </c>
      <c r="T246" s="818" t="str">
        <v>0</v>
      </c>
      <c r="U246" s="820" t="e">
        <f t="shared" si="108"/>
        <v>#DIV/0!</v>
      </c>
      <c r="V246" s="821" t="e">
        <f t="shared" si="106"/>
        <v>#DIV/0!</v>
      </c>
      <c r="W246" s="820" t="e">
        <f>IF((V246-'Adults YEAR2'!V246)&gt;0, (V246-'Adults YEAR2'!V246), "0")</f>
        <v>#DIV/0!</v>
      </c>
    </row>
    <row r="247" spans="2:23" x14ac:dyDescent="0.2">
      <c r="B247" s="817"/>
      <c r="C247" s="323" t="s">
        <v>576</v>
      </c>
      <c r="D247" s="323"/>
      <c r="E247" s="323" t="s">
        <v>599</v>
      </c>
      <c r="F247" s="1244" t="str">
        <f>'Data &amp; hypothesis Adults'!G249</f>
        <v>300/100 mg</v>
      </c>
      <c r="G247" s="1238">
        <f>'Data &amp; hypothesis Adults'!H249</f>
        <v>30</v>
      </c>
      <c r="H247" s="1238">
        <f>'Data &amp; hypothesis Adults'!J249</f>
        <v>30</v>
      </c>
      <c r="I247" s="1213">
        <f>'Data &amp; hypothesis Adults'!K249</f>
        <v>1</v>
      </c>
      <c r="J247" s="818">
        <v>0</v>
      </c>
      <c r="K247" s="818" t="e">
        <v>#DIV/0!</v>
      </c>
      <c r="L247" s="818">
        <v>0</v>
      </c>
      <c r="M247" s="818" t="e">
        <v>#DIV/0!</v>
      </c>
      <c r="N247" s="818" t="str">
        <v>0</v>
      </c>
      <c r="O247" s="820" t="e">
        <f t="shared" si="107"/>
        <v>#DIV/0!</v>
      </c>
      <c r="P247" s="818">
        <v>104.70959999999999</v>
      </c>
      <c r="Q247" s="818" t="e">
        <v>#DIV/0!</v>
      </c>
      <c r="R247" s="818">
        <v>0</v>
      </c>
      <c r="S247" s="818" t="e">
        <v>#DIV/0!</v>
      </c>
      <c r="T247" s="818" t="str">
        <v>0</v>
      </c>
      <c r="U247" s="820" t="e">
        <f t="shared" si="108"/>
        <v>#DIV/0!</v>
      </c>
      <c r="V247" s="821" t="e">
        <f t="shared" si="106"/>
        <v>#DIV/0!</v>
      </c>
      <c r="W247" s="820" t="e">
        <f>IF((V247-'Adults YEAR2'!V247)&gt;0, (V247-'Adults YEAR2'!V247), "0")</f>
        <v>#DIV/0!</v>
      </c>
    </row>
    <row r="248" spans="2:23" x14ac:dyDescent="0.2">
      <c r="B248" s="831"/>
      <c r="C248" s="332" t="s">
        <v>336</v>
      </c>
      <c r="D248" s="332"/>
      <c r="E248" s="332" t="s">
        <v>521</v>
      </c>
      <c r="F248" s="1246" t="str">
        <f>'Data &amp; hypothesis Adults'!G250</f>
        <v>600 mg</v>
      </c>
      <c r="G248" s="1240">
        <f>'Data &amp; hypothesis Adults'!H250</f>
        <v>60</v>
      </c>
      <c r="H248" s="1240">
        <f>'Data &amp; hypothesis Adults'!J250</f>
        <v>60</v>
      </c>
      <c r="I248" s="1215">
        <f>'Data &amp; hypothesis Adults'!K250</f>
        <v>1</v>
      </c>
      <c r="J248" s="827">
        <v>0</v>
      </c>
      <c r="K248" s="827" t="e">
        <v>#DIV/0!</v>
      </c>
      <c r="L248" s="827">
        <v>0</v>
      </c>
      <c r="M248" s="827" t="e">
        <v>#DIV/0!</v>
      </c>
      <c r="N248" s="827" t="str">
        <v>0</v>
      </c>
      <c r="O248" s="829" t="e">
        <f t="shared" si="107"/>
        <v>#DIV/0!</v>
      </c>
      <c r="P248" s="827">
        <v>0</v>
      </c>
      <c r="Q248" s="827" t="e">
        <v>#DIV/0!</v>
      </c>
      <c r="R248" s="827">
        <v>0</v>
      </c>
      <c r="S248" s="827" t="e">
        <v>#DIV/0!</v>
      </c>
      <c r="T248" s="827" t="str">
        <v>0</v>
      </c>
      <c r="U248" s="829" t="e">
        <f t="shared" si="108"/>
        <v>#DIV/0!</v>
      </c>
      <c r="V248" s="830" t="e">
        <f t="shared" si="106"/>
        <v>#DIV/0!</v>
      </c>
      <c r="W248" s="829" t="e">
        <f>IF((V248-'Adults YEAR2'!V248)&gt;0, (V248-'Adults YEAR2'!V248), "0")</f>
        <v>#DIV/0!</v>
      </c>
    </row>
    <row r="249" spans="2:23" x14ac:dyDescent="0.2">
      <c r="B249" s="826" t="s">
        <v>331</v>
      </c>
      <c r="C249" s="332" t="s">
        <v>329</v>
      </c>
      <c r="D249" s="332"/>
      <c r="E249" s="332" t="s">
        <v>521</v>
      </c>
      <c r="F249" s="1246" t="str">
        <f>'Data &amp; hypothesis Adults'!G251</f>
        <v>400 mg</v>
      </c>
      <c r="G249" s="1240">
        <f>'Data &amp; hypothesis Adults'!H251</f>
        <v>60</v>
      </c>
      <c r="H249" s="1240">
        <f>'Data &amp; hypothesis Adults'!J251</f>
        <v>60</v>
      </c>
      <c r="I249" s="1215">
        <f>'Data &amp; hypothesis Adults'!K251</f>
        <v>1</v>
      </c>
      <c r="J249" s="827">
        <v>0</v>
      </c>
      <c r="K249" s="827" t="e">
        <v>#DIV/0!</v>
      </c>
      <c r="L249" s="827">
        <v>0</v>
      </c>
      <c r="M249" s="827" t="e">
        <v>#DIV/0!</v>
      </c>
      <c r="N249" s="827" t="str">
        <v>0</v>
      </c>
      <c r="O249" s="829" t="e">
        <f t="shared" si="107"/>
        <v>#DIV/0!</v>
      </c>
      <c r="P249" s="827">
        <v>0</v>
      </c>
      <c r="Q249" s="827" t="e">
        <v>#DIV/0!</v>
      </c>
      <c r="R249" s="827">
        <v>0</v>
      </c>
      <c r="S249" s="827" t="e">
        <v>#DIV/0!</v>
      </c>
      <c r="T249" s="827" t="str">
        <v>0</v>
      </c>
      <c r="U249" s="829" t="e">
        <f t="shared" si="108"/>
        <v>#DIV/0!</v>
      </c>
      <c r="V249" s="830" t="e">
        <f t="shared" si="106"/>
        <v>#DIV/0!</v>
      </c>
      <c r="W249" s="829" t="e">
        <f>IF((V249-'Adults YEAR2'!V249)&gt;0, (V249-'Adults YEAR2'!V249), "0")</f>
        <v>#DIV/0!</v>
      </c>
    </row>
    <row r="250" spans="2:23" ht="13.5" thickBot="1" x14ac:dyDescent="0.25">
      <c r="B250" s="832" t="str">
        <f>'TRAD-Adults YEAR(1)'!B132</f>
        <v>NNRTI 3ème ligne</v>
      </c>
      <c r="C250" s="342" t="s">
        <v>330</v>
      </c>
      <c r="D250" s="342"/>
      <c r="E250" s="342" t="s">
        <v>521</v>
      </c>
      <c r="F250" s="1247" t="str">
        <f>'Data &amp; hypothesis Adults'!G252</f>
        <v>100 mg</v>
      </c>
      <c r="G250" s="1241">
        <f>'Data &amp; hypothesis Adults'!H252</f>
        <v>120</v>
      </c>
      <c r="H250" s="1241">
        <f>'Data &amp; hypothesis Adults'!J252</f>
        <v>120</v>
      </c>
      <c r="I250" s="1218">
        <f>'Data &amp; hypothesis Adults'!K252</f>
        <v>1</v>
      </c>
      <c r="J250" s="833">
        <v>0</v>
      </c>
      <c r="K250" s="833" t="e">
        <v>#DIV/0!</v>
      </c>
      <c r="L250" s="833">
        <v>0</v>
      </c>
      <c r="M250" s="833" t="e">
        <v>#DIV/0!</v>
      </c>
      <c r="N250" s="833" t="str">
        <v>0</v>
      </c>
      <c r="O250" s="834" t="e">
        <f t="shared" si="107"/>
        <v>#DIV/0!</v>
      </c>
      <c r="P250" s="833">
        <v>0</v>
      </c>
      <c r="Q250" s="833" t="e">
        <v>#DIV/0!</v>
      </c>
      <c r="R250" s="833">
        <v>0</v>
      </c>
      <c r="S250" s="833" t="e">
        <v>#DIV/0!</v>
      </c>
      <c r="T250" s="833" t="str">
        <v>0</v>
      </c>
      <c r="U250" s="834" t="e">
        <f t="shared" si="108"/>
        <v>#DIV/0!</v>
      </c>
      <c r="V250" s="835" t="e">
        <f t="shared" si="106"/>
        <v>#DIV/0!</v>
      </c>
      <c r="W250" s="834" t="e">
        <f>IF((V250-'Adults YEAR2'!V250)&gt;0, (V250-'Adults YEAR2'!V250), "0")</f>
        <v>#DIV/0!</v>
      </c>
    </row>
    <row r="253" spans="2:23" x14ac:dyDescent="0.2">
      <c r="B253" s="290" t="str">
        <f>'TRAD-Adults YEAR(1)'!B17</f>
        <v>Commentaire</v>
      </c>
      <c r="C253" s="291"/>
      <c r="D253" s="291"/>
      <c r="E253" s="291"/>
      <c r="F253" s="291"/>
      <c r="G253" s="291"/>
      <c r="H253" s="291"/>
      <c r="I253" s="291"/>
      <c r="J253" s="291"/>
      <c r="K253" s="291"/>
      <c r="L253" s="291"/>
    </row>
    <row r="254" spans="2:23" x14ac:dyDescent="0.2">
      <c r="B254" s="292" t="s">
        <v>240</v>
      </c>
      <c r="C254" s="293" t="str">
        <f>'TRAD-Adults YEAR(1)'!B125</f>
        <v>La défalcation sur les premières lignes se fait dans les cellules oranges selon les paramètres définis dans l'onglet Données. Elle est obtenue par le calcul suivant :</v>
      </c>
    </row>
    <row r="255" spans="2:23" ht="25.5" customHeight="1" x14ac:dyDescent="0.2">
      <c r="C255" s="2145" t="str">
        <f>'TRAD-Adults YEAR(1)'!B126</f>
        <v xml:space="preserve"> =Nb de patients mois en 2ème lignes*proportion que représente le médicament dans les schémas de premières lignes à la fin de l'année* taux de défalcation défini (onglet 'Données Adultes')*Nb de bte/mois/patient</v>
      </c>
      <c r="D255" s="2145"/>
      <c r="E255" s="2145"/>
      <c r="F255" s="2145"/>
      <c r="G255" s="2145"/>
      <c r="H255" s="2145"/>
      <c r="I255" s="2145"/>
      <c r="J255" s="2145"/>
      <c r="K255" s="2145"/>
      <c r="L255" s="2145"/>
    </row>
    <row r="256" spans="2:23" x14ac:dyDescent="0.2">
      <c r="B256" s="292" t="s">
        <v>337</v>
      </c>
      <c r="C256" s="2145" t="str">
        <f>'TRAD-Adults YEAR(1)'!B127</f>
        <v>ajustement posologique de la DDI selon les paramètres définis dans l'onglet 'Données… Adultes'</v>
      </c>
      <c r="D256" s="2145"/>
      <c r="E256" s="2145"/>
      <c r="F256" s="2145"/>
      <c r="G256" s="2145"/>
      <c r="H256" s="2145"/>
      <c r="I256" s="2145"/>
      <c r="J256" s="2145"/>
      <c r="K256" s="2145"/>
      <c r="L256" s="2145"/>
    </row>
    <row r="257" spans="2:12" x14ac:dyDescent="0.2">
      <c r="B257" s="292" t="s">
        <v>338</v>
      </c>
      <c r="C257" s="2145" t="str">
        <f>'TRAD-Adults YEAR(1)'!B128</f>
        <v>Posologies calculées comme défini dans l'onglet 1. Présentation.  Le nombre de boite / mois / patient est considéré ici pour 1 caps / jour.</v>
      </c>
      <c r="D257" s="2145"/>
      <c r="E257" s="2145"/>
      <c r="F257" s="2145"/>
      <c r="G257" s="2145"/>
      <c r="H257" s="2145"/>
      <c r="I257" s="2145"/>
      <c r="J257" s="2145"/>
      <c r="K257" s="2145"/>
      <c r="L257" s="2145"/>
    </row>
    <row r="258" spans="2:12" x14ac:dyDescent="0.2">
      <c r="B258" s="292" t="s">
        <v>344</v>
      </c>
      <c r="C258" s="2145" t="str">
        <f>'TRAD-Adults YEAR(1)'!B129</f>
        <v>Nous avons considéré ici la nouvelle forme galénique du DRV à 600 mg</v>
      </c>
      <c r="D258" s="2145"/>
      <c r="E258" s="2145"/>
      <c r="F258" s="2145"/>
      <c r="G258" s="2145"/>
      <c r="H258" s="2145"/>
      <c r="I258" s="2145"/>
      <c r="J258" s="2145"/>
      <c r="K258" s="2145"/>
      <c r="L258" s="2145"/>
    </row>
  </sheetData>
  <sheetProtection algorithmName="SHA-512" hashValue="iEIlP29m3kwIIdbBCYSQOXtHWxVmf5xzakxdjowl+vNRnMK1jsglTydaXirIGric6BVYWnmp1i88qlzLmVxSOQ==" saltValue="PKLjzx1vnp4COjEE96ejlA==" spinCount="100000" sheet="1" objects="1" scenarios="1" selectLockedCells="1"/>
  <mergeCells count="33">
    <mergeCell ref="C256:L256"/>
    <mergeCell ref="C257:L257"/>
    <mergeCell ref="C258:L258"/>
    <mergeCell ref="C255:L255"/>
    <mergeCell ref="D138:E138"/>
    <mergeCell ref="F138:G138"/>
    <mergeCell ref="H138:I138"/>
    <mergeCell ref="B222:F222"/>
    <mergeCell ref="L222:M222"/>
    <mergeCell ref="B213:B214"/>
    <mergeCell ref="J224:O224"/>
    <mergeCell ref="B169:F169"/>
    <mergeCell ref="L169:M169"/>
    <mergeCell ref="B199:B202"/>
    <mergeCell ref="B203:B207"/>
    <mergeCell ref="B208:B212"/>
    <mergeCell ref="V224:W224"/>
    <mergeCell ref="B83:F83"/>
    <mergeCell ref="G83:K83"/>
    <mergeCell ref="L83:M83"/>
    <mergeCell ref="B90:M90"/>
    <mergeCell ref="A106:L106"/>
    <mergeCell ref="B135:F135"/>
    <mergeCell ref="L135:M135"/>
    <mergeCell ref="P224:U224"/>
    <mergeCell ref="B66:F66"/>
    <mergeCell ref="G66:K66"/>
    <mergeCell ref="L66:M66"/>
    <mergeCell ref="A2:L2"/>
    <mergeCell ref="A34:L34"/>
    <mergeCell ref="B36:F36"/>
    <mergeCell ref="G36:K36"/>
    <mergeCell ref="L36:M36"/>
  </mergeCells>
  <conditionalFormatting sqref="D181:AB198">
    <cfRule type="cellIs" dxfId="15" priority="1" operator="equal">
      <formula>0</formula>
    </cfRule>
  </conditionalFormatting>
  <pageMargins left="0.78740157499999996" right="0.78740157499999996" top="0.984251969" bottom="0.984251969" header="0.4921259845" footer="0.4921259845"/>
  <pageSetup paperSize="9" orientation="portrait"/>
  <headerFooter alignWithMargins="0"/>
  <legacy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9">
    <tabColor rgb="FF993366"/>
  </sheetPr>
  <dimension ref="A1:AF258"/>
  <sheetViews>
    <sheetView showGridLines="0" topLeftCell="A118" zoomScale="70" zoomScaleNormal="70" zoomScalePageLayoutView="70" workbookViewId="0">
      <selection activeCell="D159" sqref="D159:H159"/>
    </sheetView>
  </sheetViews>
  <sheetFormatPr baseColWidth="10" defaultColWidth="12" defaultRowHeight="12.75" x14ac:dyDescent="0.2"/>
  <cols>
    <col min="1" max="1" width="9" style="260" customWidth="1"/>
    <col min="2" max="2" width="22.33203125" style="260" customWidth="1"/>
    <col min="3" max="3" width="19.5" style="260" customWidth="1"/>
    <col min="4" max="4" width="12" style="260"/>
    <col min="5" max="5" width="12.83203125" style="260" bestFit="1" customWidth="1"/>
    <col min="6" max="6" width="12" style="260" customWidth="1"/>
    <col min="7" max="7" width="13.6640625" style="260" bestFit="1" customWidth="1"/>
    <col min="8" max="8" width="12.1640625" style="260" bestFit="1" customWidth="1"/>
    <col min="9" max="9" width="15.5" style="260" bestFit="1" customWidth="1"/>
    <col min="10" max="11" width="12.1640625" style="260" bestFit="1" customWidth="1"/>
    <col min="12" max="12" width="16.33203125" style="260" customWidth="1"/>
    <col min="13" max="13" width="15.5" style="260" bestFit="1" customWidth="1"/>
    <col min="14" max="14" width="15.5" style="260" customWidth="1"/>
    <col min="15" max="15" width="15.5" style="260" bestFit="1" customWidth="1"/>
    <col min="16" max="16" width="12" style="260"/>
    <col min="17" max="18" width="15.5" style="260" bestFit="1" customWidth="1"/>
    <col min="19" max="19" width="15.6640625" style="260" bestFit="1" customWidth="1"/>
    <col min="20" max="20" width="13.33203125" style="260" bestFit="1" customWidth="1"/>
    <col min="21" max="21" width="13.33203125" style="260" customWidth="1"/>
    <col min="22" max="22" width="12.1640625" style="260" bestFit="1" customWidth="1"/>
    <col min="23" max="16384" width="12" style="260"/>
  </cols>
  <sheetData>
    <row r="1" spans="1:17" s="689" customFormat="1" ht="15" x14ac:dyDescent="0.2">
      <c r="F1" s="690"/>
    </row>
    <row r="2" spans="1:17" ht="16.5" thickBot="1" x14ac:dyDescent="0.3">
      <c r="A2" s="2144" t="str">
        <f>'TRAD-Adults YEAR (2)'!B5</f>
        <v>Répartition prévue au début de la quatrième année pour les patients déjà pris en charge</v>
      </c>
      <c r="B2" s="2144"/>
      <c r="C2" s="2144"/>
      <c r="D2" s="2144"/>
      <c r="E2" s="2144"/>
      <c r="F2" s="2144"/>
      <c r="G2" s="2144"/>
      <c r="H2" s="2144"/>
      <c r="I2" s="2144"/>
      <c r="J2" s="2144"/>
      <c r="K2" s="2144"/>
      <c r="L2" s="2144"/>
      <c r="M2" s="497"/>
      <c r="N2" s="497"/>
      <c r="O2" s="497"/>
      <c r="P2" s="497"/>
      <c r="Q2" s="497"/>
    </row>
    <row r="3" spans="1:17" ht="13.5" thickBot="1" x14ac:dyDescent="0.25"/>
    <row r="4" spans="1:17" s="524" customFormat="1" ht="16.5" thickBot="1" x14ac:dyDescent="0.3">
      <c r="B4" s="525" t="str">
        <f>'General Data'!D16</f>
        <v>Année 4</v>
      </c>
      <c r="C4" s="526">
        <f>'General Data'!E16</f>
        <v>0</v>
      </c>
      <c r="D4" s="527"/>
    </row>
    <row r="5" spans="1:17" s="523" customFormat="1" ht="13.5" thickBot="1" x14ac:dyDescent="0.25"/>
    <row r="6" spans="1:17" s="524" customFormat="1" ht="16.5" thickBot="1" x14ac:dyDescent="0.3">
      <c r="B6" s="898" t="str">
        <f>'TRAD-Adults YEAR(1)'!B3</f>
        <v>Période réellement quantifiée :</v>
      </c>
      <c r="C6" s="899"/>
      <c r="D6" s="900" t="str">
        <f>IF('General Data'!G26="NA", "0", 'General Data'!G26)</f>
        <v>0</v>
      </c>
      <c r="E6" s="901" t="str">
        <f>'TRAD-Adults YEAR(1)'!B5</f>
        <v>mois</v>
      </c>
      <c r="G6" s="524" t="str">
        <f>'TRAD-Adults YEAR(1)'!B6</f>
        <v>Facteur multiplicateur</v>
      </c>
      <c r="I6" s="524">
        <f>D6*(D6+1)/2</f>
        <v>0</v>
      </c>
    </row>
    <row r="7" spans="1:17" s="524" customFormat="1" ht="16.5" thickBot="1" x14ac:dyDescent="0.3">
      <c r="B7" s="898" t="str">
        <f>'TRAD-Adults YEAR(1)'!B4</f>
        <v>Période quantifiée + tampon</v>
      </c>
      <c r="C7" s="899"/>
      <c r="D7" s="900">
        <f>D6+'General Data'!$E$30</f>
        <v>3</v>
      </c>
      <c r="E7" s="901" t="str">
        <f>'TRAD-Adults YEAR(1)'!B5</f>
        <v>mois</v>
      </c>
      <c r="F7" s="524">
        <f>A7*(A7+1)/2</f>
        <v>0</v>
      </c>
      <c r="G7" s="524" t="str">
        <f>'TRAD-Adults YEAR(1)'!B6</f>
        <v>Facteur multiplicateur</v>
      </c>
      <c r="I7" s="524">
        <f>D7*(D7+1)/2</f>
        <v>6</v>
      </c>
    </row>
    <row r="8" spans="1:17" ht="13.5" thickBot="1" x14ac:dyDescent="0.25">
      <c r="B8" s="719"/>
    </row>
    <row r="9" spans="1:17" ht="77.25" thickBot="1" x14ac:dyDescent="0.25">
      <c r="B9" s="354"/>
      <c r="C9" s="691" t="str">
        <f>'TRAD-Adults YEAR(1)'!B7</f>
        <v>Schémas</v>
      </c>
      <c r="D9" s="691" t="str">
        <f>'TRAD-Adults YEAR(1)'!B8</f>
        <v>Nb de patients théoriques pour XXX patients totaux</v>
      </c>
      <c r="E9" s="692" t="str">
        <f>'TRAD-Adults YEAR(1)'!B9</f>
        <v>Proportion prévue au début de la période</v>
      </c>
    </row>
    <row r="10" spans="1:17" x14ac:dyDescent="0.2">
      <c r="B10" s="693" t="str">
        <f>'TRAD-Adults YEAR(1)'!B10</f>
        <v>1ères lignes</v>
      </c>
      <c r="C10" s="14" t="str">
        <f>'Data &amp; hypothesis Adults'!C26</f>
        <v>AZT+3TC+NVP</v>
      </c>
      <c r="D10" s="694">
        <f>'Adults YEAR3'!F140+'Data &amp; hypothesis Adults'!D$11*E10</f>
        <v>10056.609643394911</v>
      </c>
      <c r="E10" s="695">
        <f>'Adults YEAR3'!G140</f>
        <v>0.50034506573660675</v>
      </c>
      <c r="G10" s="266" t="str">
        <f>'TRAD-Adults YEAR(1)'!B13</f>
        <v>Total Premières lignes</v>
      </c>
      <c r="H10" s="531"/>
      <c r="I10" s="532">
        <f>SUM(D10:D19)</f>
        <v>17787.861399951365</v>
      </c>
    </row>
    <row r="11" spans="1:17" ht="13.5" thickBot="1" x14ac:dyDescent="0.25">
      <c r="B11" s="696"/>
      <c r="C11" s="15" t="str">
        <f>'Data &amp; hypothesis Adults'!C27</f>
        <v>AZT+3TC+EFV</v>
      </c>
      <c r="D11" s="697">
        <f>'Adults YEAR3'!F141+'Data &amp; hypothesis Adults'!D$11*E11</f>
        <v>1298.8099429852928</v>
      </c>
      <c r="E11" s="698">
        <f>'Adults YEAR3'!G141</f>
        <v>6.4619505911632194E-2</v>
      </c>
      <c r="G11" s="535"/>
      <c r="H11" s="536" t="s">
        <v>51</v>
      </c>
      <c r="I11" s="537">
        <f>I10/D29</f>
        <v>0.88499693207420049</v>
      </c>
    </row>
    <row r="12" spans="1:17" x14ac:dyDescent="0.2">
      <c r="B12" s="696"/>
      <c r="C12" s="15" t="str">
        <f>'Data &amp; hypothesis Adults'!C28</f>
        <v>AZT+3TC+ABC</v>
      </c>
      <c r="D12" s="697">
        <f>'Adults YEAR3'!F142+'Data &amp; hypothesis Adults'!D$11*E12</f>
        <v>73.281458742847647</v>
      </c>
      <c r="E12" s="698">
        <f>'Adults YEAR3'!G142</f>
        <v>3.6459619685095803E-3</v>
      </c>
      <c r="G12" s="266" t="str">
        <f>'TRAD-Adults YEAR(1)'!B15</f>
        <v>Total Deuxièmes lignes</v>
      </c>
      <c r="H12" s="531"/>
      <c r="I12" s="532">
        <f>SUM(D20:D26)</f>
        <v>2311.4866941276564</v>
      </c>
    </row>
    <row r="13" spans="1:17" ht="13.5" thickBot="1" x14ac:dyDescent="0.25">
      <c r="B13" s="696"/>
      <c r="C13" s="16" t="str">
        <f>'Data &amp; hypothesis Adults'!C29</f>
        <v>AZT+3TC+LPV/r</v>
      </c>
      <c r="D13" s="697">
        <f>'Adults YEAR3'!F143+'Data &amp; hypothesis Adults'!D$11*E13</f>
        <v>643.29336166524001</v>
      </c>
      <c r="E13" s="698">
        <f>'Adults YEAR3'!G143</f>
        <v>3.2005682903454208E-2</v>
      </c>
      <c r="G13" s="535"/>
      <c r="H13" s="536" t="s">
        <v>51</v>
      </c>
      <c r="I13" s="537">
        <f>I12/D29</f>
        <v>0.11500306792579938</v>
      </c>
    </row>
    <row r="14" spans="1:17" x14ac:dyDescent="0.2">
      <c r="B14" s="696"/>
      <c r="C14" s="16" t="str">
        <f>'Data &amp; hypothesis Adults'!C30</f>
        <v>ABC+3TC+EFV</v>
      </c>
      <c r="D14" s="697">
        <f>'Adults YEAR3'!F144+'Data &amp; hypothesis Adults'!D$11*E14</f>
        <v>40.715135923028029</v>
      </c>
      <c r="E14" s="698">
        <f>'Adults YEAR3'!G144</f>
        <v>2.0256943524960451E-3</v>
      </c>
      <c r="G14" s="497"/>
      <c r="H14" s="522"/>
      <c r="I14" s="1270"/>
    </row>
    <row r="15" spans="1:17" x14ac:dyDescent="0.2">
      <c r="B15" s="696"/>
      <c r="C15" s="15" t="str">
        <f>'Data &amp; hypothesis Adults'!C31</f>
        <v>TDF+FTC/3TC+EFV</v>
      </c>
      <c r="D15" s="697">
        <f>'Adults YEAR3'!F145+'Data &amp; hypothesis Adults'!D$11*E15</f>
        <v>5601.870398497198</v>
      </c>
      <c r="E15" s="698">
        <f>'Adults YEAR3'!G145</f>
        <v>0.27870905923299211</v>
      </c>
    </row>
    <row r="16" spans="1:17" x14ac:dyDescent="0.2">
      <c r="B16" s="696"/>
      <c r="C16" s="15" t="str">
        <f>'Data &amp; hypothesis Adults'!C32</f>
        <v>TDF+FTC/3TC+LPV/r</v>
      </c>
      <c r="D16" s="697">
        <f>'Adults YEAR3'!F146+'Data &amp; hypothesis Adults'!D$11*E16</f>
        <v>0</v>
      </c>
      <c r="E16" s="698">
        <f>'Adults YEAR3'!G146</f>
        <v>0</v>
      </c>
    </row>
    <row r="17" spans="2:14" x14ac:dyDescent="0.2">
      <c r="B17" s="696"/>
      <c r="C17" s="15" t="str">
        <f>'Data &amp; hypothesis Adults'!C33</f>
        <v>ABC+3TC+LPV/r</v>
      </c>
      <c r="D17" s="697">
        <f>'Adults YEAR3'!F147+'Data &amp; hypothesis Adults'!D$11*E17</f>
        <v>23.069017397081137</v>
      </c>
      <c r="E17" s="698">
        <f>'Adults YEAR3'!G147</f>
        <v>1.1477495334227747E-3</v>
      </c>
    </row>
    <row r="18" spans="2:14" x14ac:dyDescent="0.2">
      <c r="B18" s="696"/>
      <c r="C18" s="36" t="str">
        <f>'Data &amp; hypothesis Adults'!C34</f>
        <v>TDF+3TC/FTC+ABC</v>
      </c>
      <c r="D18" s="697">
        <f>'Adults YEAR3'!F148+'Data &amp; hypothesis Adults'!D$11*E18</f>
        <v>50.2124413457665</v>
      </c>
      <c r="E18" s="698">
        <f>'Adults YEAR3'!G148</f>
        <v>2.4982124350868052E-3</v>
      </c>
    </row>
    <row r="19" spans="2:14" x14ac:dyDescent="0.2">
      <c r="B19" s="696"/>
      <c r="C19" s="1155">
        <f>'Data &amp; hypothesis Adults'!C35</f>
        <v>0</v>
      </c>
      <c r="D19" s="699">
        <f>'Adults YEAR3'!F149+'Data &amp; hypothesis Adults'!D$11*E19</f>
        <v>0</v>
      </c>
      <c r="E19" s="700">
        <f>'Adults YEAR3'!G149</f>
        <v>0</v>
      </c>
    </row>
    <row r="20" spans="2:14" x14ac:dyDescent="0.2">
      <c r="B20" s="701" t="str">
        <f>'TRAD-Adults YEAR(1)'!B11</f>
        <v>2èmes lignes</v>
      </c>
      <c r="C20" s="18" t="str">
        <f>'Data &amp; hypothesis Adults'!C36</f>
        <v>TDF+FTC/3TC+LPV/r</v>
      </c>
      <c r="D20" s="703">
        <f>'Adults YEAR3'!F150+'Data &amp; hypothesis Adults'!D$11*E20</f>
        <v>1688.9554000486332</v>
      </c>
      <c r="E20" s="704">
        <f>'Adults YEAR3'!G150</f>
        <v>8.403035721074828E-2</v>
      </c>
    </row>
    <row r="21" spans="2:14" x14ac:dyDescent="0.2">
      <c r="B21" s="696"/>
      <c r="C21" s="16" t="str">
        <f>'Data &amp; hypothesis Adults'!C37</f>
        <v>TDF+FTC/3TC+ATV/r</v>
      </c>
      <c r="D21" s="697">
        <f>'Adults YEAR3'!F151+'Data &amp; hypothesis Adults'!D$11*E21</f>
        <v>34.903199999999998</v>
      </c>
      <c r="E21" s="698">
        <f>'Adults YEAR3'!G151</f>
        <v>1.7365339331717913E-3</v>
      </c>
    </row>
    <row r="22" spans="2:14" x14ac:dyDescent="0.2">
      <c r="B22" s="696"/>
      <c r="C22" s="16" t="str">
        <f>'Data &amp; hypothesis Adults'!C38</f>
        <v>ABC+DDI+LPV/r</v>
      </c>
      <c r="D22" s="697">
        <f>'Adults YEAR3'!F152+'Data &amp; hypothesis Adults'!D$11*E22</f>
        <v>0</v>
      </c>
      <c r="E22" s="698">
        <f>'Adults YEAR3'!G152</f>
        <v>0</v>
      </c>
    </row>
    <row r="23" spans="2:14" x14ac:dyDescent="0.2">
      <c r="B23" s="696"/>
      <c r="C23" s="15" t="str">
        <f>'Data &amp; hypothesis Adults'!C39</f>
        <v>TDF+3TC/FTC+ABC</v>
      </c>
      <c r="D23" s="697">
        <f>'Adults YEAR3'!F153+'Data &amp; hypothesis Adults'!D$11*E23</f>
        <v>0</v>
      </c>
      <c r="E23" s="698">
        <f>'Adults YEAR3'!G153</f>
        <v>0</v>
      </c>
    </row>
    <row r="24" spans="2:14" x14ac:dyDescent="0.2">
      <c r="B24" s="696"/>
      <c r="C24" s="15" t="str">
        <f>'Data &amp; hypothesis Adults'!C40</f>
        <v>AZT+3TC+LPV/r</v>
      </c>
      <c r="D24" s="697">
        <f>'Adults YEAR3'!F154+'Data &amp; hypothesis Adults'!D$11*E24</f>
        <v>587.6280940790233</v>
      </c>
      <c r="E24" s="698">
        <f>'Adults YEAR3'!G154</f>
        <v>2.9236176781879307E-2</v>
      </c>
    </row>
    <row r="25" spans="2:14" x14ac:dyDescent="0.2">
      <c r="B25" s="696"/>
      <c r="C25" s="36">
        <f>'Data &amp; hypothesis Adults'!C41</f>
        <v>0</v>
      </c>
      <c r="D25" s="697">
        <f>'Adults YEAR3'!F155+'Data &amp; hypothesis Adults'!D$11*E25</f>
        <v>0</v>
      </c>
      <c r="E25" s="698">
        <f>'Adults YEAR3'!G155</f>
        <v>0</v>
      </c>
    </row>
    <row r="26" spans="2:14" x14ac:dyDescent="0.2">
      <c r="B26" s="696"/>
      <c r="C26" s="1155">
        <f>'Data &amp; hypothesis Adults'!C42</f>
        <v>0</v>
      </c>
      <c r="D26" s="699">
        <f>'Adults YEAR3'!F156+'Data &amp; hypothesis Adults'!D$11*E26</f>
        <v>0</v>
      </c>
      <c r="E26" s="700">
        <f>'Adults YEAR3'!G156</f>
        <v>0</v>
      </c>
    </row>
    <row r="27" spans="2:14" x14ac:dyDescent="0.2">
      <c r="B27" s="701" t="str">
        <f>'TRAD-Adults YEAR(1)'!B12</f>
        <v>3èmes lignes</v>
      </c>
      <c r="C27" s="702" t="str">
        <f>'TRAD-Adults YEAR(1)'!B16</f>
        <v>nb de patient total 3èmes lignes</v>
      </c>
      <c r="D27" s="703">
        <f>'Adults YEAR3'!F157+'Data &amp; hypothesis Adults'!D$11*E27</f>
        <v>0</v>
      </c>
      <c r="E27" s="704">
        <f>'Adults YEAR3'!G157</f>
        <v>0</v>
      </c>
    </row>
    <row r="28" spans="2:14" ht="13.5" thickBot="1" x14ac:dyDescent="0.25">
      <c r="B28" s="696"/>
      <c r="C28" s="497"/>
      <c r="D28" s="699">
        <f>'Adults YEAR3'!F158+'Data &amp; hypothesis Adults'!D$11*E28</f>
        <v>0</v>
      </c>
      <c r="E28" s="700">
        <f>'Adults YEAR3'!G158</f>
        <v>0</v>
      </c>
    </row>
    <row r="29" spans="2:14" ht="14.25" thickTop="1" thickBot="1" x14ac:dyDescent="0.25">
      <c r="B29" s="706"/>
      <c r="C29" s="707" t="s">
        <v>6</v>
      </c>
      <c r="D29" s="708">
        <f>'Adults YEAR3'!F159+'Data &amp; hypothesis Adults'!D$11</f>
        <v>20099.348094079025</v>
      </c>
      <c r="E29" s="836">
        <f>SUM(E10:E28)</f>
        <v>0.99999999999999967</v>
      </c>
    </row>
    <row r="31" spans="2:14" x14ac:dyDescent="0.2">
      <c r="B31" s="290" t="str">
        <f>'TRAD-Adults YEAR(1)'!B17</f>
        <v>Commentaire</v>
      </c>
      <c r="C31" s="291"/>
      <c r="D31" s="291"/>
      <c r="E31" s="291"/>
      <c r="F31" s="291"/>
      <c r="G31" s="291"/>
      <c r="H31" s="291"/>
      <c r="I31" s="291"/>
      <c r="J31" s="291"/>
      <c r="K31" s="291"/>
      <c r="L31" s="291"/>
      <c r="M31" s="291"/>
      <c r="N31" s="497"/>
    </row>
    <row r="32" spans="2:14" x14ac:dyDescent="0.2">
      <c r="C32" s="260" t="str">
        <f>'TRAD-Adults YEAR(1)'!B18</f>
        <v>considérant que le passage en 3ème ligne est théorique, le nombre total n'en tient pas compte de manière à laisser les quantités suffisantes en 2èmes lignes</v>
      </c>
    </row>
    <row r="34" spans="1:20" ht="16.5" thickBot="1" x14ac:dyDescent="0.3">
      <c r="A34" s="2144" t="str">
        <f>'TRAD-Adults YEAR (2)'!B10</f>
        <v>Evolution de la file active de patients sous traitement à prévoir pour la 4ème année</v>
      </c>
      <c r="B34" s="2144"/>
      <c r="C34" s="2144"/>
      <c r="D34" s="2144"/>
      <c r="E34" s="2144"/>
      <c r="F34" s="2144"/>
      <c r="G34" s="2144"/>
      <c r="H34" s="2144"/>
      <c r="I34" s="2144"/>
      <c r="J34" s="2144"/>
      <c r="K34" s="2144"/>
      <c r="L34" s="2144"/>
      <c r="M34" s="497"/>
      <c r="N34" s="497"/>
      <c r="O34" s="497"/>
      <c r="P34" s="497"/>
      <c r="Q34" s="497"/>
    </row>
    <row r="36" spans="1:20" ht="15" x14ac:dyDescent="0.2">
      <c r="B36" s="2143" t="str">
        <f>'TRAD-Adults YEAR(1)'!B19</f>
        <v>Répartition des Initiations</v>
      </c>
      <c r="C36" s="2143"/>
      <c r="D36" s="2143"/>
      <c r="E36" s="2143"/>
      <c r="F36" s="2143"/>
      <c r="G36" s="2143"/>
      <c r="H36" s="2143"/>
      <c r="I36" s="2143"/>
      <c r="J36" s="2143"/>
      <c r="K36" s="2143"/>
      <c r="L36" s="2143"/>
      <c r="M36" s="2143"/>
      <c r="N36" s="961"/>
      <c r="O36" s="497"/>
      <c r="P36" s="497"/>
      <c r="Q36" s="497"/>
    </row>
    <row r="37" spans="1:20" ht="13.5" thickBot="1" x14ac:dyDescent="0.25"/>
    <row r="38" spans="1:20" s="545" customFormat="1" ht="64.5" thickBot="1" x14ac:dyDescent="0.25">
      <c r="B38" s="709" t="str">
        <f>'TRAD-Adults YEAR(1)'!B20</f>
        <v>Schémas thérap. Initiations</v>
      </c>
      <c r="C38" s="963" t="str">
        <f>'TRAD-Adults YEAR(1)'!B21</f>
        <v>Critères</v>
      </c>
      <c r="D38" s="963" t="s">
        <v>51</v>
      </c>
      <c r="E38" s="963" t="str">
        <f>'TRAD-Adults YEAR(1)'!B23</f>
        <v>Nb de patients mensuels</v>
      </c>
      <c r="F38" s="710" t="str">
        <f>'TRAD-Adults YEAR(1)'!B24</f>
        <v>Nb de patients total sur la période définie</v>
      </c>
      <c r="M38" s="962"/>
      <c r="T38" s="962"/>
    </row>
    <row r="39" spans="1:20" ht="13.5" thickBot="1" x14ac:dyDescent="0.25">
      <c r="B39" s="711" t="str">
        <f>C10</f>
        <v>AZT+3TC+NVP</v>
      </c>
      <c r="C39" s="546">
        <f>'Data &amp; hypothesis Adults'!C56</f>
        <v>0</v>
      </c>
      <c r="D39" s="547">
        <f>'Data &amp; hypothesis Adults'!G56</f>
        <v>0</v>
      </c>
      <c r="E39" s="1195">
        <f>D39*E$49</f>
        <v>0</v>
      </c>
      <c r="F39" s="1501">
        <f t="shared" ref="F39:F46" si="0">E39*$D$6</f>
        <v>0</v>
      </c>
    </row>
    <row r="40" spans="1:20" ht="13.5" thickBot="1" x14ac:dyDescent="0.25">
      <c r="B40" s="712" t="str">
        <f t="shared" ref="B40:B46" si="1">C11</f>
        <v>AZT+3TC+EFV</v>
      </c>
      <c r="C40" s="546">
        <f>'Data &amp; hypothesis Adults'!C57</f>
        <v>0</v>
      </c>
      <c r="D40" s="550">
        <f>'Data &amp; hypothesis Adults'!G57</f>
        <v>0</v>
      </c>
      <c r="E40" s="734">
        <f t="shared" ref="E40:E46" si="2">D40*E$49</f>
        <v>0</v>
      </c>
      <c r="F40" s="1502">
        <f t="shared" si="0"/>
        <v>0</v>
      </c>
    </row>
    <row r="41" spans="1:20" ht="13.5" thickBot="1" x14ac:dyDescent="0.25">
      <c r="B41" s="712" t="str">
        <f t="shared" si="1"/>
        <v>AZT+3TC+ABC</v>
      </c>
      <c r="C41" s="546">
        <f>'Data &amp; hypothesis Adults'!C58</f>
        <v>0</v>
      </c>
      <c r="D41" s="550">
        <f>'Data &amp; hypothesis Adults'!G58</f>
        <v>0</v>
      </c>
      <c r="E41" s="734">
        <f t="shared" si="2"/>
        <v>0</v>
      </c>
      <c r="F41" s="1502">
        <f t="shared" si="0"/>
        <v>0</v>
      </c>
    </row>
    <row r="42" spans="1:20" ht="13.5" thickBot="1" x14ac:dyDescent="0.25">
      <c r="B42" s="712" t="str">
        <f t="shared" si="1"/>
        <v>AZT+3TC+LPV/r</v>
      </c>
      <c r="C42" s="546">
        <f>'Data &amp; hypothesis Adults'!C59</f>
        <v>0</v>
      </c>
      <c r="D42" s="550">
        <f>'Data &amp; hypothesis Adults'!G59</f>
        <v>0</v>
      </c>
      <c r="E42" s="734">
        <f t="shared" si="2"/>
        <v>0</v>
      </c>
      <c r="F42" s="1502">
        <f t="shared" si="0"/>
        <v>0</v>
      </c>
    </row>
    <row r="43" spans="1:20" ht="13.5" thickBot="1" x14ac:dyDescent="0.25">
      <c r="B43" s="713" t="str">
        <f t="shared" si="1"/>
        <v>ABC+3TC+EFV</v>
      </c>
      <c r="C43" s="546">
        <f>'Data &amp; hypothesis Adults'!C60</f>
        <v>0</v>
      </c>
      <c r="D43" s="550">
        <f>'Data &amp; hypothesis Adults'!G60</f>
        <v>0</v>
      </c>
      <c r="E43" s="734">
        <f t="shared" ref="E43" si="3">D43*E$49</f>
        <v>0</v>
      </c>
      <c r="F43" s="1502">
        <f t="shared" ref="F43" si="4">E43*$D$6</f>
        <v>0</v>
      </c>
    </row>
    <row r="44" spans="1:20" ht="13.5" thickBot="1" x14ac:dyDescent="0.25">
      <c r="B44" s="713" t="str">
        <f t="shared" si="1"/>
        <v>TDF+FTC/3TC+EFV</v>
      </c>
      <c r="C44" s="546">
        <f>'Data &amp; hypothesis Adults'!C61</f>
        <v>0</v>
      </c>
      <c r="D44" s="549">
        <f>'Data &amp; hypothesis Adults'!G61</f>
        <v>0</v>
      </c>
      <c r="E44" s="733">
        <f t="shared" si="2"/>
        <v>0</v>
      </c>
      <c r="F44" s="1503">
        <f t="shared" si="0"/>
        <v>0</v>
      </c>
    </row>
    <row r="45" spans="1:20" ht="13.5" thickBot="1" x14ac:dyDescent="0.25">
      <c r="B45" s="713" t="str">
        <f t="shared" si="1"/>
        <v>TDF+FTC/3TC+LPV/r</v>
      </c>
      <c r="C45" s="546">
        <f>'Data &amp; hypothesis Adults'!C62</f>
        <v>0</v>
      </c>
      <c r="D45" s="549">
        <f>'Data &amp; hypothesis Adults'!G62</f>
        <v>0</v>
      </c>
      <c r="E45" s="733">
        <f t="shared" si="2"/>
        <v>0</v>
      </c>
      <c r="F45" s="1503">
        <f t="shared" si="0"/>
        <v>0</v>
      </c>
    </row>
    <row r="46" spans="1:20" ht="13.5" thickBot="1" x14ac:dyDescent="0.25">
      <c r="B46" s="713" t="str">
        <f t="shared" si="1"/>
        <v>ABC+3TC+LPV/r</v>
      </c>
      <c r="C46" s="546">
        <f>'Data &amp; hypothesis Adults'!C63</f>
        <v>0</v>
      </c>
      <c r="D46" s="549">
        <f>'Data &amp; hypothesis Adults'!G63</f>
        <v>0</v>
      </c>
      <c r="E46" s="733">
        <f t="shared" si="2"/>
        <v>0</v>
      </c>
      <c r="F46" s="1503">
        <f t="shared" si="0"/>
        <v>0</v>
      </c>
    </row>
    <row r="47" spans="1:20" ht="13.5" thickBot="1" x14ac:dyDescent="0.25">
      <c r="B47" s="713" t="str">
        <f t="shared" ref="B47:B48" si="5">C18</f>
        <v>TDF+3TC/FTC+ABC</v>
      </c>
      <c r="C47" s="546">
        <f>'Data &amp; hypothesis Adults'!C64</f>
        <v>0</v>
      </c>
      <c r="D47" s="549">
        <f>'Data &amp; hypothesis Adults'!G64</f>
        <v>0</v>
      </c>
      <c r="E47" s="733">
        <f t="shared" ref="E47:E48" si="6">D47*E$49</f>
        <v>0</v>
      </c>
      <c r="F47" s="1503">
        <f t="shared" ref="F47:F48" si="7">E47*$D$6</f>
        <v>0</v>
      </c>
    </row>
    <row r="48" spans="1:20" ht="13.5" thickBot="1" x14ac:dyDescent="0.25">
      <c r="B48" s="713">
        <f t="shared" si="5"/>
        <v>0</v>
      </c>
      <c r="C48" s="546">
        <f>'Data &amp; hypothesis Adults'!C65</f>
        <v>0</v>
      </c>
      <c r="D48" s="549">
        <f>'Data &amp; hypothesis Adults'!G65</f>
        <v>0</v>
      </c>
      <c r="E48" s="733">
        <f t="shared" si="6"/>
        <v>0</v>
      </c>
      <c r="F48" s="1503">
        <f t="shared" si="7"/>
        <v>0</v>
      </c>
    </row>
    <row r="49" spans="1:21" ht="14.25" thickTop="1" thickBot="1" x14ac:dyDescent="0.25">
      <c r="B49" s="714" t="s">
        <v>6</v>
      </c>
      <c r="C49" s="715"/>
      <c r="D49" s="716"/>
      <c r="E49" s="716">
        <f>'Data &amp; hypothesis Adults'!E11</f>
        <v>0</v>
      </c>
      <c r="F49" s="717">
        <f>SUM(F39:F48)</f>
        <v>0</v>
      </c>
    </row>
    <row r="50" spans="1:21" x14ac:dyDescent="0.2">
      <c r="A50" s="528"/>
    </row>
    <row r="51" spans="1:21" ht="13.5" thickBot="1" x14ac:dyDescent="0.25">
      <c r="A51" s="528"/>
    </row>
    <row r="52" spans="1:21" s="545" customFormat="1" ht="64.5" thickBot="1" x14ac:dyDescent="0.25">
      <c r="B52" s="709" t="str">
        <f>'TRAD-Adults YEAR(1)'!B20</f>
        <v>Schémas thérap. Initiations</v>
      </c>
      <c r="C52" s="963" t="str">
        <f>'TRAD-Adults YEAR(1)'!B21</f>
        <v>Critères</v>
      </c>
      <c r="D52" s="963" t="str">
        <f>'TRAD-Adults YEAR(1)'!B23</f>
        <v>Nb de patients mensuels</v>
      </c>
      <c r="E52" s="963" t="str">
        <f>'TRAD-Adults YEAR(1)'!B26</f>
        <v>Total patients-mois</v>
      </c>
      <c r="F52" s="720" t="str">
        <f>'TRAD-Adults YEAR(1)'!B28</f>
        <v>Médicaments nécessaires</v>
      </c>
      <c r="G52" s="720"/>
      <c r="H52" s="963" t="str">
        <f>'TRAD-Adults YEAR(1)'!B29</f>
        <v>Total patients-mois AVEC Marge de sécurité</v>
      </c>
      <c r="I52" s="710" t="str">
        <f>'TRAD-Adults YEAR(1)'!B30</f>
        <v>Nb de patients-mois Marge de sécurité SEULE</v>
      </c>
      <c r="N52" s="962"/>
      <c r="U52" s="962"/>
    </row>
    <row r="53" spans="1:21" ht="13.5" thickBot="1" x14ac:dyDescent="0.25">
      <c r="B53" s="711" t="str">
        <f t="shared" ref="B53:B60" si="8">B39</f>
        <v>AZT+3TC+NVP</v>
      </c>
      <c r="C53" s="546">
        <f>'Data &amp; hypothesis Adults'!C56</f>
        <v>0</v>
      </c>
      <c r="D53" s="548">
        <f t="shared" ref="D53:D57" si="9">$E39</f>
        <v>0</v>
      </c>
      <c r="E53" s="721">
        <f t="shared" ref="E53:E60" si="10">D53*(D$6*(D$6+1)/2)</f>
        <v>0</v>
      </c>
      <c r="F53" s="546" t="s">
        <v>57</v>
      </c>
      <c r="G53" s="546"/>
      <c r="H53" s="721">
        <f>D53*((D$6+'General Data'!E$30)*(D$6+'General Data'!E$30+1)/2)</f>
        <v>0</v>
      </c>
      <c r="I53" s="722">
        <f t="shared" ref="I53:I60" si="11">H53-E53</f>
        <v>0</v>
      </c>
    </row>
    <row r="54" spans="1:21" ht="13.5" thickBot="1" x14ac:dyDescent="0.25">
      <c r="B54" s="712" t="str">
        <f t="shared" si="8"/>
        <v>AZT+3TC+EFV</v>
      </c>
      <c r="C54" s="546">
        <f>'Data &amp; hypothesis Adults'!C57</f>
        <v>0</v>
      </c>
      <c r="D54" s="324">
        <f t="shared" si="9"/>
        <v>0</v>
      </c>
      <c r="E54" s="721">
        <f t="shared" si="10"/>
        <v>0</v>
      </c>
      <c r="F54" s="323" t="s">
        <v>58</v>
      </c>
      <c r="G54" s="323" t="s">
        <v>17</v>
      </c>
      <c r="H54" s="721">
        <f>D54*((D$6+'General Data'!E$30)*(D$6+'General Data'!E$30+1)/2)</f>
        <v>0</v>
      </c>
      <c r="I54" s="722">
        <f t="shared" si="11"/>
        <v>0</v>
      </c>
    </row>
    <row r="55" spans="1:21" ht="13.5" thickBot="1" x14ac:dyDescent="0.25">
      <c r="B55" s="712" t="str">
        <f t="shared" si="8"/>
        <v>AZT+3TC+ABC</v>
      </c>
      <c r="C55" s="546">
        <f>'Data &amp; hypothesis Adults'!C58</f>
        <v>0</v>
      </c>
      <c r="D55" s="324">
        <f t="shared" si="9"/>
        <v>0</v>
      </c>
      <c r="E55" s="721">
        <f t="shared" si="10"/>
        <v>0</v>
      </c>
      <c r="F55" s="323" t="s">
        <v>345</v>
      </c>
      <c r="G55" s="323"/>
      <c r="H55" s="721">
        <f>D55*((D$6+'General Data'!E$30)*(D$6+'General Data'!E$30+1)/2)</f>
        <v>0</v>
      </c>
      <c r="I55" s="722">
        <f t="shared" si="11"/>
        <v>0</v>
      </c>
    </row>
    <row r="56" spans="1:21" ht="13.5" thickBot="1" x14ac:dyDescent="0.25">
      <c r="B56" s="712" t="str">
        <f t="shared" si="8"/>
        <v>AZT+3TC+LPV/r</v>
      </c>
      <c r="C56" s="546">
        <f>'Data &amp; hypothesis Adults'!C59</f>
        <v>0</v>
      </c>
      <c r="D56" s="324">
        <f t="shared" si="9"/>
        <v>0</v>
      </c>
      <c r="E56" s="721">
        <f t="shared" si="10"/>
        <v>0</v>
      </c>
      <c r="F56" s="323" t="s">
        <v>58</v>
      </c>
      <c r="G56" s="323" t="s">
        <v>33</v>
      </c>
      <c r="H56" s="721">
        <f>D56*((D$6+'General Data'!E$30)*(D$6+'General Data'!E$30+1)/2)</f>
        <v>0</v>
      </c>
      <c r="I56" s="722">
        <f>H56-E56</f>
        <v>0</v>
      </c>
    </row>
    <row r="57" spans="1:21" ht="13.5" thickBot="1" x14ac:dyDescent="0.25">
      <c r="B57" s="713" t="str">
        <f t="shared" si="8"/>
        <v>ABC+3TC+EFV</v>
      </c>
      <c r="C57" s="546">
        <f>'Data &amp; hypothesis Adults'!C60</f>
        <v>0</v>
      </c>
      <c r="D57" s="324">
        <f t="shared" si="9"/>
        <v>0</v>
      </c>
      <c r="E57" s="721">
        <f t="shared" ref="E57" si="12">D57*(D$6*(D$6+1)/2)</f>
        <v>0</v>
      </c>
      <c r="F57" s="323" t="s">
        <v>739</v>
      </c>
      <c r="G57" s="314" t="s">
        <v>17</v>
      </c>
      <c r="H57" s="721">
        <f>D57*((D$6+'General Data'!E$30)*(D$6+'General Data'!E$30+1)/2)</f>
        <v>0</v>
      </c>
      <c r="I57" s="722">
        <f>H57-E57</f>
        <v>0</v>
      </c>
    </row>
    <row r="58" spans="1:21" ht="13.5" thickBot="1" x14ac:dyDescent="0.25">
      <c r="B58" s="713" t="str">
        <f t="shared" si="8"/>
        <v>TDF+FTC/3TC+EFV</v>
      </c>
      <c r="C58" s="546">
        <f>'Data &amp; hypothesis Adults'!C61</f>
        <v>0</v>
      </c>
      <c r="D58" s="315">
        <f>$E44</f>
        <v>0</v>
      </c>
      <c r="E58" s="721">
        <f t="shared" si="10"/>
        <v>0</v>
      </c>
      <c r="F58" s="314" t="s">
        <v>59</v>
      </c>
      <c r="G58" s="314"/>
      <c r="H58" s="721">
        <f>D58*((D$6+'General Data'!E$30)*(D$6+'General Data'!E$30+1)/2)</f>
        <v>0</v>
      </c>
      <c r="I58" s="722">
        <f t="shared" si="11"/>
        <v>0</v>
      </c>
    </row>
    <row r="59" spans="1:21" ht="13.5" thickBot="1" x14ac:dyDescent="0.25">
      <c r="B59" s="713" t="str">
        <f t="shared" si="8"/>
        <v>TDF+FTC/3TC+LPV/r</v>
      </c>
      <c r="C59" s="546">
        <f>'Data &amp; hypothesis Adults'!C62</f>
        <v>0</v>
      </c>
      <c r="D59" s="315">
        <f>$E45</f>
        <v>0</v>
      </c>
      <c r="E59" s="721">
        <f t="shared" si="10"/>
        <v>0</v>
      </c>
      <c r="F59" s="314" t="s">
        <v>201</v>
      </c>
      <c r="G59" s="314" t="s">
        <v>17</v>
      </c>
      <c r="H59" s="721">
        <f>D59*((D$6+'General Data'!E$30)*(D$6+'General Data'!E$30+1)/2)</f>
        <v>0</v>
      </c>
      <c r="I59" s="722">
        <f t="shared" si="11"/>
        <v>0</v>
      </c>
    </row>
    <row r="60" spans="1:21" ht="13.5" thickBot="1" x14ac:dyDescent="0.25">
      <c r="B60" s="713" t="str">
        <f t="shared" si="8"/>
        <v>ABC+3TC+LPV/r</v>
      </c>
      <c r="C60" s="546">
        <f>'Data &amp; hypothesis Adults'!C63</f>
        <v>0</v>
      </c>
      <c r="D60" s="315">
        <f>$E46</f>
        <v>0</v>
      </c>
      <c r="E60" s="721">
        <f t="shared" si="10"/>
        <v>0</v>
      </c>
      <c r="F60" s="314" t="s">
        <v>60</v>
      </c>
      <c r="G60" s="314" t="s">
        <v>17</v>
      </c>
      <c r="H60" s="721">
        <f>D60*((D$6+'General Data'!E$30)*(D$6+'General Data'!E$30+1)/2)</f>
        <v>0</v>
      </c>
      <c r="I60" s="722">
        <f t="shared" si="11"/>
        <v>0</v>
      </c>
    </row>
    <row r="61" spans="1:21" ht="13.5" thickBot="1" x14ac:dyDescent="0.25">
      <c r="B61" s="713" t="str">
        <f t="shared" ref="B61:B62" si="13">B47</f>
        <v>TDF+3TC/FTC+ABC</v>
      </c>
      <c r="C61" s="546">
        <f>'Data &amp; hypothesis Adults'!C64</f>
        <v>0</v>
      </c>
      <c r="D61" s="2083"/>
      <c r="E61" s="2084"/>
      <c r="F61" s="803"/>
      <c r="G61" s="803"/>
      <c r="H61" s="2084"/>
      <c r="I61" s="2085"/>
    </row>
    <row r="62" spans="1:21" ht="13.5" thickBot="1" x14ac:dyDescent="0.25">
      <c r="B62" s="713">
        <f t="shared" si="13"/>
        <v>0</v>
      </c>
      <c r="C62" s="546">
        <f>'Data &amp; hypothesis Adults'!C65</f>
        <v>0</v>
      </c>
      <c r="D62" s="552">
        <f>$E48</f>
        <v>0</v>
      </c>
      <c r="E62" s="723">
        <f>D62*(D$6*(D$6+1)/2)</f>
        <v>0</v>
      </c>
      <c r="F62" s="551"/>
      <c r="G62" s="551"/>
      <c r="H62" s="723">
        <f>D62*((D$6+'General Data'!E$30)*(D$6+'General Data'!E$30+1)/2)</f>
        <v>0</v>
      </c>
      <c r="I62" s="724">
        <f>H62-E62</f>
        <v>0</v>
      </c>
    </row>
    <row r="63" spans="1:21" ht="14.25" thickTop="1" thickBot="1" x14ac:dyDescent="0.25">
      <c r="B63" s="725" t="s">
        <v>288</v>
      </c>
      <c r="C63" s="726"/>
      <c r="D63" s="727">
        <f>SUM(D53:D62)</f>
        <v>0</v>
      </c>
      <c r="E63" s="727">
        <f>SUM(E53:E62)</f>
        <v>0</v>
      </c>
      <c r="F63" s="726"/>
      <c r="G63" s="726"/>
      <c r="H63" s="727"/>
      <c r="I63" s="718"/>
    </row>
    <row r="64" spans="1:21" x14ac:dyDescent="0.2">
      <c r="R64" s="292"/>
    </row>
    <row r="66" spans="2:20" ht="15" x14ac:dyDescent="0.2">
      <c r="B66" s="2143" t="str">
        <f>'TRAD-Adults YEAR(1)'!B31</f>
        <v>Passage en 2ème ligne</v>
      </c>
      <c r="C66" s="2143"/>
      <c r="D66" s="2143"/>
      <c r="E66" s="2143"/>
      <c r="F66" s="2143"/>
      <c r="G66" s="2143"/>
      <c r="H66" s="2143"/>
      <c r="I66" s="2143"/>
      <c r="J66" s="2143"/>
      <c r="K66" s="2143"/>
      <c r="L66" s="2143"/>
      <c r="M66" s="2143"/>
      <c r="N66" s="961"/>
    </row>
    <row r="68" spans="2:20" x14ac:dyDescent="0.2">
      <c r="B68" s="528" t="str">
        <f>'TRAD-Adults YEAR(1)'!B32</f>
        <v>Taux de passage en 2ème ligne</v>
      </c>
      <c r="C68" s="528"/>
      <c r="D68" s="728">
        <f>'Data &amp; hypothesis Adults'!D75</f>
        <v>0</v>
      </c>
      <c r="E68" s="528" t="str">
        <f>'TRAD-Adults YEAR(1)'!B43</f>
        <v>des patients de 2ème ligne à la fin de l'année</v>
      </c>
      <c r="F68" s="528"/>
      <c r="G68" s="528"/>
      <c r="H68" s="566">
        <f>ROUNDUP(D68*(D29+F49), 0)</f>
        <v>0</v>
      </c>
    </row>
    <row r="69" spans="2:20" s="523" customFormat="1" ht="13.5" thickBot="1" x14ac:dyDescent="0.25">
      <c r="E69" s="567"/>
      <c r="G69" s="565" t="str">
        <f>'TRAD-Adults YEAR(1)'!B34</f>
        <v>Nb de patients en 2ème ligne au début de l'année :</v>
      </c>
      <c r="H69" s="568">
        <f>$I$12</f>
        <v>2311.4866941276564</v>
      </c>
    </row>
    <row r="70" spans="2:20" ht="13.5" thickBot="1" x14ac:dyDescent="0.25">
      <c r="B70" s="528"/>
      <c r="C70" s="528"/>
      <c r="D70" s="569"/>
      <c r="E70" s="570"/>
      <c r="F70" s="571"/>
      <c r="G70" s="565" t="str">
        <f>'TRAD-Adults YEAR(1)'!B35</f>
        <v>Nb de patients ayant switché dans l'année :</v>
      </c>
      <c r="H70" s="729">
        <f>IF((H68-$I$12)&gt;0, H68-$I$12, 0)</f>
        <v>0</v>
      </c>
      <c r="J70" s="730" t="str">
        <f>'TRAD-Adults YEAR(1)'!B36</f>
        <v>Proportion mensuelle</v>
      </c>
      <c r="K70" s="570"/>
      <c r="L70" s="731" t="e">
        <f>H70/D6</f>
        <v>#DIV/0!</v>
      </c>
    </row>
    <row r="71" spans="2:20" ht="13.5" thickBot="1" x14ac:dyDescent="0.25"/>
    <row r="72" spans="2:20" s="545" customFormat="1" ht="64.5" thickBot="1" x14ac:dyDescent="0.25">
      <c r="B72" s="709" t="str">
        <f>'TRAD-Adults YEAR(1)'!B37</f>
        <v>Schémas thérap. 2èmes lignes</v>
      </c>
      <c r="C72" s="963" t="str">
        <f>'TRAD-Adults YEAR(1)'!B38</f>
        <v>TOTAL n de patients</v>
      </c>
      <c r="D72" s="963" t="str">
        <f>'TRAD-Adults YEAR(1)'!B23</f>
        <v>Nb de patients mensuels</v>
      </c>
      <c r="E72" s="963" t="s">
        <v>51</v>
      </c>
      <c r="F72" s="963" t="str">
        <f>'TRAD-Adults YEAR(1)'!B39</f>
        <v>Nb de patients-mois</v>
      </c>
      <c r="G72" s="963" t="str">
        <f>'TRAD-Adults YEAR(1)'!B29</f>
        <v>Total patients-mois AVEC Marge de sécurité</v>
      </c>
      <c r="H72" s="710" t="str">
        <f>'TRAD-Adults YEAR(1)'!B30</f>
        <v>Nb de patients-mois Marge de sécurité SEULE</v>
      </c>
      <c r="M72" s="962"/>
      <c r="T72" s="962"/>
    </row>
    <row r="73" spans="2:20" x14ac:dyDescent="0.2">
      <c r="B73" s="1910" t="str">
        <f>C20</f>
        <v>TDF+FTC/3TC+LPV/r</v>
      </c>
      <c r="C73" s="1911">
        <f>'Data &amp; hypothesis Adults'!C106</f>
        <v>424.34186668287776</v>
      </c>
      <c r="D73" s="1911" t="e">
        <f>C73/$D$6</f>
        <v>#DIV/0!</v>
      </c>
      <c r="E73" s="1912">
        <f>C73/C$80</f>
        <v>1</v>
      </c>
      <c r="F73" s="1913" t="e">
        <f>D73*(D$6*(D$6+1)/2)</f>
        <v>#DIV/0!</v>
      </c>
      <c r="G73" s="1913" t="e">
        <f>D73*((D$6+'General Data'!E$30)*(D$6+'General Data'!E$30+1)/2)</f>
        <v>#DIV/0!</v>
      </c>
      <c r="H73" s="1914" t="e">
        <f>G73-F73</f>
        <v>#DIV/0!</v>
      </c>
    </row>
    <row r="74" spans="2:20" x14ac:dyDescent="0.2">
      <c r="B74" s="1915" t="str">
        <f t="shared" ref="B74:B79" si="14">C21</f>
        <v>TDF+FTC/3TC+ATV/r</v>
      </c>
      <c r="C74" s="587">
        <f>'Data &amp; hypothesis Adults'!C107</f>
        <v>0</v>
      </c>
      <c r="D74" s="1196" t="e">
        <f>C74/$D$6</f>
        <v>#DIV/0!</v>
      </c>
      <c r="E74" s="534">
        <f>C74/C$80</f>
        <v>0</v>
      </c>
      <c r="F74" s="1142" t="e">
        <f>D74*(D$6*(D$6+1)/2)</f>
        <v>#DIV/0!</v>
      </c>
      <c r="G74" s="1142" t="e">
        <f>D74*((D$6+'General Data'!E$30)*(D$6+'General Data'!E$30+1)/2)</f>
        <v>#DIV/0!</v>
      </c>
      <c r="H74" s="1143" t="e">
        <f>G74-F74</f>
        <v>#DIV/0!</v>
      </c>
    </row>
    <row r="75" spans="2:20" x14ac:dyDescent="0.2">
      <c r="B75" s="1916" t="str">
        <f t="shared" si="14"/>
        <v>ABC+DDI+LPV/r</v>
      </c>
      <c r="C75" s="734">
        <f>'Data &amp; hypothesis Adults'!C108</f>
        <v>0</v>
      </c>
      <c r="D75" s="734" t="e">
        <f>C75/$D$6</f>
        <v>#DIV/0!</v>
      </c>
      <c r="E75" s="735">
        <f>C75/C$80</f>
        <v>0</v>
      </c>
      <c r="F75" s="1142" t="e">
        <f>D75*(D$6*(D$6+1)/2)</f>
        <v>#DIV/0!</v>
      </c>
      <c r="G75" s="1142" t="e">
        <f>D75*((D$6+'General Data'!E$30)*(D$6+'General Data'!E$30+1)/2)</f>
        <v>#DIV/0!</v>
      </c>
      <c r="H75" s="1143" t="e">
        <f>G75-F75</f>
        <v>#DIV/0!</v>
      </c>
    </row>
    <row r="76" spans="2:20" ht="13.5" thickBot="1" x14ac:dyDescent="0.25">
      <c r="B76" s="1915" t="str">
        <f t="shared" si="14"/>
        <v>TDF+3TC/FTC+ABC</v>
      </c>
      <c r="C76" s="591">
        <f>'Data &amp; hypothesis Adults'!C109</f>
        <v>0</v>
      </c>
      <c r="D76" s="1144" t="e">
        <f>C76/$D$6</f>
        <v>#DIV/0!</v>
      </c>
      <c r="E76" s="539">
        <f>C76/C$80</f>
        <v>0</v>
      </c>
      <c r="F76" s="737" t="e">
        <f>D76*(D$6*(D$6+1)/2)</f>
        <v>#DIV/0!</v>
      </c>
      <c r="G76" s="737" t="e">
        <f>D76*((D$6+'General Data'!E$30)*(D$6+'General Data'!E$30+1)/2)</f>
        <v>#DIV/0!</v>
      </c>
      <c r="H76" s="738" t="e">
        <f>G76-F76</f>
        <v>#DIV/0!</v>
      </c>
    </row>
    <row r="77" spans="2:20" ht="14.25" thickTop="1" thickBot="1" x14ac:dyDescent="0.25">
      <c r="B77" s="1916" t="str">
        <f t="shared" si="14"/>
        <v>AZT+3TC+LPV/r</v>
      </c>
      <c r="C77" s="591">
        <f>'Data &amp; hypothesis Adults'!C110</f>
        <v>195.87603135967444</v>
      </c>
      <c r="D77" s="1144" t="e">
        <f t="shared" ref="D77:D79" si="15">C77/$D$6</f>
        <v>#DIV/0!</v>
      </c>
      <c r="E77" s="539">
        <f t="shared" ref="E77:E79" si="16">C77/C$80</f>
        <v>0.46159958924358963</v>
      </c>
      <c r="F77" s="737" t="e">
        <f t="shared" ref="F77:F79" si="17">D77*(D$6*(D$6+1)/2)</f>
        <v>#DIV/0!</v>
      </c>
      <c r="G77" s="737" t="e">
        <f>D77*((D$6+'General Data'!E$30)*(D$6+'General Data'!E$30+1)/2)</f>
        <v>#DIV/0!</v>
      </c>
      <c r="H77" s="738" t="e">
        <f t="shared" ref="H77:H79" si="18">G77-F77</f>
        <v>#DIV/0!</v>
      </c>
    </row>
    <row r="78" spans="2:20" ht="14.25" thickTop="1" thickBot="1" x14ac:dyDescent="0.25">
      <c r="B78" s="1915">
        <f t="shared" si="14"/>
        <v>0</v>
      </c>
      <c r="C78" s="591">
        <f>'Data &amp; hypothesis Adults'!C111</f>
        <v>0</v>
      </c>
      <c r="D78" s="1144" t="e">
        <f t="shared" si="15"/>
        <v>#DIV/0!</v>
      </c>
      <c r="E78" s="539">
        <f t="shared" si="16"/>
        <v>0</v>
      </c>
      <c r="F78" s="737" t="e">
        <f t="shared" si="17"/>
        <v>#DIV/0!</v>
      </c>
      <c r="G78" s="737" t="e">
        <f>D78*((D$6+'General Data'!E$30)*(D$6+'General Data'!E$30+1)/2)</f>
        <v>#DIV/0!</v>
      </c>
      <c r="H78" s="738" t="e">
        <f t="shared" si="18"/>
        <v>#DIV/0!</v>
      </c>
    </row>
    <row r="79" spans="2:20" ht="14.25" thickTop="1" thickBot="1" x14ac:dyDescent="0.25">
      <c r="B79" s="1917">
        <f t="shared" si="14"/>
        <v>0</v>
      </c>
      <c r="C79" s="1922">
        <f>'Data &amp; hypothesis Adults'!C112</f>
        <v>0</v>
      </c>
      <c r="D79" s="1923" t="e">
        <f t="shared" si="15"/>
        <v>#DIV/0!</v>
      </c>
      <c r="E79" s="1924">
        <f t="shared" si="16"/>
        <v>0</v>
      </c>
      <c r="F79" s="1920" t="e">
        <f t="shared" si="17"/>
        <v>#DIV/0!</v>
      </c>
      <c r="G79" s="1920" t="e">
        <f>D79*((D$6+'General Data'!E$30)*(D$6+'General Data'!E$30+1)/2)</f>
        <v>#DIV/0!</v>
      </c>
      <c r="H79" s="1921" t="e">
        <f t="shared" si="18"/>
        <v>#DIV/0!</v>
      </c>
    </row>
    <row r="80" spans="2:20" ht="13.5" thickBot="1" x14ac:dyDescent="0.25">
      <c r="B80" s="739" t="s">
        <v>6</v>
      </c>
      <c r="C80" s="740">
        <f>SUM(C73:C76)</f>
        <v>424.34186668287776</v>
      </c>
      <c r="D80" s="740" t="e">
        <f>SUM(D73:D76)</f>
        <v>#DIV/0!</v>
      </c>
      <c r="E80" s="740"/>
      <c r="F80" s="740" t="e">
        <f t="shared" ref="F80:G80" si="19">SUM(F73:F76)</f>
        <v>#DIV/0!</v>
      </c>
      <c r="G80" s="740" t="e">
        <f t="shared" si="19"/>
        <v>#DIV/0!</v>
      </c>
      <c r="H80" s="741"/>
    </row>
    <row r="83" spans="2:21" ht="15" x14ac:dyDescent="0.2">
      <c r="B83" s="2143" t="str">
        <f>'TRAD-Adults YEAR(1)'!B41</f>
        <v>Passage en 3ème ligne</v>
      </c>
      <c r="C83" s="2143"/>
      <c r="D83" s="2143"/>
      <c r="E83" s="2143"/>
      <c r="F83" s="2143"/>
      <c r="G83" s="2143"/>
      <c r="H83" s="2143"/>
      <c r="I83" s="2143"/>
      <c r="J83" s="2143"/>
      <c r="K83" s="2143"/>
      <c r="L83" s="2143"/>
      <c r="M83" s="2143"/>
      <c r="N83" s="961"/>
    </row>
    <row r="85" spans="2:21" x14ac:dyDescent="0.2">
      <c r="B85" s="528" t="str">
        <f>'TRAD-Adults YEAR(1)'!B42</f>
        <v>Taux de passage en 3ème ligne</v>
      </c>
      <c r="C85" s="528"/>
      <c r="D85" s="728">
        <f>'Data &amp; hypothesis Adults'!D135</f>
        <v>0</v>
      </c>
      <c r="E85" s="528" t="str">
        <f>'TRAD-Adults YEAR(1)'!B43</f>
        <v>des patients de 2ème ligne à la fin de l'année</v>
      </c>
      <c r="F85" s="528"/>
      <c r="G85" s="528"/>
      <c r="H85" s="568">
        <f>D85*MAX(H68:H69)</f>
        <v>0</v>
      </c>
    </row>
    <row r="86" spans="2:21" s="523" customFormat="1" ht="13.5" thickBot="1" x14ac:dyDescent="0.25">
      <c r="E86" s="567"/>
      <c r="G86" s="565" t="str">
        <f>'TRAD-Adults YEAR(1)'!B44</f>
        <v>Nb de patients en 3ème ligne au début de l'année :</v>
      </c>
      <c r="H86" s="568">
        <f>D27</f>
        <v>0</v>
      </c>
    </row>
    <row r="87" spans="2:21" ht="13.5" thickBot="1" x14ac:dyDescent="0.25">
      <c r="B87" s="528"/>
      <c r="C87" s="528"/>
      <c r="D87" s="569"/>
      <c r="E87" s="570"/>
      <c r="F87" s="571"/>
      <c r="G87" s="565" t="str">
        <f>'TRAD-Adults YEAR(1)'!B45</f>
        <v>Nb de patients ayant switché dans l'année :</v>
      </c>
      <c r="H87" s="729">
        <f>IF((H85-SUM(D27:D28))&gt;0, H85-SUM(D27:D28), 0)</f>
        <v>0</v>
      </c>
      <c r="J87" s="730" t="str">
        <f>'TRAD-Adults YEAR(1)'!B36</f>
        <v>Proportion mensuelle</v>
      </c>
      <c r="K87" s="570"/>
      <c r="L87" s="731" t="e">
        <f>H87/D6</f>
        <v>#DIV/0!</v>
      </c>
    </row>
    <row r="89" spans="2:21" x14ac:dyDescent="0.2">
      <c r="B89" s="290" t="str">
        <f>'TRAD-Adults YEAR(1)'!B17</f>
        <v>Commentaire</v>
      </c>
      <c r="C89" s="291"/>
      <c r="D89" s="291"/>
      <c r="E89" s="291"/>
      <c r="F89" s="291"/>
      <c r="G89" s="291"/>
      <c r="H89" s="291"/>
      <c r="I89" s="291"/>
      <c r="J89" s="291"/>
      <c r="K89" s="291"/>
      <c r="L89" s="291"/>
      <c r="M89" s="291"/>
      <c r="N89" s="497"/>
    </row>
    <row r="90" spans="2:21" ht="24" customHeight="1" x14ac:dyDescent="0.2">
      <c r="B90" s="2145" t="str">
        <f>'TRAD-Adults YEAR(1)'!B46</f>
        <v>Pour les 3èmes lignes, la méthode n'est pas la même et ne repose pas sur les lignes. Nous avons considéré la proportion de patients et les molécules nécessaires pour les prendre en charge. Cela permet ainsi de faire plusieurs combinaisons.</v>
      </c>
      <c r="C90" s="2145"/>
      <c r="D90" s="2145"/>
      <c r="E90" s="2145"/>
      <c r="F90" s="2145"/>
      <c r="G90" s="2145"/>
      <c r="H90" s="2145"/>
      <c r="I90" s="2145"/>
      <c r="J90" s="2145"/>
      <c r="K90" s="2145"/>
      <c r="L90" s="2145"/>
      <c r="M90" s="2145"/>
      <c r="N90" s="962"/>
    </row>
    <row r="91" spans="2:21" ht="13.5" thickBot="1" x14ac:dyDescent="0.25"/>
    <row r="92" spans="2:21" s="545" customFormat="1" ht="64.5" thickBot="1" x14ac:dyDescent="0.25">
      <c r="B92" s="742" t="str">
        <f>'TRAD-Adults YEAR(1)'!B47</f>
        <v>Classe pharmaco</v>
      </c>
      <c r="C92" s="963" t="str">
        <f>'TRAD-Adults YEAR(1)'!B48</f>
        <v>Molécules à avoir en plus pour des 3èmes lignes possibles</v>
      </c>
      <c r="D92" s="963" t="str">
        <f>'TRAD-Adults YEAR(1)'!B49</f>
        <v>Proportion du nombre de patients sous 3ème lignes</v>
      </c>
      <c r="E92" s="1857" t="str">
        <f>'TRAD-Adults YEAR(1)'!B50</f>
        <v>Nombre de patient par schéma par mois</v>
      </c>
      <c r="F92" s="963" t="str">
        <f>'TRAD-Adults YEAR(1)'!B38</f>
        <v>TOTAL n de patients</v>
      </c>
      <c r="G92" s="963" t="str">
        <f>'TRAD-Adults YEAR(1)'!B26</f>
        <v>Total patients-mois</v>
      </c>
      <c r="H92" s="1856" t="str">
        <f>'TRAD-Adults YEAR(1)'!B29</f>
        <v>Total patients-mois AVEC Marge de sécurité</v>
      </c>
      <c r="I92" s="710" t="str">
        <f>'TRAD-Adults YEAR(1)'!B30</f>
        <v>Nb de patients-mois Marge de sécurité SEULE</v>
      </c>
      <c r="N92" s="962"/>
      <c r="U92" s="962"/>
    </row>
    <row r="93" spans="2:21" x14ac:dyDescent="0.2">
      <c r="B93" s="696" t="s">
        <v>85</v>
      </c>
      <c r="C93" s="743" t="s">
        <v>25</v>
      </c>
      <c r="D93" s="732">
        <f>'Data &amp; hypothesis Adults'!G144</f>
        <v>0</v>
      </c>
      <c r="E93" s="744" t="e">
        <f t="shared" ref="E93:E99" si="20">$D93*$L$87</f>
        <v>#DIV/0!</v>
      </c>
      <c r="F93" s="745" t="e">
        <f t="shared" ref="F93:F102" si="21">E93*D$6</f>
        <v>#DIV/0!</v>
      </c>
      <c r="G93" s="746" t="e">
        <f t="shared" ref="G93:G102" si="22">E93*(D$6*(D$6+1)/2)</f>
        <v>#DIV/0!</v>
      </c>
      <c r="H93" s="746" t="e">
        <f>E93*((D$6+'General Data'!E$30)*(D$6+'General Data'!E$30+1)/2)</f>
        <v>#DIV/0!</v>
      </c>
      <c r="I93" s="747" t="e">
        <f>H93-G93</f>
        <v>#DIV/0!</v>
      </c>
    </row>
    <row r="94" spans="2:21" x14ac:dyDescent="0.2">
      <c r="B94" s="696"/>
      <c r="C94" s="748" t="s">
        <v>28</v>
      </c>
      <c r="D94" s="732">
        <f>'Data &amp; hypothesis Adults'!G145</f>
        <v>0</v>
      </c>
      <c r="E94" s="744" t="e">
        <f t="shared" si="20"/>
        <v>#DIV/0!</v>
      </c>
      <c r="F94" s="745" t="e">
        <f t="shared" si="21"/>
        <v>#DIV/0!</v>
      </c>
      <c r="G94" s="746" t="e">
        <f t="shared" si="22"/>
        <v>#DIV/0!</v>
      </c>
      <c r="H94" s="746" t="e">
        <f>E94*((D$6+'General Data'!E$30)*(D$6+'General Data'!E$30+1)/2)</f>
        <v>#DIV/0!</v>
      </c>
      <c r="I94" s="747" t="e">
        <f t="shared" ref="I94:I102" si="23">H94-G94</f>
        <v>#DIV/0!</v>
      </c>
    </row>
    <row r="95" spans="2:21" x14ac:dyDescent="0.2">
      <c r="B95" s="696"/>
      <c r="C95" s="748" t="s">
        <v>350</v>
      </c>
      <c r="D95" s="732">
        <f>'Data &amp; hypothesis Adults'!G146</f>
        <v>0</v>
      </c>
      <c r="E95" s="744" t="e">
        <f t="shared" si="20"/>
        <v>#DIV/0!</v>
      </c>
      <c r="F95" s="745" t="e">
        <f t="shared" si="21"/>
        <v>#DIV/0!</v>
      </c>
      <c r="G95" s="746" t="e">
        <f t="shared" si="22"/>
        <v>#DIV/0!</v>
      </c>
      <c r="H95" s="746" t="e">
        <f>E95*((D$6+'General Data'!E$30)*(D$6+'General Data'!E$30+1)/2)</f>
        <v>#DIV/0!</v>
      </c>
      <c r="I95" s="747" t="e">
        <f t="shared" si="23"/>
        <v>#DIV/0!</v>
      </c>
    </row>
    <row r="96" spans="2:21" x14ac:dyDescent="0.2">
      <c r="B96" s="749"/>
      <c r="C96" s="750" t="s">
        <v>349</v>
      </c>
      <c r="D96" s="751">
        <f>'Data &amp; hypothesis Adults'!G147</f>
        <v>0</v>
      </c>
      <c r="E96" s="752" t="e">
        <f t="shared" si="20"/>
        <v>#DIV/0!</v>
      </c>
      <c r="F96" s="752" t="e">
        <f t="shared" si="21"/>
        <v>#DIV/0!</v>
      </c>
      <c r="G96" s="753" t="e">
        <f t="shared" si="22"/>
        <v>#DIV/0!</v>
      </c>
      <c r="H96" s="753" t="e">
        <f>E96*((D$6+'General Data'!E$30)*(D$6+'General Data'!E$30+1)/2)</f>
        <v>#DIV/0!</v>
      </c>
      <c r="I96" s="754" t="e">
        <f t="shared" si="23"/>
        <v>#DIV/0!</v>
      </c>
    </row>
    <row r="97" spans="1:17" x14ac:dyDescent="0.2">
      <c r="B97" s="696" t="s">
        <v>87</v>
      </c>
      <c r="C97" s="748" t="s">
        <v>69</v>
      </c>
      <c r="D97" s="732">
        <f>'Data &amp; hypothesis Adults'!G148</f>
        <v>0</v>
      </c>
      <c r="E97" s="744" t="e">
        <f t="shared" si="20"/>
        <v>#DIV/0!</v>
      </c>
      <c r="F97" s="744" t="e">
        <f t="shared" si="21"/>
        <v>#DIV/0!</v>
      </c>
      <c r="G97" s="746" t="e">
        <f t="shared" si="22"/>
        <v>#DIV/0!</v>
      </c>
      <c r="H97" s="746" t="e">
        <f>E97*((D$6+'General Data'!E$30)*(D$6+'General Data'!E$30+1)/2)</f>
        <v>#DIV/0!</v>
      </c>
      <c r="I97" s="747" t="e">
        <f t="shared" si="23"/>
        <v>#DIV/0!</v>
      </c>
    </row>
    <row r="98" spans="1:17" x14ac:dyDescent="0.2">
      <c r="B98" s="696"/>
      <c r="C98" s="748" t="s">
        <v>68</v>
      </c>
      <c r="D98" s="732">
        <f>'Data &amp; hypothesis Adults'!G149</f>
        <v>0</v>
      </c>
      <c r="E98" s="744" t="e">
        <f t="shared" si="20"/>
        <v>#DIV/0!</v>
      </c>
      <c r="F98" s="745" t="e">
        <f t="shared" si="21"/>
        <v>#DIV/0!</v>
      </c>
      <c r="G98" s="746" t="e">
        <f t="shared" si="22"/>
        <v>#DIV/0!</v>
      </c>
      <c r="H98" s="746" t="e">
        <f>E98*((D$6+'General Data'!E$30)*(D$6+'General Data'!E$30+1)/2)</f>
        <v>#DIV/0!</v>
      </c>
      <c r="I98" s="747" t="e">
        <f t="shared" si="23"/>
        <v>#DIV/0!</v>
      </c>
    </row>
    <row r="99" spans="1:17" x14ac:dyDescent="0.2">
      <c r="B99" s="696"/>
      <c r="C99" s="748" t="s">
        <v>576</v>
      </c>
      <c r="D99" s="732">
        <f>'Data &amp; hypothesis Adults'!G150</f>
        <v>0</v>
      </c>
      <c r="E99" s="744" t="e">
        <f t="shared" si="20"/>
        <v>#DIV/0!</v>
      </c>
      <c r="F99" s="745" t="e">
        <f t="shared" si="21"/>
        <v>#DIV/0!</v>
      </c>
      <c r="G99" s="746" t="e">
        <f t="shared" si="22"/>
        <v>#DIV/0!</v>
      </c>
      <c r="H99" s="746" t="e">
        <f>E99*((D$6+'General Data'!E$30)*(D$6+'General Data'!E$30+1)/2)</f>
        <v>#DIV/0!</v>
      </c>
      <c r="I99" s="747" t="e">
        <f t="shared" si="23"/>
        <v>#DIV/0!</v>
      </c>
    </row>
    <row r="100" spans="1:17" x14ac:dyDescent="0.2">
      <c r="B100" s="749"/>
      <c r="C100" s="750" t="s">
        <v>328</v>
      </c>
      <c r="D100" s="751">
        <f>'Data &amp; hypothesis Adults'!G151</f>
        <v>0</v>
      </c>
      <c r="E100" s="752" t="e">
        <f>$D100*$L$87</f>
        <v>#DIV/0!</v>
      </c>
      <c r="F100" s="752" t="e">
        <f t="shared" si="21"/>
        <v>#DIV/0!</v>
      </c>
      <c r="G100" s="753" t="e">
        <f t="shared" si="22"/>
        <v>#DIV/0!</v>
      </c>
      <c r="H100" s="753" t="e">
        <f>E100*((D$6+'General Data'!E$30)*(D$6+'General Data'!E$30+1)/2)</f>
        <v>#DIV/0!</v>
      </c>
      <c r="I100" s="754" t="e">
        <f t="shared" si="23"/>
        <v>#DIV/0!</v>
      </c>
    </row>
    <row r="101" spans="1:17" x14ac:dyDescent="0.2">
      <c r="B101" s="755" t="s">
        <v>331</v>
      </c>
      <c r="C101" s="756" t="s">
        <v>329</v>
      </c>
      <c r="D101" s="757">
        <f>'Data &amp; hypothesis Adults'!G152</f>
        <v>0</v>
      </c>
      <c r="E101" s="758" t="e">
        <f>$D101*$L$87</f>
        <v>#DIV/0!</v>
      </c>
      <c r="F101" s="758" t="e">
        <f t="shared" si="21"/>
        <v>#DIV/0!</v>
      </c>
      <c r="G101" s="759" t="e">
        <f t="shared" si="22"/>
        <v>#DIV/0!</v>
      </c>
      <c r="H101" s="759" t="e">
        <f>E101*((D$6+'General Data'!E$30)*(D$6+'General Data'!E$30+1)/2)</f>
        <v>#DIV/0!</v>
      </c>
      <c r="I101" s="760" t="e">
        <f t="shared" si="23"/>
        <v>#DIV/0!</v>
      </c>
    </row>
    <row r="102" spans="1:17" ht="13.5" thickBot="1" x14ac:dyDescent="0.25">
      <c r="B102" s="696" t="s">
        <v>84</v>
      </c>
      <c r="C102" s="556" t="s">
        <v>330</v>
      </c>
      <c r="D102" s="736">
        <f>'Data &amp; hypothesis Adults'!G153</f>
        <v>0</v>
      </c>
      <c r="E102" s="761" t="e">
        <f>$D102*$L$87</f>
        <v>#DIV/0!</v>
      </c>
      <c r="F102" s="761" t="e">
        <f t="shared" si="21"/>
        <v>#DIV/0!</v>
      </c>
      <c r="G102" s="762" t="e">
        <f t="shared" si="22"/>
        <v>#DIV/0!</v>
      </c>
      <c r="H102" s="762" t="e">
        <f>E102*((D$6+'General Data'!E$30)*(D$6+'General Data'!E$30+1)/2)</f>
        <v>#DIV/0!</v>
      </c>
      <c r="I102" s="763" t="e">
        <f t="shared" si="23"/>
        <v>#DIV/0!</v>
      </c>
    </row>
    <row r="103" spans="1:17" ht="14.25" thickTop="1" thickBot="1" x14ac:dyDescent="0.25">
      <c r="B103" s="764"/>
      <c r="C103" s="726" t="s">
        <v>6</v>
      </c>
      <c r="D103" s="765">
        <f>SUM(D93:D102)</f>
        <v>0</v>
      </c>
      <c r="E103" s="740" t="e">
        <f>SUM(E93:E102)</f>
        <v>#DIV/0!</v>
      </c>
      <c r="F103" s="766" t="e">
        <f>SUM(F93:F102)</f>
        <v>#DIV/0!</v>
      </c>
      <c r="G103" s="727"/>
      <c r="H103" s="727"/>
      <c r="I103" s="718"/>
    </row>
    <row r="106" spans="1:17" ht="16.5" thickBot="1" x14ac:dyDescent="0.3">
      <c r="A106" s="2144" t="str">
        <f>'TRAD-Adults YEAR(1)'!B52</f>
        <v>Evolution des lignes thérapeutiques sur l'année</v>
      </c>
      <c r="B106" s="2144"/>
      <c r="C106" s="2144"/>
      <c r="D106" s="2144"/>
      <c r="E106" s="2144"/>
      <c r="F106" s="2144"/>
      <c r="G106" s="2144"/>
      <c r="H106" s="2144"/>
      <c r="I106" s="2144"/>
      <c r="J106" s="2144"/>
      <c r="K106" s="2144"/>
      <c r="L106" s="2144"/>
      <c r="M106" s="497"/>
      <c r="N106" s="497"/>
      <c r="O106" s="497"/>
      <c r="P106" s="497"/>
      <c r="Q106" s="497"/>
    </row>
    <row r="108" spans="1:17" ht="13.5" thickBot="1" x14ac:dyDescent="0.25">
      <c r="C108" s="497"/>
      <c r="D108" s="497"/>
    </row>
    <row r="109" spans="1:17" ht="77.25" thickBot="1" x14ac:dyDescent="0.25">
      <c r="B109" s="354"/>
      <c r="C109" s="691" t="str">
        <f>'TRAD-Adults YEAR(1)'!B7</f>
        <v>Schémas</v>
      </c>
      <c r="D109" s="691" t="str">
        <f>'TRAD-Adults YEAR(1)'!B53</f>
        <v>Données en début d'année</v>
      </c>
      <c r="E109" s="691" t="str">
        <f>'TRAD-Adults YEAR(1)'!B54</f>
        <v xml:space="preserve">Initiations première </v>
      </c>
      <c r="F109" s="691" t="str">
        <f>'TRAD-Adults YEAR(1)'!B55</f>
        <v>Passage en 2ème ligne et défalcation des 1ères lignes [1]</v>
      </c>
      <c r="G109" s="692" t="str">
        <f>'TRAD-Adults YEAR(1)'!B56</f>
        <v>Répartition en fin de période</v>
      </c>
    </row>
    <row r="110" spans="1:17" ht="13.5" thickBot="1" x14ac:dyDescent="0.25">
      <c r="B110" s="693" t="str">
        <f>'TRAD-Adults YEAR(1)'!B10</f>
        <v>1ères lignes</v>
      </c>
      <c r="C110" s="546" t="str">
        <f>C10</f>
        <v>AZT+3TC+NVP</v>
      </c>
      <c r="D110" s="767">
        <f t="shared" ref="D110:D114" si="24">D10</f>
        <v>10056.609643394911</v>
      </c>
      <c r="E110" s="582">
        <f t="shared" ref="E110:E113" si="25">F39</f>
        <v>0</v>
      </c>
      <c r="F110" s="1145">
        <f t="shared" ref="F110:F119" si="26">-(SUM(D110:E110)/SUM(D$110:E$119))*C$80</f>
        <v>-239.90745220169606</v>
      </c>
      <c r="G110" s="1146">
        <f>D110+E110+F110</f>
        <v>9816.7021911932152</v>
      </c>
    </row>
    <row r="111" spans="1:17" x14ac:dyDescent="0.2">
      <c r="B111" s="696"/>
      <c r="C111" s="323" t="str">
        <f t="shared" ref="C111:D126" si="27">C11</f>
        <v>AZT+3TC+EFV</v>
      </c>
      <c r="D111" s="768">
        <f t="shared" si="24"/>
        <v>1298.8099429852928</v>
      </c>
      <c r="E111" s="585">
        <f t="shared" si="25"/>
        <v>0</v>
      </c>
      <c r="F111" s="769">
        <f t="shared" si="26"/>
        <v>-30.984019004902301</v>
      </c>
      <c r="G111" s="770">
        <f t="shared" ref="G111:G118" si="28">D111+E111+F111</f>
        <v>1267.8259239803904</v>
      </c>
      <c r="I111" s="546"/>
    </row>
    <row r="112" spans="1:17" x14ac:dyDescent="0.2">
      <c r="B112" s="696"/>
      <c r="C112" s="323" t="str">
        <f t="shared" si="27"/>
        <v>AZT+3TC+ABC</v>
      </c>
      <c r="D112" s="768">
        <f t="shared" si="24"/>
        <v>73.281458742847647</v>
      </c>
      <c r="E112" s="585">
        <f t="shared" si="25"/>
        <v>0</v>
      </c>
      <c r="F112" s="769">
        <f t="shared" si="26"/>
        <v>-1.7481804190507853</v>
      </c>
      <c r="G112" s="770">
        <f t="shared" si="28"/>
        <v>71.533278323796864</v>
      </c>
      <c r="I112" s="323"/>
    </row>
    <row r="113" spans="2:9" x14ac:dyDescent="0.2">
      <c r="B113" s="696"/>
      <c r="C113" s="533" t="str">
        <f t="shared" si="27"/>
        <v>AZT+3TC+LPV/r</v>
      </c>
      <c r="D113" s="768">
        <f t="shared" si="24"/>
        <v>643.29336166524001</v>
      </c>
      <c r="E113" s="585">
        <f t="shared" si="25"/>
        <v>0</v>
      </c>
      <c r="F113" s="769">
        <f t="shared" si="26"/>
        <v>-15.346212778253259</v>
      </c>
      <c r="G113" s="770">
        <f t="shared" si="28"/>
        <v>627.94714888698672</v>
      </c>
      <c r="I113" s="323"/>
    </row>
    <row r="114" spans="2:9" x14ac:dyDescent="0.2">
      <c r="B114" s="696"/>
      <c r="C114" s="533" t="str">
        <f t="shared" si="27"/>
        <v>ABC+3TC+EFV</v>
      </c>
      <c r="D114" s="768">
        <f t="shared" si="24"/>
        <v>40.715135923028029</v>
      </c>
      <c r="E114" s="585">
        <f t="shared" ref="E114" si="29">F43</f>
        <v>0</v>
      </c>
      <c r="F114" s="769">
        <f t="shared" si="26"/>
        <v>-0.97128802565731964</v>
      </c>
      <c r="G114" s="770">
        <f t="shared" ref="G114" si="30">D114+E114+F114</f>
        <v>39.743847897370706</v>
      </c>
      <c r="I114" s="533"/>
    </row>
    <row r="115" spans="2:9" x14ac:dyDescent="0.2">
      <c r="B115" s="696"/>
      <c r="C115" s="323" t="str">
        <f t="shared" si="27"/>
        <v>TDF+FTC/3TC+EFV</v>
      </c>
      <c r="D115" s="768">
        <f t="shared" ref="D115:D123" si="31">D15</f>
        <v>5601.870398497198</v>
      </c>
      <c r="E115" s="585">
        <f>F44</f>
        <v>0</v>
      </c>
      <c r="F115" s="769">
        <f t="shared" si="26"/>
        <v>-133.63653383426728</v>
      </c>
      <c r="G115" s="770">
        <f t="shared" si="28"/>
        <v>5468.2338646629305</v>
      </c>
      <c r="I115" s="533"/>
    </row>
    <row r="116" spans="2:9" x14ac:dyDescent="0.2">
      <c r="B116" s="696"/>
      <c r="C116" s="323" t="str">
        <f t="shared" si="27"/>
        <v>TDF+FTC/3TC+LPV/r</v>
      </c>
      <c r="D116" s="768">
        <f t="shared" si="31"/>
        <v>0</v>
      </c>
      <c r="E116" s="585">
        <f>F45</f>
        <v>0</v>
      </c>
      <c r="F116" s="769">
        <f t="shared" si="26"/>
        <v>0</v>
      </c>
      <c r="G116" s="770">
        <f t="shared" si="28"/>
        <v>0</v>
      </c>
      <c r="I116" s="323"/>
    </row>
    <row r="117" spans="2:9" x14ac:dyDescent="0.2">
      <c r="B117" s="696"/>
      <c r="C117" s="323" t="str">
        <f t="shared" si="27"/>
        <v>ABC+3TC+LPV/r</v>
      </c>
      <c r="D117" s="768">
        <f t="shared" si="31"/>
        <v>23.069017397081137</v>
      </c>
      <c r="E117" s="585">
        <f>F46</f>
        <v>0</v>
      </c>
      <c r="F117" s="769">
        <f t="shared" si="26"/>
        <v>-0.55032753430628578</v>
      </c>
      <c r="G117" s="770">
        <f t="shared" si="28"/>
        <v>22.518689862774849</v>
      </c>
      <c r="I117" s="323"/>
    </row>
    <row r="118" spans="2:9" x14ac:dyDescent="0.2">
      <c r="B118" s="696"/>
      <c r="C118" s="323" t="str">
        <f t="shared" si="27"/>
        <v>TDF+3TC/FTC+ABC</v>
      </c>
      <c r="D118" s="768">
        <f t="shared" si="31"/>
        <v>50.2124413457665</v>
      </c>
      <c r="E118" s="585">
        <f>F46</f>
        <v>0</v>
      </c>
      <c r="F118" s="769">
        <f t="shared" si="26"/>
        <v>-1.1978528847444991</v>
      </c>
      <c r="G118" s="770">
        <f t="shared" si="28"/>
        <v>49.014588461022001</v>
      </c>
      <c r="I118" s="323"/>
    </row>
    <row r="119" spans="2:9" x14ac:dyDescent="0.2">
      <c r="B119" s="696"/>
      <c r="C119" s="705">
        <f t="shared" si="27"/>
        <v>0</v>
      </c>
      <c r="D119" s="1147">
        <f t="shared" si="31"/>
        <v>0</v>
      </c>
      <c r="E119" s="772">
        <f>F48</f>
        <v>0</v>
      </c>
      <c r="F119" s="773">
        <f t="shared" si="26"/>
        <v>0</v>
      </c>
      <c r="G119" s="774">
        <f>D119+E119+F119</f>
        <v>0</v>
      </c>
      <c r="I119" s="323"/>
    </row>
    <row r="120" spans="2:9" x14ac:dyDescent="0.2">
      <c r="B120" s="701" t="str">
        <f>'TRAD-Adults YEAR(1)'!B11</f>
        <v>2èmes lignes</v>
      </c>
      <c r="C120" s="702" t="str">
        <f t="shared" si="27"/>
        <v>TDF+FTC/3TC+LPV/r</v>
      </c>
      <c r="D120" s="775">
        <f t="shared" si="31"/>
        <v>1688.9554000486332</v>
      </c>
      <c r="E120" s="1148"/>
      <c r="F120" s="1149">
        <f>C73</f>
        <v>424.34186668287776</v>
      </c>
      <c r="G120" s="1150">
        <f>D120+F120</f>
        <v>2113.2972667315112</v>
      </c>
      <c r="I120" s="705"/>
    </row>
    <row r="121" spans="2:9" x14ac:dyDescent="0.2">
      <c r="B121" s="696"/>
      <c r="C121" s="533" t="str">
        <f t="shared" si="27"/>
        <v>TDF+FTC/3TC+ATV/r</v>
      </c>
      <c r="D121" s="768">
        <f t="shared" si="31"/>
        <v>34.903199999999998</v>
      </c>
      <c r="E121" s="585"/>
      <c r="F121" s="587">
        <f>C74</f>
        <v>0</v>
      </c>
      <c r="G121" s="770">
        <f>D121+F121</f>
        <v>34.903199999999998</v>
      </c>
      <c r="I121" s="702"/>
    </row>
    <row r="122" spans="2:9" x14ac:dyDescent="0.2">
      <c r="B122" s="696"/>
      <c r="C122" s="533" t="str">
        <f t="shared" si="27"/>
        <v>ABC+DDI+LPV/r</v>
      </c>
      <c r="D122" s="768">
        <f t="shared" si="31"/>
        <v>0</v>
      </c>
      <c r="E122" s="585"/>
      <c r="F122" s="587">
        <f>C75</f>
        <v>0</v>
      </c>
      <c r="G122" s="770">
        <f>D122+F122</f>
        <v>0</v>
      </c>
      <c r="I122" s="533"/>
    </row>
    <row r="123" spans="2:9" x14ac:dyDescent="0.2">
      <c r="B123" s="696"/>
      <c r="C123" s="533" t="str">
        <f t="shared" si="27"/>
        <v>TDF+3TC/FTC+ABC</v>
      </c>
      <c r="D123" s="585">
        <f t="shared" si="31"/>
        <v>0</v>
      </c>
      <c r="E123" s="585"/>
      <c r="F123" s="585">
        <f>C76</f>
        <v>0</v>
      </c>
      <c r="G123" s="770">
        <f>D123+F123</f>
        <v>0</v>
      </c>
      <c r="I123" s="533"/>
    </row>
    <row r="124" spans="2:9" x14ac:dyDescent="0.2">
      <c r="B124" s="696"/>
      <c r="C124" s="533" t="str">
        <f t="shared" si="27"/>
        <v>AZT+3TC+LPV/r</v>
      </c>
      <c r="D124" s="585">
        <f t="shared" si="27"/>
        <v>587.6280940790233</v>
      </c>
      <c r="E124" s="585"/>
      <c r="F124" s="585">
        <f t="shared" ref="F124:F126" si="32">C77</f>
        <v>195.87603135967444</v>
      </c>
      <c r="G124" s="770">
        <f t="shared" ref="G124:G126" si="33">D124+F124</f>
        <v>783.50412543869777</v>
      </c>
      <c r="I124" s="705"/>
    </row>
    <row r="125" spans="2:9" x14ac:dyDescent="0.2">
      <c r="B125" s="696"/>
      <c r="C125" s="533">
        <f t="shared" si="27"/>
        <v>0</v>
      </c>
      <c r="D125" s="585">
        <f t="shared" si="27"/>
        <v>0</v>
      </c>
      <c r="E125" s="585"/>
      <c r="F125" s="585">
        <f t="shared" si="32"/>
        <v>0</v>
      </c>
      <c r="G125" s="770">
        <f t="shared" si="33"/>
        <v>0</v>
      </c>
    </row>
    <row r="126" spans="2:9" x14ac:dyDescent="0.2">
      <c r="B126" s="696"/>
      <c r="C126" s="705">
        <f t="shared" si="27"/>
        <v>0</v>
      </c>
      <c r="D126" s="772">
        <f t="shared" si="27"/>
        <v>0</v>
      </c>
      <c r="E126" s="772"/>
      <c r="F126" s="772">
        <f t="shared" si="32"/>
        <v>0</v>
      </c>
      <c r="G126" s="774">
        <f t="shared" si="33"/>
        <v>0</v>
      </c>
    </row>
    <row r="127" spans="2:9" x14ac:dyDescent="0.2">
      <c r="B127" s="701" t="str">
        <f>'TRAD-Adults YEAR(1)'!B12</f>
        <v>3èmes lignes</v>
      </c>
      <c r="C127" s="533" t="str">
        <f>'TRAD-Adults YEAR(1)'!B57</f>
        <v>total divers 3èmes l</v>
      </c>
      <c r="D127" s="776">
        <f t="shared" ref="D127" si="34">D27</f>
        <v>0</v>
      </c>
      <c r="E127" s="1357"/>
      <c r="F127" s="1909">
        <f>H87</f>
        <v>0</v>
      </c>
      <c r="G127" s="1925">
        <f>D127+F127</f>
        <v>0</v>
      </c>
    </row>
    <row r="128" spans="2:9" ht="13.5" thickBot="1" x14ac:dyDescent="0.25">
      <c r="B128" s="696"/>
      <c r="C128" s="497"/>
      <c r="D128" s="776"/>
      <c r="E128" s="589"/>
      <c r="F128" s="589"/>
      <c r="G128" s="778"/>
    </row>
    <row r="129" spans="2:21" ht="14.25" thickTop="1" thickBot="1" x14ac:dyDescent="0.25">
      <c r="B129" s="706"/>
      <c r="C129" s="707" t="s">
        <v>6</v>
      </c>
      <c r="D129" s="779">
        <f>SUM(D110:D128)</f>
        <v>20099.348094079025</v>
      </c>
      <c r="E129" s="727"/>
      <c r="F129" s="727"/>
      <c r="G129" s="780">
        <f>SUM(G110:G123)</f>
        <v>19511.72</v>
      </c>
    </row>
    <row r="131" spans="2:21" x14ac:dyDescent="0.2">
      <c r="B131" s="290" t="str">
        <f>'TRAD-Adults YEAR(1)'!B17</f>
        <v>Commentaire</v>
      </c>
      <c r="C131" s="291"/>
      <c r="D131" s="291"/>
      <c r="E131" s="291"/>
      <c r="F131" s="291"/>
      <c r="G131" s="291"/>
      <c r="H131" s="291"/>
      <c r="I131" s="291"/>
      <c r="J131" s="291"/>
    </row>
    <row r="132" spans="2:21" x14ac:dyDescent="0.2">
      <c r="B132" s="292" t="s">
        <v>240</v>
      </c>
      <c r="C132" s="293" t="str">
        <f>'TRAD-Adults YEAR(1)'!B58</f>
        <v>La défalcation sur les premières lignes est obtenue par le calcul suivant :</v>
      </c>
    </row>
    <row r="133" spans="2:21" x14ac:dyDescent="0.2">
      <c r="B133" s="292"/>
      <c r="C133" s="293" t="str">
        <f>'TRAD-Adults YEAR(1)'!B59</f>
        <v xml:space="preserve"> = - Proportion du schéma dans les 1ères lignes à la fin de l'année * nb de patients passant en 2èmes lignes</v>
      </c>
    </row>
    <row r="135" spans="2:21" ht="15" x14ac:dyDescent="0.2">
      <c r="B135" s="2143" t="str">
        <f>'TRAD-Adults YEAR(1)'!B60</f>
        <v>Synthèse de la situation envisagée en fin d'année</v>
      </c>
      <c r="C135" s="2143"/>
      <c r="D135" s="2143"/>
      <c r="E135" s="2143"/>
      <c r="F135" s="2143"/>
      <c r="G135" s="781"/>
      <c r="H135" s="781"/>
      <c r="I135" s="781"/>
      <c r="J135" s="781"/>
      <c r="K135" s="781"/>
      <c r="L135" s="2143"/>
      <c r="M135" s="2143"/>
      <c r="N135" s="961"/>
    </row>
    <row r="137" spans="2:21" ht="13.5" thickBot="1" x14ac:dyDescent="0.25">
      <c r="B137" s="497"/>
      <c r="C137" s="497"/>
    </row>
    <row r="138" spans="2:21" s="545" customFormat="1" ht="57" customHeight="1" thickBot="1" x14ac:dyDescent="0.25">
      <c r="B138" s="782"/>
      <c r="C138" s="782"/>
      <c r="D138" s="2147" t="str">
        <f>'TRAD-Adults YEAR(1)'!B61</f>
        <v>SANS DEFALCATION des passages en 2èmes lignes sur les 1ères lignes</v>
      </c>
      <c r="E138" s="2148"/>
      <c r="F138" s="2147" t="str">
        <f>'TRAD-Adults YEAR(1)'!B62</f>
        <v>AVEC DEFALCATION PROPORTIONNELLE à la répartition des patients en 1ère ligne</v>
      </c>
      <c r="G138" s="2148"/>
      <c r="H138" s="2147" t="str">
        <f>'TRAD-Adults YEAR(1)'!B63</f>
        <v>AVEC DEFALCATION SUR SCHEMA MAJORITAIRE 1ère ligne</v>
      </c>
      <c r="I138" s="2148"/>
      <c r="N138" s="962"/>
      <c r="U138" s="962"/>
    </row>
    <row r="139" spans="2:21" ht="51.75" thickBot="1" x14ac:dyDescent="0.25">
      <c r="B139" s="354"/>
      <c r="C139" s="439" t="str">
        <f>'TRAD-Adults YEAR(1)'!B7</f>
        <v>Schémas</v>
      </c>
      <c r="D139" s="405" t="str">
        <f>'TRAD-Adults YEAR(1)'!B65</f>
        <v>Nb de patients</v>
      </c>
      <c r="E139" s="439" t="s">
        <v>51</v>
      </c>
      <c r="F139" s="405" t="str">
        <f>'TRAD-Adults YEAR(1)'!B67</f>
        <v>Nb de patients en fin de période</v>
      </c>
      <c r="G139" s="439" t="s">
        <v>51</v>
      </c>
      <c r="H139" s="405" t="str">
        <f>'TRAD-Adults YEAR(1)'!B67</f>
        <v>Nb de patients en fin de période</v>
      </c>
      <c r="I139" s="439" t="s">
        <v>51</v>
      </c>
    </row>
    <row r="140" spans="2:21" x14ac:dyDescent="0.2">
      <c r="B140" s="693" t="str">
        <f>'Data &amp; hypothesis Adults'!$B$26</f>
        <v>1ères lignes</v>
      </c>
      <c r="C140" s="546" t="str">
        <f>C10</f>
        <v>AZT+3TC+NVP</v>
      </c>
      <c r="D140" s="359">
        <f t="shared" ref="D140:D143" si="35">D110+E110</f>
        <v>10056.609643394911</v>
      </c>
      <c r="E140" s="269">
        <f t="shared" ref="E140:E157" si="36">D140/D$159</f>
        <v>0.48536777494368588</v>
      </c>
      <c r="F140" s="783">
        <f t="shared" ref="F140:F143" si="37">G110</f>
        <v>9816.7021911932152</v>
      </c>
      <c r="G140" s="784">
        <f t="shared" ref="G140:G147" si="38">F140/F$159</f>
        <v>0.48369518515879012</v>
      </c>
      <c r="H140" s="359">
        <f>D110+E110-C80</f>
        <v>9632.2677767120331</v>
      </c>
      <c r="I140" s="269">
        <f t="shared" ref="I140:I147" si="39">H140/H$159</f>
        <v>0.47460760803516505</v>
      </c>
    </row>
    <row r="141" spans="2:21" x14ac:dyDescent="0.2">
      <c r="B141" s="696"/>
      <c r="C141" s="323" t="str">
        <f t="shared" ref="C141:C156" si="40">C11</f>
        <v>AZT+3TC+EFV</v>
      </c>
      <c r="D141" s="362">
        <f t="shared" si="35"/>
        <v>1298.8099429852928</v>
      </c>
      <c r="E141" s="273">
        <f t="shared" si="36"/>
        <v>6.2685190581653755E-2</v>
      </c>
      <c r="F141" s="785">
        <f t="shared" si="37"/>
        <v>1267.8259239803904</v>
      </c>
      <c r="G141" s="786">
        <f t="shared" si="38"/>
        <v>6.246917580926125E-2</v>
      </c>
      <c r="H141" s="362">
        <f t="shared" ref="H141:H143" si="41">D111+E111</f>
        <v>1298.8099429852928</v>
      </c>
      <c r="I141" s="273">
        <f t="shared" si="39"/>
        <v>6.399584133477601E-2</v>
      </c>
    </row>
    <row r="142" spans="2:21" x14ac:dyDescent="0.2">
      <c r="B142" s="696"/>
      <c r="C142" s="323" t="str">
        <f t="shared" si="40"/>
        <v>AZT+3TC+ABC</v>
      </c>
      <c r="D142" s="362">
        <f t="shared" si="35"/>
        <v>73.281458742847647</v>
      </c>
      <c r="E142" s="273">
        <f t="shared" si="36"/>
        <v>3.5368240227962428E-3</v>
      </c>
      <c r="F142" s="785">
        <f t="shared" si="37"/>
        <v>71.533278323796864</v>
      </c>
      <c r="G142" s="786">
        <f t="shared" si="38"/>
        <v>3.5246360366198034E-3</v>
      </c>
      <c r="H142" s="362">
        <f t="shared" si="41"/>
        <v>73.281458742847647</v>
      </c>
      <c r="I142" s="273">
        <f t="shared" si="39"/>
        <v>3.610773563766378E-3</v>
      </c>
    </row>
    <row r="143" spans="2:21" x14ac:dyDescent="0.2">
      <c r="B143" s="696"/>
      <c r="C143" s="533" t="str">
        <f t="shared" si="40"/>
        <v>AZT+3TC+LPV/r</v>
      </c>
      <c r="D143" s="362">
        <f t="shared" si="35"/>
        <v>643.29336166524001</v>
      </c>
      <c r="E143" s="273">
        <f t="shared" si="36"/>
        <v>3.104762724807298E-2</v>
      </c>
      <c r="F143" s="785">
        <f t="shared" si="37"/>
        <v>627.94714888698672</v>
      </c>
      <c r="G143" s="786">
        <f t="shared" si="38"/>
        <v>3.0940636329307505E-2</v>
      </c>
      <c r="H143" s="362">
        <f t="shared" si="41"/>
        <v>643.29336166524001</v>
      </c>
      <c r="I143" s="273">
        <f t="shared" si="39"/>
        <v>3.1696785297330873E-2</v>
      </c>
    </row>
    <row r="144" spans="2:21" x14ac:dyDescent="0.2">
      <c r="B144" s="696"/>
      <c r="C144" s="533" t="str">
        <f t="shared" si="40"/>
        <v>ABC+3TC+EFV</v>
      </c>
      <c r="D144" s="362">
        <f t="shared" ref="D144" si="42">D114+E114</f>
        <v>40.715135923028029</v>
      </c>
      <c r="E144" s="273">
        <f t="shared" ref="E144" si="43">D144/D$159</f>
        <v>1.9650573732340527E-3</v>
      </c>
      <c r="F144" s="785">
        <f t="shared" ref="F144" si="44">G114</f>
        <v>39.743847897370706</v>
      </c>
      <c r="G144" s="786">
        <f t="shared" ref="G144" si="45">F144/F$159</f>
        <v>1.9582857351919791E-3</v>
      </c>
      <c r="H144" s="362">
        <f t="shared" ref="H144" si="46">D114+E114</f>
        <v>40.715135923028029</v>
      </c>
      <c r="I144" s="273">
        <f t="shared" ref="I144" si="47">H144/H$159</f>
        <v>2.0061436952546071E-3</v>
      </c>
    </row>
    <row r="145" spans="2:9" x14ac:dyDescent="0.2">
      <c r="B145" s="696"/>
      <c r="C145" s="323" t="str">
        <f t="shared" si="40"/>
        <v>TDF+FTC/3TC+EFV</v>
      </c>
      <c r="D145" s="362">
        <f>D115+E115</f>
        <v>5601.870398497198</v>
      </c>
      <c r="E145" s="273">
        <f t="shared" si="36"/>
        <v>0.27036620364670083</v>
      </c>
      <c r="F145" s="785">
        <f t="shared" ref="F145:F153" si="48">G115</f>
        <v>5468.2338646629305</v>
      </c>
      <c r="G145" s="786">
        <f t="shared" si="38"/>
        <v>0.26943451478364644</v>
      </c>
      <c r="H145" s="362">
        <f>D115+E115</f>
        <v>5601.870398497198</v>
      </c>
      <c r="I145" s="273">
        <f t="shared" si="39"/>
        <v>0.27601914439937775</v>
      </c>
    </row>
    <row r="146" spans="2:9" x14ac:dyDescent="0.2">
      <c r="B146" s="696"/>
      <c r="C146" s="323" t="str">
        <f t="shared" si="40"/>
        <v>TDF+FTC/3TC+LPV/r</v>
      </c>
      <c r="D146" s="362">
        <f>D116+E116</f>
        <v>0</v>
      </c>
      <c r="E146" s="273">
        <f t="shared" si="36"/>
        <v>0</v>
      </c>
      <c r="F146" s="785">
        <f t="shared" si="48"/>
        <v>0</v>
      </c>
      <c r="G146" s="786">
        <f t="shared" si="38"/>
        <v>0</v>
      </c>
      <c r="H146" s="362">
        <f>D116+E116</f>
        <v>0</v>
      </c>
      <c r="I146" s="273">
        <f t="shared" si="39"/>
        <v>0</v>
      </c>
    </row>
    <row r="147" spans="2:9" x14ac:dyDescent="0.2">
      <c r="B147" s="696"/>
      <c r="C147" s="323" t="str">
        <f t="shared" si="40"/>
        <v>ABC+3TC+LPV/r</v>
      </c>
      <c r="D147" s="362">
        <f>D117+E117</f>
        <v>23.069017397081137</v>
      </c>
      <c r="E147" s="273">
        <f t="shared" si="36"/>
        <v>1.11339288698677E-3</v>
      </c>
      <c r="F147" s="785">
        <f t="shared" si="48"/>
        <v>22.518689862774849</v>
      </c>
      <c r="G147" s="786">
        <f t="shared" si="38"/>
        <v>1.1095561065792413E-3</v>
      </c>
      <c r="H147" s="362">
        <f>D117+E117</f>
        <v>23.069017397081137</v>
      </c>
      <c r="I147" s="273">
        <f t="shared" si="39"/>
        <v>1.1366722167983196E-3</v>
      </c>
    </row>
    <row r="148" spans="2:9" x14ac:dyDescent="0.2">
      <c r="B148" s="696"/>
      <c r="C148" s="323" t="str">
        <f t="shared" si="40"/>
        <v>TDF+3TC/FTC+ABC</v>
      </c>
      <c r="D148" s="362">
        <f>D118+E118</f>
        <v>50.2124413457665</v>
      </c>
      <c r="E148" s="273">
        <f t="shared" si="36"/>
        <v>2.4234311358094724E-3</v>
      </c>
      <c r="F148" s="785">
        <f t="shared" si="48"/>
        <v>49.014588461022001</v>
      </c>
      <c r="G148" s="786">
        <f t="shared" ref="G148:G157" si="49">F148/F$159</f>
        <v>2.4150799300405612E-3</v>
      </c>
      <c r="H148" s="362">
        <f>D118+E118</f>
        <v>50.2124413457665</v>
      </c>
      <c r="I148" s="273">
        <f t="shared" ref="I148:I157" si="50">H148/H$159</f>
        <v>2.4741013469680583E-3</v>
      </c>
    </row>
    <row r="149" spans="2:9" x14ac:dyDescent="0.2">
      <c r="B149" s="696"/>
      <c r="C149" s="705">
        <f t="shared" si="40"/>
        <v>0</v>
      </c>
      <c r="D149" s="787">
        <f>D119+E119</f>
        <v>0</v>
      </c>
      <c r="E149" s="281">
        <f>D149/D$159</f>
        <v>0</v>
      </c>
      <c r="F149" s="788">
        <f t="shared" si="48"/>
        <v>0</v>
      </c>
      <c r="G149" s="789">
        <f t="shared" si="49"/>
        <v>0</v>
      </c>
      <c r="H149" s="787">
        <f>D119+E119</f>
        <v>0</v>
      </c>
      <c r="I149" s="281">
        <f t="shared" si="50"/>
        <v>0</v>
      </c>
    </row>
    <row r="150" spans="2:9" x14ac:dyDescent="0.2">
      <c r="B150" s="701" t="str">
        <f>'Data &amp; hypothesis Adults'!$B$36</f>
        <v>2èmes lignes</v>
      </c>
      <c r="C150" s="702" t="str">
        <f t="shared" si="40"/>
        <v>TDF+FTC/3TC+LPV/r</v>
      </c>
      <c r="D150" s="1151">
        <f>D120+F120</f>
        <v>2113.2972667315112</v>
      </c>
      <c r="E150" s="1140">
        <f>D150/D$159</f>
        <v>0.10199524775446904</v>
      </c>
      <c r="F150" s="1152">
        <f t="shared" si="48"/>
        <v>2113.2972667315112</v>
      </c>
      <c r="G150" s="1141">
        <f t="shared" si="49"/>
        <v>0.10412781123627185</v>
      </c>
      <c r="H150" s="1151">
        <f>D120+F120</f>
        <v>2113.2972667315112</v>
      </c>
      <c r="I150" s="1140">
        <f t="shared" si="50"/>
        <v>0.10412781123627188</v>
      </c>
    </row>
    <row r="151" spans="2:9" x14ac:dyDescent="0.2">
      <c r="B151" s="696"/>
      <c r="C151" s="533" t="str">
        <f t="shared" si="40"/>
        <v>TDF+FTC/3TC+ATV/r</v>
      </c>
      <c r="D151" s="362">
        <f>D121+F121</f>
        <v>34.903199999999998</v>
      </c>
      <c r="E151" s="273">
        <f>D151/D$159</f>
        <v>1.6845526597068501E-3</v>
      </c>
      <c r="F151" s="785">
        <f t="shared" si="48"/>
        <v>34.903199999999998</v>
      </c>
      <c r="G151" s="786">
        <f t="shared" si="49"/>
        <v>1.7197740603539916E-3</v>
      </c>
      <c r="H151" s="362">
        <f>D121+F121</f>
        <v>34.903199999999998</v>
      </c>
      <c r="I151" s="273">
        <f t="shared" si="50"/>
        <v>1.7197740603539921E-3</v>
      </c>
    </row>
    <row r="152" spans="2:9" x14ac:dyDescent="0.2">
      <c r="B152" s="696"/>
      <c r="C152" s="533" t="str">
        <f t="shared" si="40"/>
        <v>ABC+DDI+LPV/r</v>
      </c>
      <c r="D152" s="362">
        <f>D122+F122</f>
        <v>0</v>
      </c>
      <c r="E152" s="273">
        <f>D152/D$159</f>
        <v>0</v>
      </c>
      <c r="F152" s="785">
        <f t="shared" si="48"/>
        <v>0</v>
      </c>
      <c r="G152" s="786">
        <f t="shared" si="49"/>
        <v>0</v>
      </c>
      <c r="H152" s="362">
        <f>D122+F122</f>
        <v>0</v>
      </c>
      <c r="I152" s="273">
        <f t="shared" si="50"/>
        <v>0</v>
      </c>
    </row>
    <row r="153" spans="2:9" x14ac:dyDescent="0.2">
      <c r="B153" s="696"/>
      <c r="C153" s="533" t="str">
        <f t="shared" si="40"/>
        <v>TDF+3TC/FTC+ABC</v>
      </c>
      <c r="D153" s="362">
        <f>D123+F123</f>
        <v>0</v>
      </c>
      <c r="E153" s="273">
        <f>D153/D$159</f>
        <v>0</v>
      </c>
      <c r="F153" s="785">
        <f t="shared" si="48"/>
        <v>0</v>
      </c>
      <c r="G153" s="786">
        <f t="shared" si="49"/>
        <v>0</v>
      </c>
      <c r="H153" s="362">
        <f>D123+F123</f>
        <v>0</v>
      </c>
      <c r="I153" s="273">
        <f t="shared" si="50"/>
        <v>0</v>
      </c>
    </row>
    <row r="154" spans="2:9" x14ac:dyDescent="0.2">
      <c r="B154" s="696"/>
      <c r="C154" s="533" t="str">
        <f t="shared" si="40"/>
        <v>AZT+3TC+LPV/r</v>
      </c>
      <c r="D154" s="362">
        <f t="shared" ref="D154:D156" si="51">D124+F124</f>
        <v>783.50412543869777</v>
      </c>
      <c r="E154" s="273">
        <f t="shared" ref="E154:E156" si="52">D154/D$159</f>
        <v>3.7814697746884181E-2</v>
      </c>
      <c r="F154" s="785">
        <f>G124</f>
        <v>783.50412543869777</v>
      </c>
      <c r="G154" s="786">
        <f>F154/F$159</f>
        <v>3.8605344813937188E-2</v>
      </c>
      <c r="H154" s="362">
        <f>D124+F124</f>
        <v>783.50412543869777</v>
      </c>
      <c r="I154" s="273">
        <f>H154/H$159</f>
        <v>3.8605344813937195E-2</v>
      </c>
    </row>
    <row r="155" spans="2:9" x14ac:dyDescent="0.2">
      <c r="B155" s="696"/>
      <c r="C155" s="533">
        <f t="shared" si="40"/>
        <v>0</v>
      </c>
      <c r="D155" s="362">
        <f t="shared" si="51"/>
        <v>0</v>
      </c>
      <c r="E155" s="273">
        <f t="shared" si="52"/>
        <v>0</v>
      </c>
      <c r="F155" s="785">
        <f t="shared" ref="F155:F156" si="53">G125</f>
        <v>0</v>
      </c>
      <c r="G155" s="786">
        <f t="shared" ref="G155:G156" si="54">F155/F$159</f>
        <v>0</v>
      </c>
      <c r="H155" s="362">
        <f t="shared" ref="H155:H156" si="55">D125+F125</f>
        <v>0</v>
      </c>
      <c r="I155" s="273">
        <f t="shared" ref="I155:I156" si="56">H155/H$159</f>
        <v>0</v>
      </c>
    </row>
    <row r="156" spans="2:9" x14ac:dyDescent="0.2">
      <c r="B156" s="696"/>
      <c r="C156" s="705">
        <f t="shared" si="40"/>
        <v>0</v>
      </c>
      <c r="D156" s="787">
        <f t="shared" si="51"/>
        <v>0</v>
      </c>
      <c r="E156" s="281">
        <f t="shared" si="52"/>
        <v>0</v>
      </c>
      <c r="F156" s="785">
        <f t="shared" si="53"/>
        <v>0</v>
      </c>
      <c r="G156" s="786">
        <f t="shared" si="54"/>
        <v>0</v>
      </c>
      <c r="H156" s="362">
        <f t="shared" si="55"/>
        <v>0</v>
      </c>
      <c r="I156" s="273">
        <f t="shared" si="56"/>
        <v>0</v>
      </c>
    </row>
    <row r="157" spans="2:9" ht="25.5" x14ac:dyDescent="0.2">
      <c r="B157" s="701" t="str">
        <f>'Data &amp; hypothesis Adults'!$B$43</f>
        <v>3èmes lignes</v>
      </c>
      <c r="C157" s="790" t="str">
        <f>'TRAD-Adults YEAR(1)'!B16</f>
        <v>nb de patient total 3èmes lignes</v>
      </c>
      <c r="D157" s="791">
        <f>F127</f>
        <v>0</v>
      </c>
      <c r="E157" s="283">
        <f t="shared" si="36"/>
        <v>0</v>
      </c>
      <c r="F157" s="792">
        <f t="shared" ref="F157:F158" si="57">G127</f>
        <v>0</v>
      </c>
      <c r="G157" s="793">
        <f t="shared" si="49"/>
        <v>0</v>
      </c>
      <c r="H157" s="794">
        <f>K127</f>
        <v>0</v>
      </c>
      <c r="I157" s="283">
        <f t="shared" si="50"/>
        <v>0</v>
      </c>
    </row>
    <row r="158" spans="2:9" ht="13.5" thickBot="1" x14ac:dyDescent="0.25">
      <c r="B158" s="696"/>
      <c r="C158" s="285"/>
      <c r="D158" s="794">
        <f>G128</f>
        <v>0</v>
      </c>
      <c r="E158" s="283"/>
      <c r="F158" s="792">
        <f t="shared" si="57"/>
        <v>0</v>
      </c>
      <c r="G158" s="793"/>
      <c r="H158" s="794">
        <f>K128</f>
        <v>0</v>
      </c>
      <c r="I158" s="283"/>
    </row>
    <row r="159" spans="2:9" ht="14.25" thickTop="1" thickBot="1" x14ac:dyDescent="0.25">
      <c r="B159" s="795"/>
      <c r="C159" s="796" t="s">
        <v>6</v>
      </c>
      <c r="D159" s="797">
        <f>SUM(D140:D156)</f>
        <v>20719.565992121574</v>
      </c>
      <c r="E159" s="798"/>
      <c r="F159" s="797">
        <f>SUM(F140:F156)</f>
        <v>20295.224125438697</v>
      </c>
      <c r="G159" s="799">
        <f>SUM(G140:G156)</f>
        <v>0.99999999999999989</v>
      </c>
      <c r="H159" s="797">
        <f>SUM(H140:H156)</f>
        <v>20295.224125438694</v>
      </c>
      <c r="I159" s="798"/>
    </row>
    <row r="160" spans="2:9" x14ac:dyDescent="0.2">
      <c r="C160" s="260" t="str">
        <f>'TRAD-Adults YEAR(1)'!B69</f>
        <v>Total 1ères lignes</v>
      </c>
      <c r="D160" s="800">
        <f>SUM(D140:D148)</f>
        <v>17787.861399951365</v>
      </c>
    </row>
    <row r="163" spans="1:32" x14ac:dyDescent="0.2">
      <c r="B163" s="290" t="str">
        <f>'TRAD-Adults YEAR(1)'!B17</f>
        <v>Commentaire</v>
      </c>
      <c r="C163" s="291"/>
      <c r="D163" s="291"/>
      <c r="E163" s="291"/>
      <c r="F163" s="291"/>
      <c r="G163" s="291"/>
      <c r="H163" s="291"/>
      <c r="I163" s="291"/>
      <c r="J163" s="291"/>
      <c r="K163" s="291"/>
      <c r="L163" s="291"/>
      <c r="M163" s="291"/>
      <c r="N163" s="497"/>
    </row>
    <row r="164" spans="1:32" x14ac:dyDescent="0.2">
      <c r="B164" s="801"/>
      <c r="C164" s="293" t="str">
        <f>'TRAD-Adults YEAR(1)'!B70</f>
        <v>Le nombre de patients en 3èmes lignes n'est volontairement pas pris en compte dans le total.</v>
      </c>
    </row>
    <row r="165" spans="1:32" x14ac:dyDescent="0.2">
      <c r="B165" s="293"/>
      <c r="C165" s="293" t="str">
        <f>'TRAD-Adults YEAR(1)'!B71</f>
        <v>Pour les années suivantes, nous avons pris en compte une défalcation proportionnelle à la répartition des initiations en premières lignes (données en rouge)</v>
      </c>
    </row>
    <row r="167" spans="1:32" ht="16.5" thickBot="1" x14ac:dyDescent="0.3">
      <c r="A167" s="802" t="str">
        <f>'TRAD-Adults YEAR (2)'!B15</f>
        <v>Quantification des besoins en ARV pour la prise en charge médicale pour la quatrième année selon la répartition envisagée</v>
      </c>
      <c r="B167" s="802"/>
      <c r="C167" s="802"/>
      <c r="D167" s="802"/>
      <c r="E167" s="802"/>
      <c r="F167" s="802"/>
      <c r="G167" s="802"/>
      <c r="H167" s="802"/>
      <c r="I167" s="802"/>
      <c r="J167" s="802"/>
      <c r="K167" s="802"/>
      <c r="L167" s="802"/>
    </row>
    <row r="169" spans="1:32" ht="15" x14ac:dyDescent="0.2">
      <c r="B169" s="2143" t="str">
        <f>'TRAD-Adults YEAR(1)'!B72</f>
        <v>Détails des calculs</v>
      </c>
      <c r="C169" s="2143"/>
      <c r="D169" s="2143"/>
      <c r="E169" s="2143"/>
      <c r="F169" s="2143"/>
      <c r="G169" s="1158"/>
      <c r="H169" s="1158"/>
      <c r="I169" s="1158"/>
      <c r="J169" s="1158"/>
      <c r="K169" s="1158"/>
      <c r="L169" s="2143"/>
      <c r="M169" s="2143"/>
      <c r="N169" s="1158"/>
    </row>
    <row r="172" spans="1:32" x14ac:dyDescent="0.2">
      <c r="C172" s="1162"/>
      <c r="D172" s="1163" t="s">
        <v>75</v>
      </c>
      <c r="E172" s="1163"/>
      <c r="F172" s="1163"/>
      <c r="G172" s="1164"/>
      <c r="H172" s="1164"/>
      <c r="I172" s="1164"/>
      <c r="J172" s="1164"/>
      <c r="K172" s="1164"/>
      <c r="L172" s="1163"/>
      <c r="M172" s="1163" t="s">
        <v>84</v>
      </c>
      <c r="N172" s="1163"/>
      <c r="O172" s="1163" t="s">
        <v>85</v>
      </c>
      <c r="P172" s="1163"/>
      <c r="Q172" s="1163"/>
      <c r="R172" s="1164"/>
      <c r="S172" s="1164"/>
      <c r="T172" s="1163"/>
      <c r="U172" s="1163" t="s">
        <v>87</v>
      </c>
      <c r="V172" s="1164"/>
      <c r="W172" s="1164"/>
      <c r="X172" s="1164"/>
      <c r="Y172" s="1164"/>
      <c r="Z172" s="1164"/>
      <c r="AA172" s="1163" t="s">
        <v>331</v>
      </c>
      <c r="AB172" s="1163" t="str">
        <f>'TRAD-Adults YEAR(1)'!B132</f>
        <v>NNRTI 3ème ligne</v>
      </c>
    </row>
    <row r="173" spans="1:32" ht="63.75" x14ac:dyDescent="0.2">
      <c r="C173" s="1165" t="str">
        <f>'TRAD-Adults YEAR(1)'!B73</f>
        <v>Composition</v>
      </c>
      <c r="D173" s="1166" t="s">
        <v>7</v>
      </c>
      <c r="E173" s="1166" t="s">
        <v>140</v>
      </c>
      <c r="F173" s="1166" t="s">
        <v>731</v>
      </c>
      <c r="G173" s="1166" t="s">
        <v>11</v>
      </c>
      <c r="H173" s="1166" t="s">
        <v>586</v>
      </c>
      <c r="I173" s="1166" t="s">
        <v>50</v>
      </c>
      <c r="J173" s="1166" t="s">
        <v>81</v>
      </c>
      <c r="K173" s="1166" t="s">
        <v>348</v>
      </c>
      <c r="L173" s="1166" t="s">
        <v>349</v>
      </c>
      <c r="M173" s="1166" t="s">
        <v>17</v>
      </c>
      <c r="N173" s="1166" t="s">
        <v>19</v>
      </c>
      <c r="O173" s="1166" t="s">
        <v>39</v>
      </c>
      <c r="P173" s="1166" t="s">
        <v>350</v>
      </c>
      <c r="Q173" s="1166" t="s">
        <v>25</v>
      </c>
      <c r="R173" s="1166" t="s">
        <v>28</v>
      </c>
      <c r="S173" s="1166" t="s">
        <v>28</v>
      </c>
      <c r="T173" s="1166" t="s">
        <v>22</v>
      </c>
      <c r="U173" s="1166" t="s">
        <v>33</v>
      </c>
      <c r="V173" s="1166" t="s">
        <v>69</v>
      </c>
      <c r="W173" s="1166" t="s">
        <v>335</v>
      </c>
      <c r="X173" s="1166" t="s">
        <v>68</v>
      </c>
      <c r="Y173" s="1166" t="s">
        <v>576</v>
      </c>
      <c r="Z173" s="1166" t="s">
        <v>343</v>
      </c>
      <c r="AA173" s="1166" t="s">
        <v>329</v>
      </c>
      <c r="AB173" s="1166" t="s">
        <v>330</v>
      </c>
      <c r="AC173" s="1167" t="str">
        <f>'TRAD-Adults YEAR(1)'!B133</f>
        <v>Patients sous traitement</v>
      </c>
      <c r="AD173" s="1167" t="str">
        <f>'TRAD-Adults YEAR(1)'!B134</f>
        <v>Patients initiés/swichés / mois</v>
      </c>
      <c r="AE173" s="1167" t="str">
        <f>'TRAD-Adults YEAR(1)'!B134</f>
        <v>Patients initiés/swichés / mois</v>
      </c>
      <c r="AF173" s="1167" t="str">
        <f>'TRAD-Adults YEAR(1)'!B135</f>
        <v>Défalcation (nb patients switchés/mois)</v>
      </c>
    </row>
    <row r="174" spans="1:32" ht="25.5" x14ac:dyDescent="0.2">
      <c r="C174" s="1165" t="str">
        <f>'TRAD-Adults YEAR(1)'!B74</f>
        <v>Nom du médicament</v>
      </c>
      <c r="D174" s="1166" t="s">
        <v>76</v>
      </c>
      <c r="E174" s="1166"/>
      <c r="F174" s="1166"/>
      <c r="G174" s="1166" t="s">
        <v>78</v>
      </c>
      <c r="H174" s="1166"/>
      <c r="I174" s="1166" t="s">
        <v>79</v>
      </c>
      <c r="J174" s="1166" t="s">
        <v>82</v>
      </c>
      <c r="K174" s="1166"/>
      <c r="L174" s="1166"/>
      <c r="M174" s="1166"/>
      <c r="N174" s="1166"/>
      <c r="O174" s="1166"/>
      <c r="P174" s="1166"/>
      <c r="Q174" s="1166"/>
      <c r="R174" s="1166"/>
      <c r="S174" s="1166"/>
      <c r="T174" s="1166"/>
      <c r="U174" s="1166"/>
      <c r="V174" s="1166"/>
      <c r="W174" s="1166"/>
      <c r="X174" s="1166"/>
      <c r="Y174" s="1166"/>
      <c r="Z174" s="1166"/>
      <c r="AA174" s="1166"/>
      <c r="AB174" s="1166"/>
      <c r="AC174" s="1168"/>
      <c r="AD174" s="1168"/>
      <c r="AE174" s="1168"/>
      <c r="AF174" s="1168"/>
    </row>
    <row r="175" spans="1:32" x14ac:dyDescent="0.2">
      <c r="C175" s="1165" t="str">
        <f>'TRAD-Adults YEAR(1)'!B75</f>
        <v>Forme galénique</v>
      </c>
      <c r="D175" s="1166" t="s">
        <v>521</v>
      </c>
      <c r="E175" s="1166" t="s">
        <v>521</v>
      </c>
      <c r="F175" s="1166" t="s">
        <v>521</v>
      </c>
      <c r="G175" s="1166" t="s">
        <v>521</v>
      </c>
      <c r="H175" s="1166" t="s">
        <v>521</v>
      </c>
      <c r="I175" s="1166" t="s">
        <v>521</v>
      </c>
      <c r="J175" s="1166" t="s">
        <v>521</v>
      </c>
      <c r="K175" s="1166" t="s">
        <v>521</v>
      </c>
      <c r="L175" s="1166" t="s">
        <v>521</v>
      </c>
      <c r="M175" s="1166" t="s">
        <v>521</v>
      </c>
      <c r="N175" s="1166" t="s">
        <v>521</v>
      </c>
      <c r="O175" s="1166" t="s">
        <v>521</v>
      </c>
      <c r="P175" s="1166" t="s">
        <v>521</v>
      </c>
      <c r="Q175" s="1166" t="s">
        <v>521</v>
      </c>
      <c r="R175" s="1166" t="s">
        <v>86</v>
      </c>
      <c r="S175" s="1166" t="s">
        <v>86</v>
      </c>
      <c r="T175" s="1166" t="s">
        <v>521</v>
      </c>
      <c r="U175" s="1166" t="s">
        <v>521</v>
      </c>
      <c r="V175" s="1166" t="s">
        <v>86</v>
      </c>
      <c r="W175" s="1166" t="s">
        <v>88</v>
      </c>
      <c r="X175" s="1166" t="s">
        <v>88</v>
      </c>
      <c r="Y175" s="1166" t="s">
        <v>599</v>
      </c>
      <c r="Z175" s="1166" t="s">
        <v>521</v>
      </c>
      <c r="AA175" s="1166" t="s">
        <v>521</v>
      </c>
      <c r="AB175" s="1166" t="s">
        <v>521</v>
      </c>
      <c r="AC175" s="1168"/>
      <c r="AD175" s="1168"/>
      <c r="AE175" s="1168"/>
      <c r="AF175" s="1168"/>
    </row>
    <row r="176" spans="1:32" x14ac:dyDescent="0.2">
      <c r="C176" s="1165" t="str">
        <f>'TRAD-Adults YEAR(1)'!B76</f>
        <v>Dosage</v>
      </c>
      <c r="D176" s="1173" t="s">
        <v>9</v>
      </c>
      <c r="E176" s="1173" t="s">
        <v>334</v>
      </c>
      <c r="F176" s="1173" t="s">
        <v>734</v>
      </c>
      <c r="G176" s="1173" t="s">
        <v>12</v>
      </c>
      <c r="H176" s="1173" t="s">
        <v>649</v>
      </c>
      <c r="I176" s="1173" t="s">
        <v>80</v>
      </c>
      <c r="J176" s="1173" t="s">
        <v>83</v>
      </c>
      <c r="K176" s="1173" t="s">
        <v>244</v>
      </c>
      <c r="L176" s="1173" t="s">
        <v>24</v>
      </c>
      <c r="M176" s="1173" t="s">
        <v>18</v>
      </c>
      <c r="N176" s="1173" t="s">
        <v>20</v>
      </c>
      <c r="O176" s="1173" t="s">
        <v>23</v>
      </c>
      <c r="P176" s="1173" t="s">
        <v>16</v>
      </c>
      <c r="Q176" s="1173" t="s">
        <v>23</v>
      </c>
      <c r="R176" s="1173" t="s">
        <v>29</v>
      </c>
      <c r="S176" s="1173" t="s">
        <v>32</v>
      </c>
      <c r="T176" s="1173" t="s">
        <v>23</v>
      </c>
      <c r="U176" s="1173" t="s">
        <v>34</v>
      </c>
      <c r="V176" s="1173" t="s">
        <v>32</v>
      </c>
      <c r="W176" s="1173" t="s">
        <v>89</v>
      </c>
      <c r="X176" s="1173" t="s">
        <v>20</v>
      </c>
      <c r="Y176" s="1173" t="s">
        <v>577</v>
      </c>
      <c r="Z176" s="1173" t="s">
        <v>18</v>
      </c>
      <c r="AA176" s="1173" t="s">
        <v>32</v>
      </c>
      <c r="AB176" s="1173" t="s">
        <v>89</v>
      </c>
      <c r="AC176" s="1169"/>
      <c r="AD176" s="1169"/>
      <c r="AE176" s="1169"/>
      <c r="AF176" s="1169"/>
    </row>
    <row r="177" spans="2:32" ht="31.5" customHeight="1" x14ac:dyDescent="0.2">
      <c r="C177" s="1165" t="str">
        <f>'TRAD-Adults YEAR(1)'!B77</f>
        <v>Nb cdt/mois/patient</v>
      </c>
      <c r="D177" s="1182">
        <f>'Data &amp; hypothesis Adults'!$K$228</f>
        <v>1</v>
      </c>
      <c r="E177" s="1182">
        <f>'Data &amp; hypothesis Adults'!$K$229</f>
        <v>1</v>
      </c>
      <c r="F177" s="1182">
        <f>'Data &amp; hypothesis Adults'!$K$230</f>
        <v>1</v>
      </c>
      <c r="G177" s="1182">
        <f>'Data &amp; hypothesis Adults'!$K$231</f>
        <v>1</v>
      </c>
      <c r="H177" s="1182">
        <f>'Data &amp; hypothesis Adults'!$K$232</f>
        <v>1</v>
      </c>
      <c r="I177" s="1182">
        <f>'Data &amp; hypothesis Adults'!$K$233</f>
        <v>1</v>
      </c>
      <c r="J177" s="1182">
        <f>'Data &amp; hypothesis Adults'!$K$234</f>
        <v>1</v>
      </c>
      <c r="K177" s="1182">
        <f>'Data &amp; hypothesis Adults'!$K$235</f>
        <v>1</v>
      </c>
      <c r="L177" s="1182">
        <f>'Data &amp; hypothesis Adults'!$K$236</f>
        <v>1</v>
      </c>
      <c r="M177" s="1182">
        <f>'Data &amp; hypothesis Adults'!$K$237</f>
        <v>1</v>
      </c>
      <c r="N177" s="1182">
        <f>'Data &amp; hypothesis Adults'!$K$238</f>
        <v>1</v>
      </c>
      <c r="O177" s="1182">
        <f>'Data &amp; hypothesis Adults'!$K$239</f>
        <v>1</v>
      </c>
      <c r="P177" s="1182">
        <f>'Data &amp; hypothesis Adults'!$K$240</f>
        <v>1</v>
      </c>
      <c r="Q177" s="1182">
        <f>'Data &amp; hypothesis Adults'!$K$241</f>
        <v>1</v>
      </c>
      <c r="R177" s="1182">
        <f>'Data &amp; hypothesis Adults'!$K$242</f>
        <v>1</v>
      </c>
      <c r="S177" s="1182">
        <f>'Data &amp; hypothesis Adults'!$K$243</f>
        <v>1</v>
      </c>
      <c r="T177" s="1182">
        <f>'Data &amp; hypothesis Adults'!$K$244</f>
        <v>1</v>
      </c>
      <c r="U177" s="1182">
        <f>'Data &amp; hypothesis Adults'!$K$245</f>
        <v>1</v>
      </c>
      <c r="V177" s="1182">
        <f>'Data &amp; hypothesis Adults'!$K$246</f>
        <v>0.66666666666666663</v>
      </c>
      <c r="W177" s="1182">
        <f>'Data &amp; hypothesis Adults'!$K$247</f>
        <v>0.7142857142857143</v>
      </c>
      <c r="X177" s="1182">
        <f>'Data &amp; hypothesis Adults'!$K$248</f>
        <v>1</v>
      </c>
      <c r="Y177" s="1182">
        <f>'Data &amp; hypothesis Adults'!$K$249</f>
        <v>1</v>
      </c>
      <c r="Z177" s="1182">
        <f>'Data &amp; hypothesis Adults'!$K$250</f>
        <v>1</v>
      </c>
      <c r="AA177" s="1182">
        <f>'Data &amp; hypothesis Adults'!$K$251</f>
        <v>1</v>
      </c>
      <c r="AB177" s="1182">
        <f>'Data &amp; hypothesis Adults'!$K$252</f>
        <v>1</v>
      </c>
      <c r="AC177" s="1169"/>
      <c r="AD177" s="1169"/>
      <c r="AE177" s="1169"/>
      <c r="AF177" s="1169"/>
    </row>
    <row r="178" spans="2:32" ht="28.5" customHeight="1" x14ac:dyDescent="0.2">
      <c r="C178" s="1165" t="str">
        <f>'TRAD-Adults YEAR(1)'!B78</f>
        <v>Répartitions spécifiques (DDI, 3ème ligne)</v>
      </c>
      <c r="D178" s="1183"/>
      <c r="E178" s="1183"/>
      <c r="F178" s="1183"/>
      <c r="G178" s="1183"/>
      <c r="H178" s="1183"/>
      <c r="I178" s="1183"/>
      <c r="J178" s="1183"/>
      <c r="K178" s="1183"/>
      <c r="L178" s="1183"/>
      <c r="M178" s="1183"/>
      <c r="N178" s="1183"/>
      <c r="O178" s="1183"/>
      <c r="P178" s="1183"/>
      <c r="Q178" s="1183"/>
      <c r="R178" s="1184">
        <f>'Data &amp; hypothesis Adults'!D168</f>
        <v>0</v>
      </c>
      <c r="S178" s="1184">
        <f>'Data &amp; hypothesis Adults'!D169</f>
        <v>1</v>
      </c>
      <c r="T178" s="1183"/>
      <c r="U178" s="1183"/>
      <c r="V178" s="1185"/>
      <c r="W178" s="1185"/>
      <c r="X178" s="1185"/>
      <c r="Y178" s="1185"/>
      <c r="Z178" s="1185"/>
      <c r="AA178" s="1185"/>
      <c r="AB178" s="1185"/>
      <c r="AC178" s="1169"/>
      <c r="AD178" s="1169"/>
      <c r="AE178" s="1169"/>
      <c r="AF178" s="1169"/>
    </row>
    <row r="179" spans="2:32" ht="27" customHeight="1" x14ac:dyDescent="0.2">
      <c r="C179" s="1165" t="str">
        <f>'TRAD-Adults YEAR(1)'!B79</f>
        <v>Répartitions spécifiques 3ème ligne</v>
      </c>
      <c r="D179" s="1183"/>
      <c r="E179" s="1183"/>
      <c r="F179" s="1183"/>
      <c r="G179" s="1183"/>
      <c r="H179" s="1183"/>
      <c r="I179" s="1183"/>
      <c r="J179" s="1183"/>
      <c r="K179" s="1183"/>
      <c r="L179" s="1183">
        <f>'Data &amp; hypothesis Adults'!D147</f>
        <v>0</v>
      </c>
      <c r="M179" s="1183"/>
      <c r="N179" s="1183"/>
      <c r="O179" s="1183"/>
      <c r="P179" s="1183">
        <f>'Data &amp; hypothesis Adults'!D146</f>
        <v>0</v>
      </c>
      <c r="Q179" s="1183">
        <f>'Data &amp; hypothesis Adults'!D144</f>
        <v>0</v>
      </c>
      <c r="R179" s="1184">
        <f>'Data &amp; hypothesis Adults'!D145</f>
        <v>0</v>
      </c>
      <c r="S179" s="1184">
        <f>'Data &amp; hypothesis Adults'!D145</f>
        <v>0</v>
      </c>
      <c r="T179" s="1183"/>
      <c r="U179" s="1183"/>
      <c r="V179" s="1183">
        <f>'Data &amp; hypothesis Adults'!D148</f>
        <v>0</v>
      </c>
      <c r="W179" s="1183">
        <f>V179+X179+Z179</f>
        <v>0</v>
      </c>
      <c r="X179" s="1183">
        <f>'Data &amp; hypothesis Adults'!D149</f>
        <v>0</v>
      </c>
      <c r="Y179" s="1183">
        <f>'Data &amp; hypothesis Adults'!D150</f>
        <v>0</v>
      </c>
      <c r="Z179" s="1183">
        <f>'Data &amp; hypothesis Adults'!D151</f>
        <v>0</v>
      </c>
      <c r="AA179" s="1183">
        <f>'Data &amp; hypothesis Adults'!D152</f>
        <v>0</v>
      </c>
      <c r="AB179" s="1183">
        <f>'Data &amp; hypothesis Adults'!D153</f>
        <v>0</v>
      </c>
      <c r="AC179" s="1169"/>
      <c r="AD179" s="1169"/>
      <c r="AE179" s="1169"/>
      <c r="AF179" s="1169"/>
    </row>
    <row r="180" spans="2:32" ht="20.25" customHeight="1" x14ac:dyDescent="0.2">
      <c r="B180" s="1172"/>
      <c r="C180" s="1171" t="str">
        <f>'TRAD-Adults YEAR(1)'!B7</f>
        <v>Schémas</v>
      </c>
      <c r="D180" s="1172"/>
      <c r="E180" s="1172"/>
      <c r="F180" s="1172"/>
      <c r="G180" s="1172"/>
      <c r="H180" s="1172"/>
      <c r="I180" s="1172"/>
      <c r="J180" s="1172"/>
      <c r="K180" s="1172"/>
      <c r="L180" s="1172"/>
      <c r="M180" s="1172"/>
      <c r="N180" s="1172"/>
      <c r="O180" s="1172"/>
      <c r="P180" s="1172"/>
      <c r="Q180" s="1172"/>
      <c r="R180" s="1179"/>
      <c r="S180" s="1179"/>
      <c r="T180" s="1172"/>
      <c r="U180" s="1172"/>
      <c r="V180" s="1172"/>
      <c r="W180" s="1172"/>
      <c r="X180" s="1172"/>
      <c r="Y180" s="1172"/>
      <c r="Z180" s="1172"/>
      <c r="AA180" s="1172"/>
      <c r="AB180" s="1172"/>
      <c r="AC180" s="1172"/>
      <c r="AD180" s="1172"/>
      <c r="AE180" s="1172"/>
      <c r="AF180" s="1172"/>
    </row>
    <row r="181" spans="2:32" ht="15" x14ac:dyDescent="0.25">
      <c r="B181" s="1174" t="str">
        <f>'TRAD-Adults YEAR(1)'!B10</f>
        <v>1ères lignes</v>
      </c>
      <c r="C181" s="1166" t="str">
        <f>C10</f>
        <v>AZT+3TC+NVP</v>
      </c>
      <c r="D181" s="1175" t="str">
        <f>'Data &amp; hypothesis Adults'!E200</f>
        <v>X</v>
      </c>
      <c r="E181" s="1175">
        <f>'Data &amp; hypothesis Adults'!F200</f>
        <v>0</v>
      </c>
      <c r="F181" s="1175">
        <f>'Data &amp; hypothesis Adults'!G200</f>
        <v>0</v>
      </c>
      <c r="G181" s="1175">
        <f>'Data &amp; hypothesis Adults'!H200</f>
        <v>0</v>
      </c>
      <c r="H181" s="1175">
        <f>'Data &amp; hypothesis Adults'!I200</f>
        <v>0</v>
      </c>
      <c r="I181" s="1175">
        <f>'Data &amp; hypothesis Adults'!J200</f>
        <v>0</v>
      </c>
      <c r="J181" s="1175">
        <f>'Data &amp; hypothesis Adults'!K200</f>
        <v>0</v>
      </c>
      <c r="K181" s="1175">
        <f>'Data &amp; hypothesis Adults'!L200</f>
        <v>0</v>
      </c>
      <c r="L181" s="1175">
        <f>'Data &amp; hypothesis Adults'!M200</f>
        <v>0</v>
      </c>
      <c r="M181" s="1175">
        <f>'Data &amp; hypothesis Adults'!N200</f>
        <v>0</v>
      </c>
      <c r="N181" s="1175">
        <f>'Data &amp; hypothesis Adults'!O200</f>
        <v>0</v>
      </c>
      <c r="O181" s="1175">
        <f>'Data &amp; hypothesis Adults'!P200</f>
        <v>0</v>
      </c>
      <c r="P181" s="1175">
        <f>'Data &amp; hypothesis Adults'!Q200</f>
        <v>0</v>
      </c>
      <c r="Q181" s="1175">
        <f>'Data &amp; hypothesis Adults'!R200</f>
        <v>0</v>
      </c>
      <c r="R181" s="1175">
        <f>'Data &amp; hypothesis Adults'!S200</f>
        <v>0</v>
      </c>
      <c r="S181" s="1175">
        <f>'Data &amp; hypothesis Adults'!T200</f>
        <v>0</v>
      </c>
      <c r="T181" s="1175">
        <f>'Data &amp; hypothesis Adults'!U200</f>
        <v>0</v>
      </c>
      <c r="U181" s="1175">
        <f>'Data &amp; hypothesis Adults'!V200</f>
        <v>0</v>
      </c>
      <c r="V181" s="1175">
        <f>'Data &amp; hypothesis Adults'!W200</f>
        <v>0</v>
      </c>
      <c r="W181" s="1175">
        <f>'Data &amp; hypothesis Adults'!X200</f>
        <v>0</v>
      </c>
      <c r="X181" s="1175">
        <f>'Data &amp; hypothesis Adults'!Y200</f>
        <v>0</v>
      </c>
      <c r="Y181" s="1175">
        <f>'Data &amp; hypothesis Adults'!Z200</f>
        <v>0</v>
      </c>
      <c r="Z181" s="1175">
        <f>'Data &amp; hypothesis Adults'!AA200</f>
        <v>0</v>
      </c>
      <c r="AA181" s="1175">
        <f>'Data &amp; hypothesis Adults'!AB200</f>
        <v>0</v>
      </c>
      <c r="AB181" s="1175">
        <f>'Data &amp; hypothesis Adults'!AC200</f>
        <v>0</v>
      </c>
      <c r="AC181" s="1177">
        <f t="shared" ref="AC181:AC194" si="58">D10</f>
        <v>10056.609643394911</v>
      </c>
      <c r="AD181" s="1172">
        <f>E39</f>
        <v>0</v>
      </c>
      <c r="AE181" s="1192"/>
      <c r="AF181" s="1199" t="e">
        <f>-F110/$D$6</f>
        <v>#DIV/0!</v>
      </c>
    </row>
    <row r="182" spans="2:32" ht="15" x14ac:dyDescent="0.25">
      <c r="B182" s="1174"/>
      <c r="C182" s="1166" t="str">
        <f t="shared" ref="C182:C197" si="59">C11</f>
        <v>AZT+3TC+EFV</v>
      </c>
      <c r="D182" s="1175">
        <f>'Data &amp; hypothesis Adults'!E201</f>
        <v>0</v>
      </c>
      <c r="E182" s="1175">
        <f>'Data &amp; hypothesis Adults'!F201</f>
        <v>0</v>
      </c>
      <c r="F182" s="1175">
        <f>'Data &amp; hypothesis Adults'!G201</f>
        <v>0</v>
      </c>
      <c r="G182" s="1175" t="str">
        <f>'Data &amp; hypothesis Adults'!H201</f>
        <v>X</v>
      </c>
      <c r="H182" s="1175">
        <f>'Data &amp; hypothesis Adults'!I201</f>
        <v>0</v>
      </c>
      <c r="I182" s="1175">
        <f>'Data &amp; hypothesis Adults'!J201</f>
        <v>0</v>
      </c>
      <c r="J182" s="1175">
        <f>'Data &amp; hypothesis Adults'!K201</f>
        <v>0</v>
      </c>
      <c r="K182" s="1175">
        <f>'Data &amp; hypothesis Adults'!L201</f>
        <v>0</v>
      </c>
      <c r="L182" s="1175">
        <f>'Data &amp; hypothesis Adults'!M201</f>
        <v>0</v>
      </c>
      <c r="M182" s="1175" t="str">
        <f>'Data &amp; hypothesis Adults'!N201</f>
        <v>X</v>
      </c>
      <c r="N182" s="1175">
        <f>'Data &amp; hypothesis Adults'!O201</f>
        <v>0</v>
      </c>
      <c r="O182" s="1175">
        <f>'Data &amp; hypothesis Adults'!P201</f>
        <v>0</v>
      </c>
      <c r="P182" s="1175">
        <f>'Data &amp; hypothesis Adults'!Q201</f>
        <v>0</v>
      </c>
      <c r="Q182" s="1175">
        <f>'Data &amp; hypothesis Adults'!R201</f>
        <v>0</v>
      </c>
      <c r="R182" s="1175">
        <f>'Data &amp; hypothesis Adults'!S201</f>
        <v>0</v>
      </c>
      <c r="S182" s="1175">
        <f>'Data &amp; hypothesis Adults'!T201</f>
        <v>0</v>
      </c>
      <c r="T182" s="1175">
        <f>'Data &amp; hypothesis Adults'!U201</f>
        <v>0</v>
      </c>
      <c r="U182" s="1175">
        <f>'Data &amp; hypothesis Adults'!V201</f>
        <v>0</v>
      </c>
      <c r="V182" s="1175">
        <f>'Data &amp; hypothesis Adults'!W201</f>
        <v>0</v>
      </c>
      <c r="W182" s="1175">
        <f>'Data &amp; hypothesis Adults'!X201</f>
        <v>0</v>
      </c>
      <c r="X182" s="1175">
        <f>'Data &amp; hypothesis Adults'!Y201</f>
        <v>0</v>
      </c>
      <c r="Y182" s="1175">
        <f>'Data &amp; hypothesis Adults'!Z201</f>
        <v>0</v>
      </c>
      <c r="Z182" s="1175">
        <f>'Data &amp; hypothesis Adults'!AA201</f>
        <v>0</v>
      </c>
      <c r="AA182" s="1175">
        <f>'Data &amp; hypothesis Adults'!AB201</f>
        <v>0</v>
      </c>
      <c r="AB182" s="1175">
        <f>'Data &amp; hypothesis Adults'!AC201</f>
        <v>0</v>
      </c>
      <c r="AC182" s="1172">
        <f t="shared" si="58"/>
        <v>1298.8099429852928</v>
      </c>
      <c r="AD182" s="1172">
        <f>E40</f>
        <v>0</v>
      </c>
      <c r="AE182" s="1192"/>
      <c r="AF182" s="1199" t="e">
        <f>-F111/$D$6</f>
        <v>#DIV/0!</v>
      </c>
    </row>
    <row r="183" spans="2:32" ht="15" x14ac:dyDescent="0.25">
      <c r="B183" s="1174"/>
      <c r="C183" s="1166" t="str">
        <f t="shared" si="59"/>
        <v>AZT+3TC+ABC</v>
      </c>
      <c r="D183" s="1175">
        <f>'Data &amp; hypothesis Adults'!E202</f>
        <v>0</v>
      </c>
      <c r="E183" s="1175" t="str">
        <f>'Data &amp; hypothesis Adults'!F202</f>
        <v>X</v>
      </c>
      <c r="F183" s="1175">
        <f>'Data &amp; hypothesis Adults'!G202</f>
        <v>0</v>
      </c>
      <c r="G183" s="1175">
        <f>'Data &amp; hypothesis Adults'!H202</f>
        <v>0</v>
      </c>
      <c r="H183" s="1175">
        <f>'Data &amp; hypothesis Adults'!I202</f>
        <v>0</v>
      </c>
      <c r="I183" s="1175">
        <f>'Data &amp; hypothesis Adults'!J202</f>
        <v>0</v>
      </c>
      <c r="J183" s="1175">
        <f>'Data &amp; hypothesis Adults'!K202</f>
        <v>0</v>
      </c>
      <c r="K183" s="1175">
        <f>'Data &amp; hypothesis Adults'!L202</f>
        <v>0</v>
      </c>
      <c r="L183" s="1175">
        <f>'Data &amp; hypothesis Adults'!M202</f>
        <v>0</v>
      </c>
      <c r="M183" s="1175">
        <f>'Data &amp; hypothesis Adults'!N202</f>
        <v>0</v>
      </c>
      <c r="N183" s="1175">
        <f>'Data &amp; hypothesis Adults'!O202</f>
        <v>0</v>
      </c>
      <c r="O183" s="1175">
        <f>'Data &amp; hypothesis Adults'!P202</f>
        <v>0</v>
      </c>
      <c r="P183" s="1175">
        <f>'Data &amp; hypothesis Adults'!Q202</f>
        <v>0</v>
      </c>
      <c r="Q183" s="1175">
        <f>'Data &amp; hypothesis Adults'!R202</f>
        <v>0</v>
      </c>
      <c r="R183" s="1175">
        <f>'Data &amp; hypothesis Adults'!S202</f>
        <v>0</v>
      </c>
      <c r="S183" s="1175">
        <f>'Data &amp; hypothesis Adults'!T202</f>
        <v>0</v>
      </c>
      <c r="T183" s="1175">
        <f>'Data &amp; hypothesis Adults'!U202</f>
        <v>0</v>
      </c>
      <c r="U183" s="1175">
        <f>'Data &amp; hypothesis Adults'!V202</f>
        <v>0</v>
      </c>
      <c r="V183" s="1175">
        <f>'Data &amp; hypothesis Adults'!W202</f>
        <v>0</v>
      </c>
      <c r="W183" s="1175">
        <f>'Data &amp; hypothesis Adults'!X202</f>
        <v>0</v>
      </c>
      <c r="X183" s="1175">
        <f>'Data &amp; hypothesis Adults'!Y202</f>
        <v>0</v>
      </c>
      <c r="Y183" s="1175">
        <f>'Data &amp; hypothesis Adults'!Z202</f>
        <v>0</v>
      </c>
      <c r="Z183" s="1175">
        <f>'Data &amp; hypothesis Adults'!AA202</f>
        <v>0</v>
      </c>
      <c r="AA183" s="1175">
        <f>'Data &amp; hypothesis Adults'!AB202</f>
        <v>0</v>
      </c>
      <c r="AB183" s="1175">
        <f>'Data &amp; hypothesis Adults'!AC202</f>
        <v>0</v>
      </c>
      <c r="AC183" s="1172">
        <f t="shared" si="58"/>
        <v>73.281458742847647</v>
      </c>
      <c r="AD183" s="1172">
        <f>E41</f>
        <v>0</v>
      </c>
      <c r="AE183" s="1192"/>
      <c r="AF183" s="1199" t="e">
        <f>-F112/$D$6</f>
        <v>#DIV/0!</v>
      </c>
    </row>
    <row r="184" spans="2:32" ht="15" x14ac:dyDescent="0.25">
      <c r="B184" s="1174"/>
      <c r="C184" s="1166" t="str">
        <f t="shared" si="59"/>
        <v>AZT+3TC+LPV/r</v>
      </c>
      <c r="D184" s="1175">
        <f>'Data &amp; hypothesis Adults'!E203</f>
        <v>0</v>
      </c>
      <c r="E184" s="1175">
        <f>'Data &amp; hypothesis Adults'!F203</f>
        <v>0</v>
      </c>
      <c r="F184" s="1175">
        <f>'Data &amp; hypothesis Adults'!G203</f>
        <v>0</v>
      </c>
      <c r="G184" s="1175" t="str">
        <f>'Data &amp; hypothesis Adults'!H203</f>
        <v>X</v>
      </c>
      <c r="H184" s="1175">
        <f>'Data &amp; hypothesis Adults'!I203</f>
        <v>0</v>
      </c>
      <c r="I184" s="1175">
        <f>'Data &amp; hypothesis Adults'!J203</f>
        <v>0</v>
      </c>
      <c r="J184" s="1175">
        <f>'Data &amp; hypothesis Adults'!K203</f>
        <v>0</v>
      </c>
      <c r="K184" s="1175">
        <f>'Data &amp; hypothesis Adults'!L203</f>
        <v>0</v>
      </c>
      <c r="L184" s="1175">
        <f>'Data &amp; hypothesis Adults'!M203</f>
        <v>0</v>
      </c>
      <c r="M184" s="1175">
        <f>'Data &amp; hypothesis Adults'!N203</f>
        <v>0</v>
      </c>
      <c r="N184" s="1175">
        <f>'Data &amp; hypothesis Adults'!O203</f>
        <v>0</v>
      </c>
      <c r="O184" s="1175">
        <f>'Data &amp; hypothesis Adults'!P203</f>
        <v>0</v>
      </c>
      <c r="P184" s="1175">
        <f>'Data &amp; hypothesis Adults'!Q203</f>
        <v>0</v>
      </c>
      <c r="Q184" s="1175">
        <f>'Data &amp; hypothesis Adults'!R203</f>
        <v>0</v>
      </c>
      <c r="R184" s="1175">
        <f>'Data &amp; hypothesis Adults'!S203</f>
        <v>0</v>
      </c>
      <c r="S184" s="1175">
        <f>'Data &amp; hypothesis Adults'!T203</f>
        <v>0</v>
      </c>
      <c r="T184" s="1175">
        <f>'Data &amp; hypothesis Adults'!U203</f>
        <v>0</v>
      </c>
      <c r="U184" s="1175" t="str">
        <f>'Data &amp; hypothesis Adults'!V203</f>
        <v>X</v>
      </c>
      <c r="V184" s="1175">
        <f>'Data &amp; hypothesis Adults'!W203</f>
        <v>0</v>
      </c>
      <c r="W184" s="1175">
        <f>'Data &amp; hypothesis Adults'!X203</f>
        <v>0</v>
      </c>
      <c r="X184" s="1175">
        <f>'Data &amp; hypothesis Adults'!Y203</f>
        <v>0</v>
      </c>
      <c r="Y184" s="1175">
        <f>'Data &amp; hypothesis Adults'!Z203</f>
        <v>0</v>
      </c>
      <c r="Z184" s="1175">
        <f>'Data &amp; hypothesis Adults'!AA203</f>
        <v>0</v>
      </c>
      <c r="AA184" s="1175">
        <f>'Data &amp; hypothesis Adults'!AB203</f>
        <v>0</v>
      </c>
      <c r="AB184" s="1175">
        <f>'Data &amp; hypothesis Adults'!AC203</f>
        <v>0</v>
      </c>
      <c r="AC184" s="1172">
        <f t="shared" si="58"/>
        <v>643.29336166524001</v>
      </c>
      <c r="AD184" s="1172">
        <f>E42</f>
        <v>0</v>
      </c>
      <c r="AE184" s="1192"/>
      <c r="AF184" s="1199" t="e">
        <f>-F113/$D$6</f>
        <v>#DIV/0!</v>
      </c>
    </row>
    <row r="185" spans="2:32" ht="15" x14ac:dyDescent="0.25">
      <c r="B185" s="1174"/>
      <c r="C185" s="1166" t="str">
        <f t="shared" si="59"/>
        <v>ABC+3TC+EFV</v>
      </c>
      <c r="D185" s="1175">
        <f>'Data &amp; hypothesis Adults'!E204</f>
        <v>0</v>
      </c>
      <c r="E185" s="1175">
        <f>'Data &amp; hypothesis Adults'!F204</f>
        <v>0</v>
      </c>
      <c r="F185" s="1175">
        <f>'Data &amp; hypothesis Adults'!G204</f>
        <v>0</v>
      </c>
      <c r="G185" s="1175">
        <f>'Data &amp; hypothesis Adults'!H204</f>
        <v>0</v>
      </c>
      <c r="H185" s="1175" t="str">
        <f>'Data &amp; hypothesis Adults'!I204</f>
        <v>X</v>
      </c>
      <c r="I185" s="1175">
        <f>'Data &amp; hypothesis Adults'!J204</f>
        <v>0</v>
      </c>
      <c r="J185" s="1175">
        <f>'Data &amp; hypothesis Adults'!K204</f>
        <v>0</v>
      </c>
      <c r="K185" s="1175">
        <f>'Data &amp; hypothesis Adults'!L204</f>
        <v>0</v>
      </c>
      <c r="L185" s="1175">
        <f>'Data &amp; hypothesis Adults'!M204</f>
        <v>0</v>
      </c>
      <c r="M185" s="1175" t="str">
        <f>'Data &amp; hypothesis Adults'!N204</f>
        <v>X</v>
      </c>
      <c r="N185" s="1175">
        <f>'Data &amp; hypothesis Adults'!O204</f>
        <v>0</v>
      </c>
      <c r="O185" s="1175">
        <f>'Data &amp; hypothesis Adults'!P204</f>
        <v>0</v>
      </c>
      <c r="P185" s="1175">
        <f>'Data &amp; hypothesis Adults'!Q204</f>
        <v>0</v>
      </c>
      <c r="Q185" s="1175">
        <f>'Data &amp; hypothesis Adults'!R204</f>
        <v>0</v>
      </c>
      <c r="R185" s="1175">
        <f>'Data &amp; hypothesis Adults'!S204</f>
        <v>0</v>
      </c>
      <c r="S185" s="1175">
        <f>'Data &amp; hypothesis Adults'!T204</f>
        <v>0</v>
      </c>
      <c r="T185" s="1175">
        <f>'Data &amp; hypothesis Adults'!U204</f>
        <v>0</v>
      </c>
      <c r="U185" s="1175">
        <f>'Data &amp; hypothesis Adults'!V204</f>
        <v>0</v>
      </c>
      <c r="V185" s="1175">
        <f>'Data &amp; hypothesis Adults'!W204</f>
        <v>0</v>
      </c>
      <c r="W185" s="1175">
        <f>'Data &amp; hypothesis Adults'!X204</f>
        <v>0</v>
      </c>
      <c r="X185" s="1175">
        <f>'Data &amp; hypothesis Adults'!Y204</f>
        <v>0</v>
      </c>
      <c r="Y185" s="1175">
        <f>'Data &amp; hypothesis Adults'!Z204</f>
        <v>0</v>
      </c>
      <c r="Z185" s="1175">
        <f>'Data &amp; hypothesis Adults'!AA204</f>
        <v>0</v>
      </c>
      <c r="AA185" s="1175">
        <f>'Data &amp; hypothesis Adults'!AB204</f>
        <v>0</v>
      </c>
      <c r="AB185" s="1175">
        <f>'Data &amp; hypothesis Adults'!AC204</f>
        <v>0</v>
      </c>
      <c r="AC185" s="1172">
        <f t="shared" si="58"/>
        <v>40.715135923028029</v>
      </c>
      <c r="AD185" s="1172">
        <f>E43</f>
        <v>0</v>
      </c>
      <c r="AE185" s="1192"/>
      <c r="AF185" s="1199" t="e">
        <f>-F114/$D$6</f>
        <v>#DIV/0!</v>
      </c>
    </row>
    <row r="186" spans="2:32" ht="15" x14ac:dyDescent="0.25">
      <c r="B186" s="1174"/>
      <c r="C186" s="1166" t="str">
        <f t="shared" si="59"/>
        <v>TDF+FTC/3TC+EFV</v>
      </c>
      <c r="D186" s="1175">
        <f>'Data &amp; hypothesis Adults'!E205</f>
        <v>0</v>
      </c>
      <c r="E186" s="1175">
        <f>'Data &amp; hypothesis Adults'!F205</f>
        <v>0</v>
      </c>
      <c r="F186" s="1175">
        <f>'Data &amp; hypothesis Adults'!G205</f>
        <v>0</v>
      </c>
      <c r="G186" s="1175">
        <f>'Data &amp; hypothesis Adults'!H205</f>
        <v>0</v>
      </c>
      <c r="H186" s="1175">
        <f>'Data &amp; hypothesis Adults'!I205</f>
        <v>0</v>
      </c>
      <c r="I186" s="1175">
        <f>'Data &amp; hypothesis Adults'!J205</f>
        <v>0</v>
      </c>
      <c r="J186" s="1175">
        <f>'Data &amp; hypothesis Adults'!K205</f>
        <v>0</v>
      </c>
      <c r="K186" s="1175" t="str">
        <f>'Data &amp; hypothesis Adults'!L205</f>
        <v>X</v>
      </c>
      <c r="L186" s="1175">
        <f>'Data &amp; hypothesis Adults'!M205</f>
        <v>0</v>
      </c>
      <c r="M186" s="1175">
        <f>'Data &amp; hypothesis Adults'!N205</f>
        <v>0</v>
      </c>
      <c r="N186" s="1175">
        <f>'Data &amp; hypothesis Adults'!O205</f>
        <v>0</v>
      </c>
      <c r="O186" s="1175">
        <f>'Data &amp; hypothesis Adults'!P205</f>
        <v>0</v>
      </c>
      <c r="P186" s="1175">
        <f>'Data &amp; hypothesis Adults'!Q205</f>
        <v>0</v>
      </c>
      <c r="Q186" s="1175">
        <f>'Data &amp; hypothesis Adults'!R205</f>
        <v>0</v>
      </c>
      <c r="R186" s="1175">
        <f>'Data &amp; hypothesis Adults'!S205</f>
        <v>0</v>
      </c>
      <c r="S186" s="1175">
        <f>'Data &amp; hypothesis Adults'!T205</f>
        <v>0</v>
      </c>
      <c r="T186" s="1175">
        <f>'Data &amp; hypothesis Adults'!U205</f>
        <v>0</v>
      </c>
      <c r="U186" s="1175">
        <f>'Data &amp; hypothesis Adults'!V205</f>
        <v>0</v>
      </c>
      <c r="V186" s="1175">
        <f>'Data &amp; hypothesis Adults'!W205</f>
        <v>0</v>
      </c>
      <c r="W186" s="1175">
        <f>'Data &amp; hypothesis Adults'!X205</f>
        <v>0</v>
      </c>
      <c r="X186" s="1175">
        <f>'Data &amp; hypothesis Adults'!Y205</f>
        <v>0</v>
      </c>
      <c r="Y186" s="1175">
        <f>'Data &amp; hypothesis Adults'!Z205</f>
        <v>0</v>
      </c>
      <c r="Z186" s="1175">
        <f>'Data &amp; hypothesis Adults'!AA205</f>
        <v>0</v>
      </c>
      <c r="AA186" s="1175">
        <f>'Data &amp; hypothesis Adults'!AB205</f>
        <v>0</v>
      </c>
      <c r="AB186" s="1175">
        <f>'Data &amp; hypothesis Adults'!AC205</f>
        <v>0</v>
      </c>
      <c r="AC186" s="1172">
        <f t="shared" si="58"/>
        <v>5601.870398497198</v>
      </c>
      <c r="AD186" s="1172">
        <f t="shared" ref="AD186:AD187" si="60">E44</f>
        <v>0</v>
      </c>
      <c r="AE186" s="1192"/>
      <c r="AF186" s="1199" t="e">
        <f t="shared" ref="AF186:AF190" si="61">-F115/$D$6</f>
        <v>#DIV/0!</v>
      </c>
    </row>
    <row r="187" spans="2:32" ht="15" x14ac:dyDescent="0.25">
      <c r="B187" s="1174"/>
      <c r="C187" s="1166" t="str">
        <f t="shared" si="59"/>
        <v>TDF+FTC/3TC+LPV/r</v>
      </c>
      <c r="D187" s="1175">
        <f>'Data &amp; hypothesis Adults'!E206</f>
        <v>0</v>
      </c>
      <c r="E187" s="1175">
        <f>'Data &amp; hypothesis Adults'!F206</f>
        <v>0</v>
      </c>
      <c r="F187" s="1175">
        <f>'Data &amp; hypothesis Adults'!G206</f>
        <v>0</v>
      </c>
      <c r="G187" s="1175">
        <f>'Data &amp; hypothesis Adults'!H206</f>
        <v>0</v>
      </c>
      <c r="H187" s="1175">
        <f>'Data &amp; hypothesis Adults'!I206</f>
        <v>0</v>
      </c>
      <c r="I187" s="1175">
        <f>'Data &amp; hypothesis Adults'!J206</f>
        <v>0</v>
      </c>
      <c r="J187" s="1175">
        <f>'Data &amp; hypothesis Adults'!K206</f>
        <v>0</v>
      </c>
      <c r="K187" s="1175">
        <f>'Data &amp; hypothesis Adults'!L206</f>
        <v>0</v>
      </c>
      <c r="L187" s="1175" t="str">
        <f>'Data &amp; hypothesis Adults'!M206</f>
        <v>X</v>
      </c>
      <c r="M187" s="1175">
        <f>'Data &amp; hypothesis Adults'!N206</f>
        <v>0</v>
      </c>
      <c r="N187" s="1175">
        <f>'Data &amp; hypothesis Adults'!O206</f>
        <v>0</v>
      </c>
      <c r="O187" s="1175">
        <f>'Data &amp; hypothesis Adults'!P206</f>
        <v>0</v>
      </c>
      <c r="P187" s="1175">
        <f>'Data &amp; hypothesis Adults'!Q206</f>
        <v>0</v>
      </c>
      <c r="Q187" s="1175">
        <f>'Data &amp; hypothesis Adults'!R206</f>
        <v>0</v>
      </c>
      <c r="R187" s="1175">
        <f>'Data &amp; hypothesis Adults'!S206</f>
        <v>0</v>
      </c>
      <c r="S187" s="1175">
        <f>'Data &amp; hypothesis Adults'!T206</f>
        <v>0</v>
      </c>
      <c r="T187" s="1175">
        <f>'Data &amp; hypothesis Adults'!U206</f>
        <v>0</v>
      </c>
      <c r="U187" s="1175" t="str">
        <f>'Data &amp; hypothesis Adults'!V206</f>
        <v>X</v>
      </c>
      <c r="V187" s="1175">
        <f>'Data &amp; hypothesis Adults'!W206</f>
        <v>0</v>
      </c>
      <c r="W187" s="1175">
        <f>'Data &amp; hypothesis Adults'!X206</f>
        <v>0</v>
      </c>
      <c r="X187" s="1175">
        <f>'Data &amp; hypothesis Adults'!Y206</f>
        <v>0</v>
      </c>
      <c r="Y187" s="1175">
        <f>'Data &amp; hypothesis Adults'!Z206</f>
        <v>0</v>
      </c>
      <c r="Z187" s="1175">
        <f>'Data &amp; hypothesis Adults'!AA206</f>
        <v>0</v>
      </c>
      <c r="AA187" s="1175">
        <f>'Data &amp; hypothesis Adults'!AB206</f>
        <v>0</v>
      </c>
      <c r="AB187" s="1175">
        <f>'Data &amp; hypothesis Adults'!AC206</f>
        <v>0</v>
      </c>
      <c r="AC187" s="1172">
        <f t="shared" si="58"/>
        <v>0</v>
      </c>
      <c r="AD187" s="1172">
        <f t="shared" si="60"/>
        <v>0</v>
      </c>
      <c r="AE187" s="1192"/>
      <c r="AF187" s="1199" t="e">
        <f t="shared" si="61"/>
        <v>#DIV/0!</v>
      </c>
    </row>
    <row r="188" spans="2:32" ht="15" x14ac:dyDescent="0.25">
      <c r="B188" s="1174"/>
      <c r="C188" s="1166" t="str">
        <f t="shared" si="59"/>
        <v>ABC+3TC+LPV/r</v>
      </c>
      <c r="D188" s="1175">
        <f>'Data &amp; hypothesis Adults'!E207</f>
        <v>0</v>
      </c>
      <c r="E188" s="1175">
        <f>'Data &amp; hypothesis Adults'!F207</f>
        <v>0</v>
      </c>
      <c r="F188" s="1175">
        <f>'Data &amp; hypothesis Adults'!G207</f>
        <v>0</v>
      </c>
      <c r="G188" s="1175">
        <f>'Data &amp; hypothesis Adults'!H207</f>
        <v>0</v>
      </c>
      <c r="H188" s="1175" t="str">
        <f>'Data &amp; hypothesis Adults'!I207</f>
        <v>X</v>
      </c>
      <c r="I188" s="1175">
        <f>'Data &amp; hypothesis Adults'!J207</f>
        <v>0</v>
      </c>
      <c r="J188" s="1175">
        <f>'Data &amp; hypothesis Adults'!K207</f>
        <v>0</v>
      </c>
      <c r="K188" s="1175">
        <f>'Data &amp; hypothesis Adults'!L207</f>
        <v>0</v>
      </c>
      <c r="L188" s="1175">
        <f>'Data &amp; hypothesis Adults'!M207</f>
        <v>0</v>
      </c>
      <c r="M188" s="1175">
        <f>'Data &amp; hypothesis Adults'!N207</f>
        <v>0</v>
      </c>
      <c r="N188" s="1175">
        <f>'Data &amp; hypothesis Adults'!O207</f>
        <v>0</v>
      </c>
      <c r="O188" s="1175">
        <f>'Data &amp; hypothesis Adults'!P207</f>
        <v>0</v>
      </c>
      <c r="P188" s="1175">
        <f>'Data &amp; hypothesis Adults'!Q207</f>
        <v>0</v>
      </c>
      <c r="Q188" s="1175">
        <f>'Data &amp; hypothesis Adults'!R207</f>
        <v>0</v>
      </c>
      <c r="R188" s="1175">
        <f>'Data &amp; hypothesis Adults'!S207</f>
        <v>0</v>
      </c>
      <c r="S188" s="1175">
        <f>'Data &amp; hypothesis Adults'!T207</f>
        <v>0</v>
      </c>
      <c r="T188" s="1175">
        <f>'Data &amp; hypothesis Adults'!U207</f>
        <v>0</v>
      </c>
      <c r="U188" s="1175" t="str">
        <f>'Data &amp; hypothesis Adults'!V207</f>
        <v>X</v>
      </c>
      <c r="V188" s="1175">
        <f>'Data &amp; hypothesis Adults'!W207</f>
        <v>0</v>
      </c>
      <c r="W188" s="1175">
        <f>'Data &amp; hypothesis Adults'!X207</f>
        <v>0</v>
      </c>
      <c r="X188" s="1175">
        <f>'Data &amp; hypothesis Adults'!Y207</f>
        <v>0</v>
      </c>
      <c r="Y188" s="1175">
        <f>'Data &amp; hypothesis Adults'!Z207</f>
        <v>0</v>
      </c>
      <c r="Z188" s="1175">
        <f>'Data &amp; hypothesis Adults'!AA207</f>
        <v>0</v>
      </c>
      <c r="AA188" s="1175">
        <f>'Data &amp; hypothesis Adults'!AB207</f>
        <v>0</v>
      </c>
      <c r="AB188" s="1175">
        <f>'Data &amp; hypothesis Adults'!AC207</f>
        <v>0</v>
      </c>
      <c r="AC188" s="1172">
        <f t="shared" si="58"/>
        <v>23.069017397081137</v>
      </c>
      <c r="AD188" s="1192"/>
      <c r="AE188" s="1192"/>
      <c r="AF188" s="1199" t="e">
        <f t="shared" si="61"/>
        <v>#DIV/0!</v>
      </c>
    </row>
    <row r="189" spans="2:32" ht="15" x14ac:dyDescent="0.25">
      <c r="B189" s="1174"/>
      <c r="C189" s="1166" t="str">
        <f t="shared" si="59"/>
        <v>TDF+3TC/FTC+ABC</v>
      </c>
      <c r="D189" s="1175">
        <f>'Data &amp; hypothesis Adults'!E208</f>
        <v>0</v>
      </c>
      <c r="E189" s="1175">
        <f>'Data &amp; hypothesis Adults'!F208</f>
        <v>0</v>
      </c>
      <c r="F189" s="1175">
        <f>'Data &amp; hypothesis Adults'!G208</f>
        <v>0</v>
      </c>
      <c r="G189" s="1175">
        <f>'Data &amp; hypothesis Adults'!H208</f>
        <v>0</v>
      </c>
      <c r="H189" s="1175">
        <f>'Data &amp; hypothesis Adults'!I208</f>
        <v>0</v>
      </c>
      <c r="I189" s="1175">
        <f>'Data &amp; hypothesis Adults'!J208</f>
        <v>0</v>
      </c>
      <c r="J189" s="1175">
        <f>'Data &amp; hypothesis Adults'!K208</f>
        <v>0</v>
      </c>
      <c r="K189" s="1175">
        <f>'Data &amp; hypothesis Adults'!L208</f>
        <v>0</v>
      </c>
      <c r="L189" s="1175">
        <f>'Data &amp; hypothesis Adults'!M208</f>
        <v>0</v>
      </c>
      <c r="M189" s="1175">
        <f>'Data &amp; hypothesis Adults'!N208</f>
        <v>0</v>
      </c>
      <c r="N189" s="1175">
        <f>'Data &amp; hypothesis Adults'!O208</f>
        <v>0</v>
      </c>
      <c r="O189" s="1175">
        <f>'Data &amp; hypothesis Adults'!P208</f>
        <v>0</v>
      </c>
      <c r="P189" s="1175">
        <f>'Data &amp; hypothesis Adults'!Q208</f>
        <v>0</v>
      </c>
      <c r="Q189" s="1175">
        <f>'Data &amp; hypothesis Adults'!R208</f>
        <v>0</v>
      </c>
      <c r="R189" s="1175">
        <f>'Data &amp; hypothesis Adults'!S208</f>
        <v>0</v>
      </c>
      <c r="S189" s="1175">
        <f>'Data &amp; hypothesis Adults'!T208</f>
        <v>0</v>
      </c>
      <c r="T189" s="1175">
        <f>'Data &amp; hypothesis Adults'!U208</f>
        <v>0</v>
      </c>
      <c r="U189" s="1175">
        <f>'Data &amp; hypothesis Adults'!V208</f>
        <v>0</v>
      </c>
      <c r="V189" s="1175">
        <f>'Data &amp; hypothesis Adults'!W208</f>
        <v>0</v>
      </c>
      <c r="W189" s="1175">
        <f>'Data &amp; hypothesis Adults'!X208</f>
        <v>0</v>
      </c>
      <c r="X189" s="1175">
        <f>'Data &amp; hypothesis Adults'!Y208</f>
        <v>0</v>
      </c>
      <c r="Y189" s="1175">
        <f>'Data &amp; hypothesis Adults'!Z208</f>
        <v>0</v>
      </c>
      <c r="Z189" s="1175">
        <f>'Data &amp; hypothesis Adults'!AA208</f>
        <v>0</v>
      </c>
      <c r="AA189" s="1175">
        <f>'Data &amp; hypothesis Adults'!AB208</f>
        <v>0</v>
      </c>
      <c r="AB189" s="1175">
        <f>'Data &amp; hypothesis Adults'!AC208</f>
        <v>0</v>
      </c>
      <c r="AC189" s="1172">
        <f t="shared" si="58"/>
        <v>50.2124413457665</v>
      </c>
      <c r="AD189" s="1172">
        <f>E46</f>
        <v>0</v>
      </c>
      <c r="AE189" s="1192"/>
      <c r="AF189" s="1199" t="e">
        <f t="shared" si="61"/>
        <v>#DIV/0!</v>
      </c>
    </row>
    <row r="190" spans="2:32" ht="15" x14ac:dyDescent="0.25">
      <c r="B190" s="1174"/>
      <c r="C190" s="1166">
        <f t="shared" si="59"/>
        <v>0</v>
      </c>
      <c r="D190" s="1175">
        <f>'Data &amp; hypothesis Adults'!E209</f>
        <v>0</v>
      </c>
      <c r="E190" s="1175">
        <f>'Data &amp; hypothesis Adults'!F209</f>
        <v>0</v>
      </c>
      <c r="F190" s="1175">
        <f>'Data &amp; hypothesis Adults'!G209</f>
        <v>0</v>
      </c>
      <c r="G190" s="1175">
        <f>'Data &amp; hypothesis Adults'!H209</f>
        <v>0</v>
      </c>
      <c r="H190" s="1175">
        <f>'Data &amp; hypothesis Adults'!I209</f>
        <v>0</v>
      </c>
      <c r="I190" s="1175">
        <f>'Data &amp; hypothesis Adults'!J209</f>
        <v>0</v>
      </c>
      <c r="J190" s="1175">
        <f>'Data &amp; hypothesis Adults'!K209</f>
        <v>0</v>
      </c>
      <c r="K190" s="1175">
        <f>'Data &amp; hypothesis Adults'!L209</f>
        <v>0</v>
      </c>
      <c r="L190" s="1175">
        <f>'Data &amp; hypothesis Adults'!M209</f>
        <v>0</v>
      </c>
      <c r="M190" s="1175">
        <f>'Data &amp; hypothesis Adults'!N209</f>
        <v>0</v>
      </c>
      <c r="N190" s="1175">
        <f>'Data &amp; hypothesis Adults'!O209</f>
        <v>0</v>
      </c>
      <c r="O190" s="1175">
        <f>'Data &amp; hypothesis Adults'!P209</f>
        <v>0</v>
      </c>
      <c r="P190" s="1175">
        <f>'Data &amp; hypothesis Adults'!Q209</f>
        <v>0</v>
      </c>
      <c r="Q190" s="1175">
        <f>'Data &amp; hypothesis Adults'!R209</f>
        <v>0</v>
      </c>
      <c r="R190" s="1175">
        <f>'Data &amp; hypothesis Adults'!S209</f>
        <v>0</v>
      </c>
      <c r="S190" s="1175">
        <f>'Data &amp; hypothesis Adults'!T209</f>
        <v>0</v>
      </c>
      <c r="T190" s="1175">
        <f>'Data &amp; hypothesis Adults'!U209</f>
        <v>0</v>
      </c>
      <c r="U190" s="1175">
        <f>'Data &amp; hypothesis Adults'!V209</f>
        <v>0</v>
      </c>
      <c r="V190" s="1175">
        <f>'Data &amp; hypothesis Adults'!W209</f>
        <v>0</v>
      </c>
      <c r="W190" s="1175">
        <f>'Data &amp; hypothesis Adults'!X209</f>
        <v>0</v>
      </c>
      <c r="X190" s="1175">
        <f>'Data &amp; hypothesis Adults'!Y209</f>
        <v>0</v>
      </c>
      <c r="Y190" s="1175">
        <f>'Data &amp; hypothesis Adults'!Z209</f>
        <v>0</v>
      </c>
      <c r="Z190" s="1175">
        <f>'Data &amp; hypothesis Adults'!AA209</f>
        <v>0</v>
      </c>
      <c r="AA190" s="1175">
        <f>'Data &amp; hypothesis Adults'!AB209</f>
        <v>0</v>
      </c>
      <c r="AB190" s="1175">
        <f>'Data &amp; hypothesis Adults'!AC209</f>
        <v>0</v>
      </c>
      <c r="AC190" s="1172">
        <f t="shared" si="58"/>
        <v>0</v>
      </c>
      <c r="AD190" s="1172">
        <f>E48</f>
        <v>0</v>
      </c>
      <c r="AE190" s="1192"/>
      <c r="AF190" s="1199" t="e">
        <f t="shared" si="61"/>
        <v>#DIV/0!</v>
      </c>
    </row>
    <row r="191" spans="2:32" ht="15" x14ac:dyDescent="0.25">
      <c r="B191" s="1174" t="str">
        <f>'TRAD-Adults YEAR(1)'!B11</f>
        <v>2èmes lignes</v>
      </c>
      <c r="C191" s="1166" t="str">
        <f t="shared" si="59"/>
        <v>TDF+FTC/3TC+LPV/r</v>
      </c>
      <c r="D191" s="1175">
        <f>'Data &amp; hypothesis Adults'!E210</f>
        <v>0</v>
      </c>
      <c r="E191" s="1175">
        <f>'Data &amp; hypothesis Adults'!F210</f>
        <v>0</v>
      </c>
      <c r="F191" s="1175">
        <f>'Data &amp; hypothesis Adults'!G210</f>
        <v>0</v>
      </c>
      <c r="G191" s="1175">
        <f>'Data &amp; hypothesis Adults'!H210</f>
        <v>0</v>
      </c>
      <c r="H191" s="1175">
        <f>'Data &amp; hypothesis Adults'!I210</f>
        <v>0</v>
      </c>
      <c r="I191" s="1175">
        <f>'Data &amp; hypothesis Adults'!J210</f>
        <v>0</v>
      </c>
      <c r="J191" s="1175">
        <f>'Data &amp; hypothesis Adults'!K210</f>
        <v>0</v>
      </c>
      <c r="K191" s="1175">
        <f>'Data &amp; hypothesis Adults'!L210</f>
        <v>0</v>
      </c>
      <c r="L191" s="1175" t="str">
        <f>'Data &amp; hypothesis Adults'!M210</f>
        <v>X</v>
      </c>
      <c r="M191" s="1175">
        <f>'Data &amp; hypothesis Adults'!N210</f>
        <v>0</v>
      </c>
      <c r="N191" s="1175">
        <f>'Data &amp; hypothesis Adults'!O210</f>
        <v>0</v>
      </c>
      <c r="O191" s="1175">
        <f>'Data &amp; hypothesis Adults'!P210</f>
        <v>0</v>
      </c>
      <c r="P191" s="1175">
        <f>'Data &amp; hypothesis Adults'!Q210</f>
        <v>0</v>
      </c>
      <c r="Q191" s="1175">
        <f>'Data &amp; hypothesis Adults'!R210</f>
        <v>0</v>
      </c>
      <c r="R191" s="1175">
        <f>'Data &amp; hypothesis Adults'!S210</f>
        <v>0</v>
      </c>
      <c r="S191" s="1175">
        <f>'Data &amp; hypothesis Adults'!T210</f>
        <v>0</v>
      </c>
      <c r="T191" s="1175">
        <f>'Data &amp; hypothesis Adults'!U210</f>
        <v>0</v>
      </c>
      <c r="U191" s="1175" t="str">
        <f>'Data &amp; hypothesis Adults'!V210</f>
        <v>X</v>
      </c>
      <c r="V191" s="1175">
        <f>'Data &amp; hypothesis Adults'!W210</f>
        <v>0</v>
      </c>
      <c r="W191" s="1175">
        <f>'Data &amp; hypothesis Adults'!X210</f>
        <v>0</v>
      </c>
      <c r="X191" s="1175">
        <f>'Data &amp; hypothesis Adults'!Y210</f>
        <v>0</v>
      </c>
      <c r="Y191" s="1175">
        <f>'Data &amp; hypothesis Adults'!Z210</f>
        <v>0</v>
      </c>
      <c r="Z191" s="1175">
        <f>'Data &amp; hypothesis Adults'!AA210</f>
        <v>0</v>
      </c>
      <c r="AA191" s="1175">
        <f>'Data &amp; hypothesis Adults'!AB210</f>
        <v>0</v>
      </c>
      <c r="AB191" s="1175">
        <f>'Data &amp; hypothesis Adults'!AC210</f>
        <v>0</v>
      </c>
      <c r="AC191" s="1172">
        <f t="shared" si="58"/>
        <v>1688.9554000486332</v>
      </c>
      <c r="AD191" s="1192"/>
      <c r="AE191" s="1178" t="e">
        <f>D73</f>
        <v>#DIV/0!</v>
      </c>
      <c r="AF191" s="1200"/>
    </row>
    <row r="192" spans="2:32" ht="15" x14ac:dyDescent="0.25">
      <c r="B192" s="1174"/>
      <c r="C192" s="1166" t="str">
        <f t="shared" si="59"/>
        <v>TDF+FTC/3TC+ATV/r</v>
      </c>
      <c r="D192" s="1175">
        <f>'Data &amp; hypothesis Adults'!E211</f>
        <v>0</v>
      </c>
      <c r="E192" s="1175">
        <f>'Data &amp; hypothesis Adults'!F211</f>
        <v>0</v>
      </c>
      <c r="F192" s="1175">
        <f>'Data &amp; hypothesis Adults'!G211</f>
        <v>0</v>
      </c>
      <c r="G192" s="1175">
        <f>'Data &amp; hypothesis Adults'!H211</f>
        <v>0</v>
      </c>
      <c r="H192" s="1175">
        <f>'Data &amp; hypothesis Adults'!I211</f>
        <v>0</v>
      </c>
      <c r="I192" s="1175">
        <f>'Data &amp; hypothesis Adults'!J211</f>
        <v>0</v>
      </c>
      <c r="J192" s="1175">
        <f>'Data &amp; hypothesis Adults'!K211</f>
        <v>0</v>
      </c>
      <c r="K192" s="1175">
        <f>'Data &amp; hypothesis Adults'!L211</f>
        <v>0</v>
      </c>
      <c r="L192" s="1175" t="str">
        <f>'Data &amp; hypothesis Adults'!M211</f>
        <v>X</v>
      </c>
      <c r="M192" s="1175">
        <f>'Data &amp; hypothesis Adults'!N211</f>
        <v>0</v>
      </c>
      <c r="N192" s="1175">
        <f>'Data &amp; hypothesis Adults'!O211</f>
        <v>0</v>
      </c>
      <c r="O192" s="1175">
        <f>'Data &amp; hypothesis Adults'!P211</f>
        <v>0</v>
      </c>
      <c r="P192" s="1175">
        <f>'Data &amp; hypothesis Adults'!Q211</f>
        <v>0</v>
      </c>
      <c r="Q192" s="1175">
        <f>'Data &amp; hypothesis Adults'!R211</f>
        <v>0</v>
      </c>
      <c r="R192" s="1175">
        <f>'Data &amp; hypothesis Adults'!S211</f>
        <v>0</v>
      </c>
      <c r="S192" s="1175">
        <f>'Data &amp; hypothesis Adults'!T211</f>
        <v>0</v>
      </c>
      <c r="T192" s="1175">
        <f>'Data &amp; hypothesis Adults'!U211</f>
        <v>0</v>
      </c>
      <c r="U192" s="1175">
        <f>'Data &amp; hypothesis Adults'!V211</f>
        <v>0</v>
      </c>
      <c r="V192" s="1175">
        <f>'Data &amp; hypothesis Adults'!W211</f>
        <v>0</v>
      </c>
      <c r="W192" s="1175">
        <f>'Data &amp; hypothesis Adults'!X211</f>
        <v>0</v>
      </c>
      <c r="X192" s="1175">
        <f>'Data &amp; hypothesis Adults'!Y211</f>
        <v>0</v>
      </c>
      <c r="Y192" s="1175" t="str">
        <f>'Data &amp; hypothesis Adults'!Z211</f>
        <v>X</v>
      </c>
      <c r="Z192" s="1175">
        <f>'Data &amp; hypothesis Adults'!AA211</f>
        <v>0</v>
      </c>
      <c r="AA192" s="1175">
        <f>'Data &amp; hypothesis Adults'!AB211</f>
        <v>0</v>
      </c>
      <c r="AB192" s="1175">
        <f>'Data &amp; hypothesis Adults'!AC211</f>
        <v>0</v>
      </c>
      <c r="AC192" s="1172">
        <f t="shared" si="58"/>
        <v>34.903199999999998</v>
      </c>
      <c r="AD192" s="1192"/>
      <c r="AE192" s="1178" t="e">
        <f t="shared" ref="AE192:AE197" si="62">D74</f>
        <v>#DIV/0!</v>
      </c>
      <c r="AF192" s="1200"/>
    </row>
    <row r="193" spans="1:32" ht="15" x14ac:dyDescent="0.25">
      <c r="B193" s="1174"/>
      <c r="C193" s="1166" t="str">
        <f t="shared" si="59"/>
        <v>ABC+DDI+LPV/r</v>
      </c>
      <c r="D193" s="1175">
        <f>'Data &amp; hypothesis Adults'!E212</f>
        <v>0</v>
      </c>
      <c r="E193" s="1175">
        <f>'Data &amp; hypothesis Adults'!F212</f>
        <v>0</v>
      </c>
      <c r="F193" s="1175">
        <f>'Data &amp; hypothesis Adults'!G212</f>
        <v>0</v>
      </c>
      <c r="G193" s="1175">
        <f>'Data &amp; hypothesis Adults'!H212</f>
        <v>0</v>
      </c>
      <c r="H193" s="1175">
        <f>'Data &amp; hypothesis Adults'!I212</f>
        <v>0</v>
      </c>
      <c r="I193" s="1175">
        <f>'Data &amp; hypothesis Adults'!J212</f>
        <v>0</v>
      </c>
      <c r="J193" s="1175">
        <f>'Data &amp; hypothesis Adults'!K212</f>
        <v>0</v>
      </c>
      <c r="K193" s="1175">
        <f>'Data &amp; hypothesis Adults'!L212</f>
        <v>0</v>
      </c>
      <c r="L193" s="1175">
        <f>'Data &amp; hypothesis Adults'!M212</f>
        <v>0</v>
      </c>
      <c r="M193" s="1175">
        <f>'Data &amp; hypothesis Adults'!N212</f>
        <v>0</v>
      </c>
      <c r="N193" s="1175">
        <f>'Data &amp; hypothesis Adults'!O212</f>
        <v>0</v>
      </c>
      <c r="O193" s="1175">
        <f>'Data &amp; hypothesis Adults'!P212</f>
        <v>0</v>
      </c>
      <c r="P193" s="1175">
        <f>'Data &amp; hypothesis Adults'!Q212</f>
        <v>0</v>
      </c>
      <c r="Q193" s="1175">
        <f>'Data &amp; hypothesis Adults'!R212</f>
        <v>0</v>
      </c>
      <c r="R193" s="1175">
        <f>'Data &amp; hypothesis Adults'!S212</f>
        <v>0</v>
      </c>
      <c r="S193" s="1175">
        <f>'Data &amp; hypothesis Adults'!T212</f>
        <v>0</v>
      </c>
      <c r="T193" s="1175">
        <f>'Data &amp; hypothesis Adults'!U212</f>
        <v>0</v>
      </c>
      <c r="U193" s="1175">
        <f>'Data &amp; hypothesis Adults'!V212</f>
        <v>0</v>
      </c>
      <c r="V193" s="1175">
        <f>'Data &amp; hypothesis Adults'!W212</f>
        <v>0</v>
      </c>
      <c r="W193" s="1175">
        <f>'Data &amp; hypothesis Adults'!X212</f>
        <v>0</v>
      </c>
      <c r="X193" s="1175">
        <f>'Data &amp; hypothesis Adults'!Y212</f>
        <v>0</v>
      </c>
      <c r="Y193" s="1175">
        <f>'Data &amp; hypothesis Adults'!Z212</f>
        <v>0</v>
      </c>
      <c r="Z193" s="1175">
        <f>'Data &amp; hypothesis Adults'!AA212</f>
        <v>0</v>
      </c>
      <c r="AA193" s="1175">
        <f>'Data &amp; hypothesis Adults'!AB212</f>
        <v>0</v>
      </c>
      <c r="AB193" s="1175">
        <f>'Data &amp; hypothesis Adults'!AC212</f>
        <v>0</v>
      </c>
      <c r="AC193" s="1172">
        <f t="shared" si="58"/>
        <v>0</v>
      </c>
      <c r="AD193" s="1192"/>
      <c r="AE193" s="1178" t="e">
        <f t="shared" si="62"/>
        <v>#DIV/0!</v>
      </c>
      <c r="AF193" s="1200"/>
    </row>
    <row r="194" spans="1:32" ht="15" x14ac:dyDescent="0.25">
      <c r="B194" s="1174"/>
      <c r="C194" s="1166" t="str">
        <f t="shared" si="59"/>
        <v>TDF+3TC/FTC+ABC</v>
      </c>
      <c r="D194" s="1175">
        <f>'Data &amp; hypothesis Adults'!E213</f>
        <v>0</v>
      </c>
      <c r="E194" s="1175">
        <f>'Data &amp; hypothesis Adults'!F213</f>
        <v>0</v>
      </c>
      <c r="F194" s="1175">
        <f>'Data &amp; hypothesis Adults'!G213</f>
        <v>0</v>
      </c>
      <c r="G194" s="1175">
        <f>'Data &amp; hypothesis Adults'!H213</f>
        <v>0</v>
      </c>
      <c r="H194" s="1175">
        <f>'Data &amp; hypothesis Adults'!I213</f>
        <v>0</v>
      </c>
      <c r="I194" s="1175">
        <f>'Data &amp; hypothesis Adults'!J213</f>
        <v>0</v>
      </c>
      <c r="J194" s="1175">
        <f>'Data &amp; hypothesis Adults'!K213</f>
        <v>0</v>
      </c>
      <c r="K194" s="1175">
        <f>'Data &amp; hypothesis Adults'!L213</f>
        <v>0</v>
      </c>
      <c r="L194" s="1175" t="str">
        <f>'Data &amp; hypothesis Adults'!M213</f>
        <v>X</v>
      </c>
      <c r="M194" s="1175">
        <f>'Data &amp; hypothesis Adults'!N213</f>
        <v>0</v>
      </c>
      <c r="N194" s="1175">
        <f>'Data &amp; hypothesis Adults'!O213</f>
        <v>0</v>
      </c>
      <c r="O194" s="1175">
        <f>'Data &amp; hypothesis Adults'!P213</f>
        <v>0</v>
      </c>
      <c r="P194" s="1175">
        <f>'Data &amp; hypothesis Adults'!Q213</f>
        <v>0</v>
      </c>
      <c r="Q194" s="1175" t="str">
        <f>'Data &amp; hypothesis Adults'!R213</f>
        <v>X</v>
      </c>
      <c r="R194" s="1175">
        <f>'Data &amp; hypothesis Adults'!S213</f>
        <v>0</v>
      </c>
      <c r="S194" s="1175">
        <f>'Data &amp; hypothesis Adults'!T213</f>
        <v>0</v>
      </c>
      <c r="T194" s="1175">
        <f>'Data &amp; hypothesis Adults'!U213</f>
        <v>0</v>
      </c>
      <c r="U194" s="1175">
        <f>'Data &amp; hypothesis Adults'!V213</f>
        <v>0</v>
      </c>
      <c r="V194" s="1175">
        <f>'Data &amp; hypothesis Adults'!W213</f>
        <v>0</v>
      </c>
      <c r="W194" s="1175">
        <f>'Data &amp; hypothesis Adults'!X213</f>
        <v>0</v>
      </c>
      <c r="X194" s="1175">
        <f>'Data &amp; hypothesis Adults'!Y213</f>
        <v>0</v>
      </c>
      <c r="Y194" s="1175">
        <f>'Data &amp; hypothesis Adults'!Z213</f>
        <v>0</v>
      </c>
      <c r="Z194" s="1175">
        <f>'Data &amp; hypothesis Adults'!AA213</f>
        <v>0</v>
      </c>
      <c r="AA194" s="1175">
        <f>'Data &amp; hypothesis Adults'!AB213</f>
        <v>0</v>
      </c>
      <c r="AB194" s="1175">
        <f>'Data &amp; hypothesis Adults'!AC213</f>
        <v>0</v>
      </c>
      <c r="AC194" s="1172">
        <f t="shared" si="58"/>
        <v>0</v>
      </c>
      <c r="AD194" s="1192"/>
      <c r="AE194" s="1178" t="e">
        <f t="shared" si="62"/>
        <v>#DIV/0!</v>
      </c>
      <c r="AF194" s="1200"/>
    </row>
    <row r="195" spans="1:32" ht="15" x14ac:dyDescent="0.25">
      <c r="B195" s="1187"/>
      <c r="C195" s="1166" t="str">
        <f t="shared" si="59"/>
        <v>AZT+3TC+LPV/r</v>
      </c>
      <c r="D195" s="1175">
        <f>'Data &amp; hypothesis Adults'!E214</f>
        <v>0</v>
      </c>
      <c r="E195" s="1175">
        <f>'Data &amp; hypothesis Adults'!F214</f>
        <v>0</v>
      </c>
      <c r="F195" s="1175">
        <f>'Data &amp; hypothesis Adults'!G214</f>
        <v>0</v>
      </c>
      <c r="G195" s="1175">
        <f>'Data &amp; hypothesis Adults'!H214</f>
        <v>0</v>
      </c>
      <c r="H195" s="1175">
        <f>'Data &amp; hypothesis Adults'!I214</f>
        <v>0</v>
      </c>
      <c r="I195" s="1175">
        <f>'Data &amp; hypothesis Adults'!J214</f>
        <v>0</v>
      </c>
      <c r="J195" s="1175">
        <f>'Data &amp; hypothesis Adults'!K214</f>
        <v>0</v>
      </c>
      <c r="K195" s="1175">
        <f>'Data &amp; hypothesis Adults'!L214</f>
        <v>0</v>
      </c>
      <c r="L195" s="1175">
        <f>'Data &amp; hypothesis Adults'!M214</f>
        <v>0</v>
      </c>
      <c r="M195" s="1175">
        <f>'Data &amp; hypothesis Adults'!N214</f>
        <v>0</v>
      </c>
      <c r="N195" s="1175">
        <f>'Data &amp; hypothesis Adults'!O214</f>
        <v>0</v>
      </c>
      <c r="O195" s="1175">
        <f>'Data &amp; hypothesis Adults'!P214</f>
        <v>0</v>
      </c>
      <c r="P195" s="1175">
        <f>'Data &amp; hypothesis Adults'!Q214</f>
        <v>0</v>
      </c>
      <c r="Q195" s="1175">
        <f>'Data &amp; hypothesis Adults'!R214</f>
        <v>0</v>
      </c>
      <c r="R195" s="1175">
        <f>'Data &amp; hypothesis Adults'!S214</f>
        <v>0</v>
      </c>
      <c r="S195" s="1175">
        <f>'Data &amp; hypothesis Adults'!T214</f>
        <v>0</v>
      </c>
      <c r="T195" s="1175">
        <f>'Data &amp; hypothesis Adults'!U214</f>
        <v>0</v>
      </c>
      <c r="U195" s="1175">
        <f>'Data &amp; hypothesis Adults'!V214</f>
        <v>0</v>
      </c>
      <c r="V195" s="1175">
        <f>'Data &amp; hypothesis Adults'!W214</f>
        <v>0</v>
      </c>
      <c r="W195" s="1175">
        <f>'Data &amp; hypothesis Adults'!X214</f>
        <v>0</v>
      </c>
      <c r="X195" s="1175">
        <f>'Data &amp; hypothesis Adults'!Y214</f>
        <v>0</v>
      </c>
      <c r="Y195" s="1175">
        <f>'Data &amp; hypothesis Adults'!Z214</f>
        <v>0</v>
      </c>
      <c r="Z195" s="1175">
        <f>'Data &amp; hypothesis Adults'!AA214</f>
        <v>0</v>
      </c>
      <c r="AA195" s="1175">
        <f>'Data &amp; hypothesis Adults'!AB214</f>
        <v>0</v>
      </c>
      <c r="AB195" s="1175">
        <f>'Data &amp; hypothesis Adults'!AC214</f>
        <v>0</v>
      </c>
      <c r="AC195" s="1172">
        <f t="shared" ref="AC195:AC197" si="63">D24</f>
        <v>587.6280940790233</v>
      </c>
      <c r="AD195" s="1192"/>
      <c r="AE195" s="1178" t="e">
        <f t="shared" si="62"/>
        <v>#DIV/0!</v>
      </c>
      <c r="AF195" s="1200"/>
    </row>
    <row r="196" spans="1:32" ht="15" x14ac:dyDescent="0.25">
      <c r="B196" s="1187"/>
      <c r="C196" s="1166">
        <f t="shared" si="59"/>
        <v>0</v>
      </c>
      <c r="D196" s="1175">
        <f>'Data &amp; hypothesis Adults'!E215</f>
        <v>0</v>
      </c>
      <c r="E196" s="1175">
        <f>'Data &amp; hypothesis Adults'!F215</f>
        <v>0</v>
      </c>
      <c r="F196" s="1175">
        <f>'Data &amp; hypothesis Adults'!G215</f>
        <v>0</v>
      </c>
      <c r="G196" s="1175">
        <f>'Data &amp; hypothesis Adults'!H215</f>
        <v>0</v>
      </c>
      <c r="H196" s="1175">
        <f>'Data &amp; hypothesis Adults'!I215</f>
        <v>0</v>
      </c>
      <c r="I196" s="1175">
        <f>'Data &amp; hypothesis Adults'!J215</f>
        <v>0</v>
      </c>
      <c r="J196" s="1175">
        <f>'Data &amp; hypothesis Adults'!K215</f>
        <v>0</v>
      </c>
      <c r="K196" s="1175">
        <f>'Data &amp; hypothesis Adults'!L215</f>
        <v>0</v>
      </c>
      <c r="L196" s="1175">
        <f>'Data &amp; hypothesis Adults'!M215</f>
        <v>0</v>
      </c>
      <c r="M196" s="1175">
        <f>'Data &amp; hypothesis Adults'!N215</f>
        <v>0</v>
      </c>
      <c r="N196" s="1175">
        <f>'Data &amp; hypothesis Adults'!O215</f>
        <v>0</v>
      </c>
      <c r="O196" s="1175">
        <f>'Data &amp; hypothesis Adults'!P215</f>
        <v>0</v>
      </c>
      <c r="P196" s="1175">
        <f>'Data &amp; hypothesis Adults'!Q215</f>
        <v>0</v>
      </c>
      <c r="Q196" s="1175">
        <f>'Data &amp; hypothesis Adults'!R215</f>
        <v>0</v>
      </c>
      <c r="R196" s="1175">
        <f>'Data &amp; hypothesis Adults'!S215</f>
        <v>0</v>
      </c>
      <c r="S196" s="1175">
        <f>'Data &amp; hypothesis Adults'!T215</f>
        <v>0</v>
      </c>
      <c r="T196" s="1175">
        <f>'Data &amp; hypothesis Adults'!U215</f>
        <v>0</v>
      </c>
      <c r="U196" s="1175">
        <f>'Data &amp; hypothesis Adults'!V215</f>
        <v>0</v>
      </c>
      <c r="V196" s="1175">
        <f>'Data &amp; hypothesis Adults'!W215</f>
        <v>0</v>
      </c>
      <c r="W196" s="1175">
        <f>'Data &amp; hypothesis Adults'!X215</f>
        <v>0</v>
      </c>
      <c r="X196" s="1175">
        <f>'Data &amp; hypothesis Adults'!Y215</f>
        <v>0</v>
      </c>
      <c r="Y196" s="1175">
        <f>'Data &amp; hypothesis Adults'!Z215</f>
        <v>0</v>
      </c>
      <c r="Z196" s="1175">
        <f>'Data &amp; hypothesis Adults'!AA215</f>
        <v>0</v>
      </c>
      <c r="AA196" s="1175">
        <f>'Data &amp; hypothesis Adults'!AB215</f>
        <v>0</v>
      </c>
      <c r="AB196" s="1175">
        <f>'Data &amp; hypothesis Adults'!AC215</f>
        <v>0</v>
      </c>
      <c r="AC196" s="1172">
        <f t="shared" si="63"/>
        <v>0</v>
      </c>
      <c r="AD196" s="1192"/>
      <c r="AE196" s="1178" t="e">
        <f t="shared" si="62"/>
        <v>#DIV/0!</v>
      </c>
      <c r="AF196" s="1200"/>
    </row>
    <row r="197" spans="1:32" ht="15" x14ac:dyDescent="0.25">
      <c r="B197" s="1187"/>
      <c r="C197" s="1166">
        <f t="shared" si="59"/>
        <v>0</v>
      </c>
      <c r="D197" s="1175">
        <f>'Data &amp; hypothesis Adults'!E216</f>
        <v>0</v>
      </c>
      <c r="E197" s="1175">
        <f>'Data &amp; hypothesis Adults'!F216</f>
        <v>0</v>
      </c>
      <c r="F197" s="1175">
        <f>'Data &amp; hypothesis Adults'!G216</f>
        <v>0</v>
      </c>
      <c r="G197" s="1175">
        <f>'Data &amp; hypothesis Adults'!H216</f>
        <v>0</v>
      </c>
      <c r="H197" s="1175">
        <f>'Data &amp; hypothesis Adults'!I216</f>
        <v>0</v>
      </c>
      <c r="I197" s="1175">
        <f>'Data &amp; hypothesis Adults'!J216</f>
        <v>0</v>
      </c>
      <c r="J197" s="1175">
        <f>'Data &amp; hypothesis Adults'!K216</f>
        <v>0</v>
      </c>
      <c r="K197" s="1175">
        <f>'Data &amp; hypothesis Adults'!L216</f>
        <v>0</v>
      </c>
      <c r="L197" s="1175">
        <f>'Data &amp; hypothesis Adults'!M216</f>
        <v>0</v>
      </c>
      <c r="M197" s="1175">
        <f>'Data &amp; hypothesis Adults'!N216</f>
        <v>0</v>
      </c>
      <c r="N197" s="1175">
        <f>'Data &amp; hypothesis Adults'!O216</f>
        <v>0</v>
      </c>
      <c r="O197" s="1175">
        <f>'Data &amp; hypothesis Adults'!P216</f>
        <v>0</v>
      </c>
      <c r="P197" s="1175">
        <f>'Data &amp; hypothesis Adults'!Q216</f>
        <v>0</v>
      </c>
      <c r="Q197" s="1175">
        <f>'Data &amp; hypothesis Adults'!R216</f>
        <v>0</v>
      </c>
      <c r="R197" s="1175">
        <f>'Data &amp; hypothesis Adults'!S216</f>
        <v>0</v>
      </c>
      <c r="S197" s="1175">
        <f>'Data &amp; hypothesis Adults'!T216</f>
        <v>0</v>
      </c>
      <c r="T197" s="1175">
        <f>'Data &amp; hypothesis Adults'!U216</f>
        <v>0</v>
      </c>
      <c r="U197" s="1175">
        <f>'Data &amp; hypothesis Adults'!V216</f>
        <v>0</v>
      </c>
      <c r="V197" s="1175">
        <f>'Data &amp; hypothesis Adults'!W216</f>
        <v>0</v>
      </c>
      <c r="W197" s="1175">
        <f>'Data &amp; hypothesis Adults'!X216</f>
        <v>0</v>
      </c>
      <c r="X197" s="1175">
        <f>'Data &amp; hypothesis Adults'!Y216</f>
        <v>0</v>
      </c>
      <c r="Y197" s="1175">
        <f>'Data &amp; hypothesis Adults'!Z216</f>
        <v>0</v>
      </c>
      <c r="Z197" s="1175">
        <f>'Data &amp; hypothesis Adults'!AA216</f>
        <v>0</v>
      </c>
      <c r="AA197" s="1175">
        <f>'Data &amp; hypothesis Adults'!AB216</f>
        <v>0</v>
      </c>
      <c r="AB197" s="1175">
        <f>'Data &amp; hypothesis Adults'!AC216</f>
        <v>0</v>
      </c>
      <c r="AC197" s="1172">
        <f t="shared" si="63"/>
        <v>0</v>
      </c>
      <c r="AD197" s="1192"/>
      <c r="AE197" s="1178" t="e">
        <f t="shared" si="62"/>
        <v>#DIV/0!</v>
      </c>
      <c r="AF197" s="1200"/>
    </row>
    <row r="198" spans="1:32" ht="15.75" thickBot="1" x14ac:dyDescent="0.3">
      <c r="B198" s="1187" t="str">
        <f>'TRAD-Adults YEAR(1)'!B12</f>
        <v>3èmes lignes</v>
      </c>
      <c r="C198" s="1188" t="str">
        <f>'TRAD-Adults YEAR(1)'!B136</f>
        <v>total divers 3èmes l</v>
      </c>
      <c r="D198" s="1198"/>
      <c r="E198" s="1198"/>
      <c r="F198" s="1198"/>
      <c r="G198" s="1198"/>
      <c r="H198" s="1198"/>
      <c r="I198" s="1198"/>
      <c r="J198" s="1198"/>
      <c r="K198" s="1198"/>
      <c r="L198" s="1198" t="s">
        <v>225</v>
      </c>
      <c r="M198" s="1198"/>
      <c r="N198" s="1198"/>
      <c r="O198" s="1198"/>
      <c r="P198" s="1198" t="s">
        <v>225</v>
      </c>
      <c r="Q198" s="1198" t="s">
        <v>225</v>
      </c>
      <c r="R198" s="1198" t="s">
        <v>623</v>
      </c>
      <c r="S198" s="1198" t="s">
        <v>623</v>
      </c>
      <c r="T198" s="1198" t="s">
        <v>225</v>
      </c>
      <c r="U198" s="1198"/>
      <c r="V198" s="1198" t="s">
        <v>225</v>
      </c>
      <c r="W198" s="1198" t="s">
        <v>225</v>
      </c>
      <c r="X198" s="1198" t="s">
        <v>225</v>
      </c>
      <c r="Y198" s="1198" t="s">
        <v>225</v>
      </c>
      <c r="Z198" s="1198" t="s">
        <v>225</v>
      </c>
      <c r="AA198" s="1198" t="s">
        <v>225</v>
      </c>
      <c r="AB198" s="1198" t="s">
        <v>225</v>
      </c>
      <c r="AC198" s="1172">
        <f t="shared" ref="AC198" si="64">D27</f>
        <v>0</v>
      </c>
      <c r="AD198" s="1192"/>
      <c r="AE198" s="1178" t="e">
        <f>L87</f>
        <v>#DIV/0!</v>
      </c>
      <c r="AF198" s="1200"/>
    </row>
    <row r="199" spans="1:32" ht="39" thickBot="1" x14ac:dyDescent="0.25">
      <c r="A199" s="696"/>
      <c r="B199" s="2149" t="str">
        <f>'TRAD-Adults YEAR(1)'!B130</f>
        <v>Patients suivis</v>
      </c>
      <c r="C199" s="1189" t="str">
        <f>'TRAD-Adults YEAR(1)'!B81</f>
        <v>Nb de patients suivis recevant l'ARV</v>
      </c>
      <c r="D199" s="1203">
        <f t="shared" ref="D199:U199" si="65">SUMIF(D181:D198, "X", $AC181:$AC198)+SUMIF(D181:D198, "A", $AC181:$AC198)*D178</f>
        <v>10056.609643394911</v>
      </c>
      <c r="E199" s="1203">
        <f t="shared" si="65"/>
        <v>73.281458742847647</v>
      </c>
      <c r="F199" s="1203">
        <f t="shared" si="65"/>
        <v>0</v>
      </c>
      <c r="G199" s="1203">
        <f t="shared" si="65"/>
        <v>1942.1033046505327</v>
      </c>
      <c r="H199" s="1203">
        <f t="shared" si="65"/>
        <v>63.784153320109169</v>
      </c>
      <c r="I199" s="1203">
        <f t="shared" si="65"/>
        <v>0</v>
      </c>
      <c r="J199" s="1203">
        <f t="shared" si="65"/>
        <v>0</v>
      </c>
      <c r="K199" s="1203">
        <f t="shared" si="65"/>
        <v>5601.870398497198</v>
      </c>
      <c r="L199" s="1203">
        <f t="shared" si="65"/>
        <v>1723.8586000486332</v>
      </c>
      <c r="M199" s="1203">
        <f t="shared" si="65"/>
        <v>1339.5250789083209</v>
      </c>
      <c r="N199" s="1203">
        <f t="shared" si="65"/>
        <v>0</v>
      </c>
      <c r="O199" s="1203">
        <f t="shared" si="65"/>
        <v>0</v>
      </c>
      <c r="P199" s="1203">
        <f t="shared" si="65"/>
        <v>0</v>
      </c>
      <c r="Q199" s="1203">
        <f t="shared" si="65"/>
        <v>0</v>
      </c>
      <c r="R199" s="1203">
        <f t="shared" si="65"/>
        <v>0</v>
      </c>
      <c r="S199" s="1203">
        <f t="shared" si="65"/>
        <v>0</v>
      </c>
      <c r="T199" s="1203">
        <f t="shared" si="65"/>
        <v>0</v>
      </c>
      <c r="U199" s="1203">
        <f t="shared" si="65"/>
        <v>2355.3177791109542</v>
      </c>
      <c r="V199" s="1203">
        <f t="shared" ref="V199:AB199" si="66">SUMIF(V181:V198, "X", $AC181:$AC198)+SUMIF(V181:V198, "A", $AC181:$AC198)*V179</f>
        <v>0</v>
      </c>
      <c r="W199" s="1203">
        <f t="shared" si="66"/>
        <v>0</v>
      </c>
      <c r="X199" s="1203">
        <f t="shared" si="66"/>
        <v>0</v>
      </c>
      <c r="Y199" s="1203">
        <f t="shared" si="66"/>
        <v>34.903199999999998</v>
      </c>
      <c r="Z199" s="1203">
        <f t="shared" si="66"/>
        <v>0</v>
      </c>
      <c r="AA199" s="1203">
        <f t="shared" si="66"/>
        <v>0</v>
      </c>
      <c r="AB199" s="1204">
        <f t="shared" si="66"/>
        <v>0</v>
      </c>
      <c r="AC199" s="1186"/>
      <c r="AD199" s="1172"/>
    </row>
    <row r="200" spans="1:32" ht="77.25" thickBot="1" x14ac:dyDescent="0.25">
      <c r="B200" s="2150"/>
      <c r="C200" s="1189" t="str">
        <f>'TRAD-Adults YEAR(1)'!B82</f>
        <v>Quantités de conditionnements nécessaires pour l'ensemble des patients suivis pour 1 mois</v>
      </c>
      <c r="D200" s="1205">
        <f>D199*D177</f>
        <v>10056.609643394911</v>
      </c>
      <c r="E200" s="1205">
        <f t="shared" ref="E200:AB200" si="67">E199*E177</f>
        <v>73.281458742847647</v>
      </c>
      <c r="F200" s="1205">
        <f t="shared" ref="F200" si="68">F199*F177</f>
        <v>0</v>
      </c>
      <c r="G200" s="1205">
        <f t="shared" si="67"/>
        <v>1942.1033046505327</v>
      </c>
      <c r="H200" s="1205">
        <f t="shared" ref="H200" si="69">H199*H177</f>
        <v>63.784153320109169</v>
      </c>
      <c r="I200" s="1205">
        <f t="shared" si="67"/>
        <v>0</v>
      </c>
      <c r="J200" s="1205">
        <f t="shared" si="67"/>
        <v>0</v>
      </c>
      <c r="K200" s="1205">
        <f t="shared" si="67"/>
        <v>5601.870398497198</v>
      </c>
      <c r="L200" s="1205">
        <f t="shared" si="67"/>
        <v>1723.8586000486332</v>
      </c>
      <c r="M200" s="1205">
        <f t="shared" si="67"/>
        <v>1339.5250789083209</v>
      </c>
      <c r="N200" s="1205">
        <f t="shared" si="67"/>
        <v>0</v>
      </c>
      <c r="O200" s="1205">
        <f t="shared" si="67"/>
        <v>0</v>
      </c>
      <c r="P200" s="1205">
        <f t="shared" si="67"/>
        <v>0</v>
      </c>
      <c r="Q200" s="1205">
        <f t="shared" si="67"/>
        <v>0</v>
      </c>
      <c r="R200" s="1205">
        <f t="shared" si="67"/>
        <v>0</v>
      </c>
      <c r="S200" s="1205">
        <f t="shared" si="67"/>
        <v>0</v>
      </c>
      <c r="T200" s="1205">
        <f t="shared" si="67"/>
        <v>0</v>
      </c>
      <c r="U200" s="1205">
        <f t="shared" si="67"/>
        <v>2355.3177791109542</v>
      </c>
      <c r="V200" s="1205">
        <f t="shared" si="67"/>
        <v>0</v>
      </c>
      <c r="W200" s="1205">
        <f t="shared" si="67"/>
        <v>0</v>
      </c>
      <c r="X200" s="1205">
        <f t="shared" si="67"/>
        <v>0</v>
      </c>
      <c r="Y200" s="1205">
        <f t="shared" si="67"/>
        <v>34.903199999999998</v>
      </c>
      <c r="Z200" s="1205">
        <f t="shared" si="67"/>
        <v>0</v>
      </c>
      <c r="AA200" s="1205">
        <f t="shared" si="67"/>
        <v>0</v>
      </c>
      <c r="AB200" s="1206">
        <f t="shared" si="67"/>
        <v>0</v>
      </c>
      <c r="AC200" s="1186"/>
      <c r="AD200" s="1172"/>
    </row>
    <row r="201" spans="1:32" ht="77.25" thickBot="1" x14ac:dyDescent="0.25">
      <c r="B201" s="2150"/>
      <c r="C201" s="1189" t="str">
        <f>'TRAD-Adults YEAR(1)'!B83</f>
        <v>Qtés conditionnements pour l'ensemble des patients sur toute la période hors SS</v>
      </c>
      <c r="D201" s="1205">
        <f>D200*$D$6</f>
        <v>0</v>
      </c>
      <c r="E201" s="1205">
        <f t="shared" ref="E201:AB201" si="70">E200*$D$6</f>
        <v>0</v>
      </c>
      <c r="F201" s="1205">
        <f t="shared" ref="F201" si="71">F200*$D$6</f>
        <v>0</v>
      </c>
      <c r="G201" s="1205">
        <f t="shared" si="70"/>
        <v>0</v>
      </c>
      <c r="H201" s="1205">
        <f t="shared" ref="H201" si="72">H200*$D$6</f>
        <v>0</v>
      </c>
      <c r="I201" s="1205">
        <f t="shared" si="70"/>
        <v>0</v>
      </c>
      <c r="J201" s="1205">
        <f t="shared" si="70"/>
        <v>0</v>
      </c>
      <c r="K201" s="1205">
        <f t="shared" si="70"/>
        <v>0</v>
      </c>
      <c r="L201" s="1205">
        <f t="shared" si="70"/>
        <v>0</v>
      </c>
      <c r="M201" s="1205">
        <f t="shared" si="70"/>
        <v>0</v>
      </c>
      <c r="N201" s="1205">
        <f t="shared" si="70"/>
        <v>0</v>
      </c>
      <c r="O201" s="1205">
        <f t="shared" si="70"/>
        <v>0</v>
      </c>
      <c r="P201" s="1205">
        <f t="shared" si="70"/>
        <v>0</v>
      </c>
      <c r="Q201" s="1205">
        <f t="shared" si="70"/>
        <v>0</v>
      </c>
      <c r="R201" s="1205">
        <f t="shared" si="70"/>
        <v>0</v>
      </c>
      <c r="S201" s="1205">
        <f t="shared" si="70"/>
        <v>0</v>
      </c>
      <c r="T201" s="1205">
        <f t="shared" si="70"/>
        <v>0</v>
      </c>
      <c r="U201" s="1205">
        <f t="shared" si="70"/>
        <v>0</v>
      </c>
      <c r="V201" s="1205">
        <f t="shared" si="70"/>
        <v>0</v>
      </c>
      <c r="W201" s="1205">
        <f t="shared" si="70"/>
        <v>0</v>
      </c>
      <c r="X201" s="1205">
        <f t="shared" si="70"/>
        <v>0</v>
      </c>
      <c r="Y201" s="1205">
        <f t="shared" si="70"/>
        <v>0</v>
      </c>
      <c r="Z201" s="1205">
        <f t="shared" si="70"/>
        <v>0</v>
      </c>
      <c r="AA201" s="1205">
        <f t="shared" si="70"/>
        <v>0</v>
      </c>
      <c r="AB201" s="1206">
        <f t="shared" si="70"/>
        <v>0</v>
      </c>
      <c r="AC201" s="1186"/>
      <c r="AD201" s="1172"/>
    </row>
    <row r="202" spans="1:32" ht="77.25" thickBot="1" x14ac:dyDescent="0.25">
      <c r="B202" s="2151"/>
      <c r="C202" s="1189" t="str">
        <f>'TRAD-Adults YEAR(1)'!B84</f>
        <v>Qtés conditionnements pour l'ensemble des patients sur toute la période avec SS</v>
      </c>
      <c r="D202" s="1207">
        <f>(D200*$D$7)</f>
        <v>30169.828930184733</v>
      </c>
      <c r="E202" s="1207">
        <f t="shared" ref="E202:AB202" si="73">(E200*$D$7)</f>
        <v>219.84437622854296</v>
      </c>
      <c r="F202" s="1207">
        <f t="shared" ref="F202" si="74">(F200*$D$7)</f>
        <v>0</v>
      </c>
      <c r="G202" s="1207">
        <f t="shared" si="73"/>
        <v>5826.309913951598</v>
      </c>
      <c r="H202" s="1207">
        <f t="shared" ref="H202" si="75">(H200*$D$7)</f>
        <v>191.35245996032751</v>
      </c>
      <c r="I202" s="1207">
        <f t="shared" si="73"/>
        <v>0</v>
      </c>
      <c r="J202" s="1207">
        <f t="shared" si="73"/>
        <v>0</v>
      </c>
      <c r="K202" s="1207">
        <f t="shared" si="73"/>
        <v>16805.611195491594</v>
      </c>
      <c r="L202" s="1207">
        <f t="shared" si="73"/>
        <v>5171.5758001458998</v>
      </c>
      <c r="M202" s="1207">
        <f t="shared" si="73"/>
        <v>4018.5752367249625</v>
      </c>
      <c r="N202" s="1207">
        <f t="shared" si="73"/>
        <v>0</v>
      </c>
      <c r="O202" s="1207">
        <f t="shared" si="73"/>
        <v>0</v>
      </c>
      <c r="P202" s="1207">
        <f t="shared" si="73"/>
        <v>0</v>
      </c>
      <c r="Q202" s="1207">
        <f t="shared" si="73"/>
        <v>0</v>
      </c>
      <c r="R202" s="1207">
        <f t="shared" si="73"/>
        <v>0</v>
      </c>
      <c r="S202" s="1207">
        <f t="shared" si="73"/>
        <v>0</v>
      </c>
      <c r="T202" s="1207">
        <f t="shared" si="73"/>
        <v>0</v>
      </c>
      <c r="U202" s="1207">
        <f t="shared" si="73"/>
        <v>7065.9533373328632</v>
      </c>
      <c r="V202" s="1207">
        <f t="shared" si="73"/>
        <v>0</v>
      </c>
      <c r="W202" s="1207">
        <f t="shared" si="73"/>
        <v>0</v>
      </c>
      <c r="X202" s="1207">
        <f t="shared" si="73"/>
        <v>0</v>
      </c>
      <c r="Y202" s="1207">
        <f t="shared" si="73"/>
        <v>104.70959999999999</v>
      </c>
      <c r="Z202" s="1207">
        <f t="shared" si="73"/>
        <v>0</v>
      </c>
      <c r="AA202" s="1207">
        <f t="shared" si="73"/>
        <v>0</v>
      </c>
      <c r="AB202" s="1208">
        <f t="shared" si="73"/>
        <v>0</v>
      </c>
      <c r="AC202" s="1186"/>
      <c r="AD202" s="1172"/>
    </row>
    <row r="203" spans="1:32" ht="39" thickBot="1" x14ac:dyDescent="0.25">
      <c r="B203" s="2149" t="str">
        <f>'TRAD-Adults YEAR(1)'!B90</f>
        <v>Patients initiés</v>
      </c>
      <c r="C203" s="1189" t="str">
        <f>'TRAD-Adults YEAR(1)'!B85</f>
        <v>Nb de patients initiés par mois recevant l'ARV</v>
      </c>
      <c r="D203" s="1203">
        <f t="shared" ref="D203:AB203" si="76">SUMIF(D181:D198, "X", $AD181:$AD198)+SUMIF(D181:D198, "A", $AD181:$AD198)*D178</f>
        <v>0</v>
      </c>
      <c r="E203" s="1203">
        <f t="shared" si="76"/>
        <v>0</v>
      </c>
      <c r="F203" s="1203">
        <f t="shared" si="76"/>
        <v>0</v>
      </c>
      <c r="G203" s="1203">
        <f t="shared" si="76"/>
        <v>0</v>
      </c>
      <c r="H203" s="1203">
        <f t="shared" si="76"/>
        <v>0</v>
      </c>
      <c r="I203" s="1203">
        <f t="shared" si="76"/>
        <v>0</v>
      </c>
      <c r="J203" s="1203">
        <f t="shared" si="76"/>
        <v>0</v>
      </c>
      <c r="K203" s="1203">
        <f t="shared" si="76"/>
        <v>0</v>
      </c>
      <c r="L203" s="1203">
        <f t="shared" si="76"/>
        <v>0</v>
      </c>
      <c r="M203" s="1203">
        <f t="shared" si="76"/>
        <v>0</v>
      </c>
      <c r="N203" s="1203">
        <f t="shared" si="76"/>
        <v>0</v>
      </c>
      <c r="O203" s="1203">
        <f t="shared" si="76"/>
        <v>0</v>
      </c>
      <c r="P203" s="1203">
        <f t="shared" si="76"/>
        <v>0</v>
      </c>
      <c r="Q203" s="1203">
        <f t="shared" si="76"/>
        <v>0</v>
      </c>
      <c r="R203" s="1203">
        <f t="shared" si="76"/>
        <v>0</v>
      </c>
      <c r="S203" s="1203">
        <f t="shared" si="76"/>
        <v>0</v>
      </c>
      <c r="T203" s="1203">
        <f t="shared" si="76"/>
        <v>0</v>
      </c>
      <c r="U203" s="1203">
        <f t="shared" si="76"/>
        <v>0</v>
      </c>
      <c r="V203" s="1203">
        <f t="shared" si="76"/>
        <v>0</v>
      </c>
      <c r="W203" s="1203">
        <f t="shared" si="76"/>
        <v>0</v>
      </c>
      <c r="X203" s="1203">
        <f t="shared" si="76"/>
        <v>0</v>
      </c>
      <c r="Y203" s="1203">
        <f t="shared" si="76"/>
        <v>0</v>
      </c>
      <c r="Z203" s="1203">
        <f t="shared" si="76"/>
        <v>0</v>
      </c>
      <c r="AA203" s="1203">
        <f t="shared" si="76"/>
        <v>0</v>
      </c>
      <c r="AB203" s="1204">
        <f t="shared" si="76"/>
        <v>0</v>
      </c>
      <c r="AC203" s="1186"/>
      <c r="AD203" s="1172"/>
    </row>
    <row r="204" spans="1:32" ht="77.25" thickBot="1" x14ac:dyDescent="0.25">
      <c r="B204" s="2150"/>
      <c r="C204" s="1189" t="str">
        <f>'TRAD-Adults YEAR(1)'!B86</f>
        <v>Quantités de conditionnements nécessaires pour l'ensemble des patients initiés sur 1 mois</v>
      </c>
      <c r="D204" s="1205">
        <f t="shared" ref="D204:AB204" si="77">D203*D177</f>
        <v>0</v>
      </c>
      <c r="E204" s="1205">
        <f t="shared" si="77"/>
        <v>0</v>
      </c>
      <c r="F204" s="1205">
        <f t="shared" ref="F204" si="78">F203*F177</f>
        <v>0</v>
      </c>
      <c r="G204" s="1205">
        <f t="shared" si="77"/>
        <v>0</v>
      </c>
      <c r="H204" s="1205">
        <f t="shared" ref="H204" si="79">H203*H177</f>
        <v>0</v>
      </c>
      <c r="I204" s="1205">
        <f t="shared" si="77"/>
        <v>0</v>
      </c>
      <c r="J204" s="1205">
        <f t="shared" si="77"/>
        <v>0</v>
      </c>
      <c r="K204" s="1205">
        <f t="shared" si="77"/>
        <v>0</v>
      </c>
      <c r="L204" s="1205">
        <f t="shared" si="77"/>
        <v>0</v>
      </c>
      <c r="M204" s="1205">
        <f t="shared" si="77"/>
        <v>0</v>
      </c>
      <c r="N204" s="1205">
        <f t="shared" si="77"/>
        <v>0</v>
      </c>
      <c r="O204" s="1205">
        <f t="shared" si="77"/>
        <v>0</v>
      </c>
      <c r="P204" s="1205">
        <f t="shared" si="77"/>
        <v>0</v>
      </c>
      <c r="Q204" s="1205">
        <f t="shared" si="77"/>
        <v>0</v>
      </c>
      <c r="R204" s="1205">
        <f t="shared" si="77"/>
        <v>0</v>
      </c>
      <c r="S204" s="1205">
        <f t="shared" si="77"/>
        <v>0</v>
      </c>
      <c r="T204" s="1205">
        <f t="shared" si="77"/>
        <v>0</v>
      </c>
      <c r="U204" s="1205">
        <f t="shared" si="77"/>
        <v>0</v>
      </c>
      <c r="V204" s="1205">
        <f t="shared" si="77"/>
        <v>0</v>
      </c>
      <c r="W204" s="1205">
        <f t="shared" si="77"/>
        <v>0</v>
      </c>
      <c r="X204" s="1205">
        <f t="shared" si="77"/>
        <v>0</v>
      </c>
      <c r="Y204" s="1205">
        <f t="shared" si="77"/>
        <v>0</v>
      </c>
      <c r="Z204" s="1205">
        <f t="shared" si="77"/>
        <v>0</v>
      </c>
      <c r="AA204" s="1205">
        <f t="shared" si="77"/>
        <v>0</v>
      </c>
      <c r="AB204" s="1206">
        <f t="shared" si="77"/>
        <v>0</v>
      </c>
      <c r="AC204" s="1186"/>
      <c r="AD204" s="1172"/>
    </row>
    <row r="205" spans="1:32" ht="64.5" thickBot="1" x14ac:dyDescent="0.25">
      <c r="B205" s="2150"/>
      <c r="C205" s="1189" t="str">
        <f>'TRAD-Adults YEAR(1)'!B87</f>
        <v>Quantités conditionnements nécessaires Spécificités 3èmes lignes pour 1 mois</v>
      </c>
      <c r="D205" s="1205">
        <f t="shared" ref="D205:AB205" si="80">(IF(D198="X", $AE$198*D179, "0")+IF(D198="A", $AE$198*D178*D179, "0"))*D177</f>
        <v>0</v>
      </c>
      <c r="E205" s="1205">
        <f t="shared" si="80"/>
        <v>0</v>
      </c>
      <c r="F205" s="1205">
        <f t="shared" si="80"/>
        <v>0</v>
      </c>
      <c r="G205" s="1205">
        <f t="shared" si="80"/>
        <v>0</v>
      </c>
      <c r="H205" s="1205">
        <f t="shared" si="80"/>
        <v>0</v>
      </c>
      <c r="I205" s="1205">
        <f t="shared" si="80"/>
        <v>0</v>
      </c>
      <c r="J205" s="1205">
        <f t="shared" si="80"/>
        <v>0</v>
      </c>
      <c r="K205" s="1205">
        <f t="shared" si="80"/>
        <v>0</v>
      </c>
      <c r="L205" s="1205" t="e">
        <f t="shared" si="80"/>
        <v>#DIV/0!</v>
      </c>
      <c r="M205" s="1205">
        <f t="shared" si="80"/>
        <v>0</v>
      </c>
      <c r="N205" s="1205">
        <f t="shared" si="80"/>
        <v>0</v>
      </c>
      <c r="O205" s="1205">
        <f t="shared" si="80"/>
        <v>0</v>
      </c>
      <c r="P205" s="1205" t="e">
        <f t="shared" si="80"/>
        <v>#DIV/0!</v>
      </c>
      <c r="Q205" s="1205" t="e">
        <f t="shared" si="80"/>
        <v>#DIV/0!</v>
      </c>
      <c r="R205" s="1205" t="e">
        <f t="shared" si="80"/>
        <v>#DIV/0!</v>
      </c>
      <c r="S205" s="1205" t="e">
        <f t="shared" si="80"/>
        <v>#DIV/0!</v>
      </c>
      <c r="T205" s="1205" t="e">
        <f t="shared" si="80"/>
        <v>#DIV/0!</v>
      </c>
      <c r="U205" s="1205">
        <f t="shared" si="80"/>
        <v>0</v>
      </c>
      <c r="V205" s="1205" t="e">
        <f t="shared" si="80"/>
        <v>#DIV/0!</v>
      </c>
      <c r="W205" s="1205" t="e">
        <f t="shared" si="80"/>
        <v>#DIV/0!</v>
      </c>
      <c r="X205" s="1205" t="e">
        <f t="shared" si="80"/>
        <v>#DIV/0!</v>
      </c>
      <c r="Y205" s="1205" t="e">
        <f t="shared" si="80"/>
        <v>#DIV/0!</v>
      </c>
      <c r="Z205" s="1205" t="e">
        <f t="shared" si="80"/>
        <v>#DIV/0!</v>
      </c>
      <c r="AA205" s="1205" t="e">
        <f t="shared" si="80"/>
        <v>#DIV/0!</v>
      </c>
      <c r="AB205" s="1206" t="e">
        <f t="shared" si="80"/>
        <v>#DIV/0!</v>
      </c>
      <c r="AC205" s="1186"/>
      <c r="AD205" s="1172"/>
    </row>
    <row r="206" spans="1:32" ht="77.25" thickBot="1" x14ac:dyDescent="0.25">
      <c r="B206" s="2150"/>
      <c r="C206" s="1189" t="str">
        <f>'TRAD-Adults YEAR(1)'!B88</f>
        <v>Qtés conditionnements pour l'ensemble des patients initiés sur toute la période sans SS</v>
      </c>
      <c r="D206" s="1205">
        <f>(D204+D205)*$I$6</f>
        <v>0</v>
      </c>
      <c r="E206" s="1205">
        <f t="shared" ref="E206:AB206" si="81">(E204+E205)*$I$6</f>
        <v>0</v>
      </c>
      <c r="F206" s="1205">
        <f t="shared" ref="F206" si="82">(F204+F205)*$I$6</f>
        <v>0</v>
      </c>
      <c r="G206" s="1205">
        <f t="shared" si="81"/>
        <v>0</v>
      </c>
      <c r="H206" s="1205">
        <f t="shared" ref="H206" si="83">(H204+H205)*$I$6</f>
        <v>0</v>
      </c>
      <c r="I206" s="1205">
        <f t="shared" si="81"/>
        <v>0</v>
      </c>
      <c r="J206" s="1205">
        <f t="shared" si="81"/>
        <v>0</v>
      </c>
      <c r="K206" s="1205">
        <f t="shared" si="81"/>
        <v>0</v>
      </c>
      <c r="L206" s="1205" t="e">
        <f>(L204+L205)*$I$6</f>
        <v>#DIV/0!</v>
      </c>
      <c r="M206" s="1205">
        <f t="shared" si="81"/>
        <v>0</v>
      </c>
      <c r="N206" s="1205">
        <f>(N204+N205)*$I$6</f>
        <v>0</v>
      </c>
      <c r="O206" s="1205">
        <f t="shared" si="81"/>
        <v>0</v>
      </c>
      <c r="P206" s="1205" t="e">
        <f t="shared" si="81"/>
        <v>#DIV/0!</v>
      </c>
      <c r="Q206" s="1205" t="e">
        <f>(Q204+Q205)*$I$6</f>
        <v>#DIV/0!</v>
      </c>
      <c r="R206" s="1205" t="e">
        <f t="shared" si="81"/>
        <v>#DIV/0!</v>
      </c>
      <c r="S206" s="1205" t="e">
        <f t="shared" si="81"/>
        <v>#DIV/0!</v>
      </c>
      <c r="T206" s="1205" t="e">
        <f t="shared" si="81"/>
        <v>#DIV/0!</v>
      </c>
      <c r="U206" s="1205">
        <f t="shared" si="81"/>
        <v>0</v>
      </c>
      <c r="V206" s="1205" t="e">
        <f t="shared" si="81"/>
        <v>#DIV/0!</v>
      </c>
      <c r="W206" s="1205" t="e">
        <f t="shared" si="81"/>
        <v>#DIV/0!</v>
      </c>
      <c r="X206" s="1205" t="e">
        <f t="shared" si="81"/>
        <v>#DIV/0!</v>
      </c>
      <c r="Y206" s="1205" t="e">
        <f t="shared" si="81"/>
        <v>#DIV/0!</v>
      </c>
      <c r="Z206" s="1205" t="e">
        <f t="shared" si="81"/>
        <v>#DIV/0!</v>
      </c>
      <c r="AA206" s="1205" t="e">
        <f t="shared" si="81"/>
        <v>#DIV/0!</v>
      </c>
      <c r="AB206" s="1206" t="e">
        <f t="shared" si="81"/>
        <v>#DIV/0!</v>
      </c>
      <c r="AC206" s="1186"/>
      <c r="AD206" s="1172"/>
    </row>
    <row r="207" spans="1:32" ht="77.25" thickBot="1" x14ac:dyDescent="0.25">
      <c r="B207" s="2151"/>
      <c r="C207" s="1189" t="str">
        <f>'TRAD-Adults YEAR(1)'!B89</f>
        <v>Qtés conditionnements pour l'ensemble des patients initiés sur toute la période avec SS</v>
      </c>
      <c r="D207" s="1207">
        <f>(D204+D205)*$I$7</f>
        <v>0</v>
      </c>
      <c r="E207" s="1207">
        <f t="shared" ref="E207:AB207" si="84">(E204+E205)*$I$7</f>
        <v>0</v>
      </c>
      <c r="F207" s="1207">
        <f t="shared" ref="F207" si="85">(F204+F205)*$I$7</f>
        <v>0</v>
      </c>
      <c r="G207" s="1207">
        <f t="shared" si="84"/>
        <v>0</v>
      </c>
      <c r="H207" s="1207">
        <f t="shared" ref="H207" si="86">(H204+H205)*$I$7</f>
        <v>0</v>
      </c>
      <c r="I207" s="1207">
        <f t="shared" si="84"/>
        <v>0</v>
      </c>
      <c r="J207" s="1207">
        <f t="shared" si="84"/>
        <v>0</v>
      </c>
      <c r="K207" s="1207">
        <f t="shared" si="84"/>
        <v>0</v>
      </c>
      <c r="L207" s="1207" t="e">
        <f t="shared" si="84"/>
        <v>#DIV/0!</v>
      </c>
      <c r="M207" s="1207">
        <f t="shared" si="84"/>
        <v>0</v>
      </c>
      <c r="N207" s="1207">
        <f t="shared" si="84"/>
        <v>0</v>
      </c>
      <c r="O207" s="1207">
        <f t="shared" si="84"/>
        <v>0</v>
      </c>
      <c r="P207" s="1207" t="e">
        <f t="shared" si="84"/>
        <v>#DIV/0!</v>
      </c>
      <c r="Q207" s="1207" t="e">
        <f t="shared" si="84"/>
        <v>#DIV/0!</v>
      </c>
      <c r="R207" s="1207" t="e">
        <f t="shared" si="84"/>
        <v>#DIV/0!</v>
      </c>
      <c r="S207" s="1207" t="e">
        <f t="shared" si="84"/>
        <v>#DIV/0!</v>
      </c>
      <c r="T207" s="1207" t="e">
        <f t="shared" si="84"/>
        <v>#DIV/0!</v>
      </c>
      <c r="U207" s="1207">
        <f t="shared" si="84"/>
        <v>0</v>
      </c>
      <c r="V207" s="1207" t="e">
        <f t="shared" si="84"/>
        <v>#DIV/0!</v>
      </c>
      <c r="W207" s="1207" t="e">
        <f t="shared" si="84"/>
        <v>#DIV/0!</v>
      </c>
      <c r="X207" s="1207" t="e">
        <f t="shared" si="84"/>
        <v>#DIV/0!</v>
      </c>
      <c r="Y207" s="1207" t="e">
        <f t="shared" si="84"/>
        <v>#DIV/0!</v>
      </c>
      <c r="Z207" s="1207" t="e">
        <f t="shared" si="84"/>
        <v>#DIV/0!</v>
      </c>
      <c r="AA207" s="1207" t="e">
        <f t="shared" si="84"/>
        <v>#DIV/0!</v>
      </c>
      <c r="AB207" s="1208" t="e">
        <f t="shared" si="84"/>
        <v>#DIV/0!</v>
      </c>
      <c r="AC207" s="1186"/>
      <c r="AD207" s="1172"/>
    </row>
    <row r="208" spans="1:32" ht="39" thickBot="1" x14ac:dyDescent="0.25">
      <c r="B208" s="2149" t="str">
        <f>'TRAD-Adults YEAR(1)'!B93</f>
        <v>Patients switchés</v>
      </c>
      <c r="C208" s="1189" t="str">
        <f>'TRAD-Adults YEAR(1)'!B85</f>
        <v>Nb de patients initiés par mois recevant l'ARV</v>
      </c>
      <c r="D208" s="1203">
        <f t="shared" ref="D208:AB208" si="87">SUMIF(D181:D198, "X", $AE181:$AE198)+SUMIF(D181:D198, "A", $AE181:$AE198)*D178</f>
        <v>0</v>
      </c>
      <c r="E208" s="1203">
        <f t="shared" si="87"/>
        <v>0</v>
      </c>
      <c r="F208" s="1203">
        <f t="shared" si="87"/>
        <v>0</v>
      </c>
      <c r="G208" s="1203">
        <f t="shared" si="87"/>
        <v>0</v>
      </c>
      <c r="H208" s="1203">
        <f t="shared" si="87"/>
        <v>0</v>
      </c>
      <c r="I208" s="1203">
        <f t="shared" si="87"/>
        <v>0</v>
      </c>
      <c r="J208" s="1203">
        <f t="shared" si="87"/>
        <v>0</v>
      </c>
      <c r="K208" s="1203">
        <f t="shared" si="87"/>
        <v>0</v>
      </c>
      <c r="L208" s="1203" t="e">
        <f t="shared" si="87"/>
        <v>#DIV/0!</v>
      </c>
      <c r="M208" s="1203">
        <f t="shared" si="87"/>
        <v>0</v>
      </c>
      <c r="N208" s="1203">
        <f t="shared" si="87"/>
        <v>0</v>
      </c>
      <c r="O208" s="1203">
        <f t="shared" si="87"/>
        <v>0</v>
      </c>
      <c r="P208" s="1203" t="e">
        <f t="shared" si="87"/>
        <v>#DIV/0!</v>
      </c>
      <c r="Q208" s="1203" t="e">
        <f t="shared" si="87"/>
        <v>#DIV/0!</v>
      </c>
      <c r="R208" s="1203" t="e">
        <f t="shared" si="87"/>
        <v>#DIV/0!</v>
      </c>
      <c r="S208" s="1203" t="e">
        <f t="shared" si="87"/>
        <v>#DIV/0!</v>
      </c>
      <c r="T208" s="1203" t="e">
        <f t="shared" si="87"/>
        <v>#DIV/0!</v>
      </c>
      <c r="U208" s="1203" t="e">
        <f t="shared" si="87"/>
        <v>#DIV/0!</v>
      </c>
      <c r="V208" s="1203" t="e">
        <f t="shared" si="87"/>
        <v>#DIV/0!</v>
      </c>
      <c r="W208" s="1203" t="e">
        <f t="shared" si="87"/>
        <v>#DIV/0!</v>
      </c>
      <c r="X208" s="1203" t="e">
        <f t="shared" si="87"/>
        <v>#DIV/0!</v>
      </c>
      <c r="Y208" s="1203" t="e">
        <f t="shared" si="87"/>
        <v>#DIV/0!</v>
      </c>
      <c r="Z208" s="1203" t="e">
        <f t="shared" si="87"/>
        <v>#DIV/0!</v>
      </c>
      <c r="AA208" s="1203" t="e">
        <f t="shared" si="87"/>
        <v>#DIV/0!</v>
      </c>
      <c r="AB208" s="1204" t="e">
        <f t="shared" si="87"/>
        <v>#DIV/0!</v>
      </c>
      <c r="AC208" s="1186"/>
      <c r="AD208" s="1172"/>
    </row>
    <row r="209" spans="2:30" ht="77.25" thickBot="1" x14ac:dyDescent="0.25">
      <c r="B209" s="2150"/>
      <c r="C209" s="1189" t="str">
        <f>'TRAD-Adults YEAR(1)'!B86</f>
        <v>Quantités de conditionnements nécessaires pour l'ensemble des patients initiés sur 1 mois</v>
      </c>
      <c r="D209" s="1205">
        <f>D208*D177</f>
        <v>0</v>
      </c>
      <c r="E209" s="1205">
        <f t="shared" ref="E209:AB209" si="88">E208*E177</f>
        <v>0</v>
      </c>
      <c r="F209" s="1205">
        <f t="shared" ref="F209" si="89">F208*F177</f>
        <v>0</v>
      </c>
      <c r="G209" s="1205">
        <f t="shared" si="88"/>
        <v>0</v>
      </c>
      <c r="H209" s="1205">
        <f t="shared" ref="H209" si="90">H208*H177</f>
        <v>0</v>
      </c>
      <c r="I209" s="1205">
        <f t="shared" si="88"/>
        <v>0</v>
      </c>
      <c r="J209" s="1205">
        <f t="shared" si="88"/>
        <v>0</v>
      </c>
      <c r="K209" s="1205">
        <f t="shared" si="88"/>
        <v>0</v>
      </c>
      <c r="L209" s="1205" t="e">
        <f t="shared" si="88"/>
        <v>#DIV/0!</v>
      </c>
      <c r="M209" s="1205">
        <f t="shared" si="88"/>
        <v>0</v>
      </c>
      <c r="N209" s="1205">
        <f t="shared" si="88"/>
        <v>0</v>
      </c>
      <c r="O209" s="1205">
        <f t="shared" si="88"/>
        <v>0</v>
      </c>
      <c r="P209" s="1205" t="e">
        <f t="shared" si="88"/>
        <v>#DIV/0!</v>
      </c>
      <c r="Q209" s="1205" t="e">
        <f t="shared" si="88"/>
        <v>#DIV/0!</v>
      </c>
      <c r="R209" s="1205" t="e">
        <f t="shared" si="88"/>
        <v>#DIV/0!</v>
      </c>
      <c r="S209" s="1205" t="e">
        <f t="shared" si="88"/>
        <v>#DIV/0!</v>
      </c>
      <c r="T209" s="1205" t="e">
        <f t="shared" si="88"/>
        <v>#DIV/0!</v>
      </c>
      <c r="U209" s="1205" t="e">
        <f t="shared" si="88"/>
        <v>#DIV/0!</v>
      </c>
      <c r="V209" s="1205" t="e">
        <f t="shared" si="88"/>
        <v>#DIV/0!</v>
      </c>
      <c r="W209" s="1205" t="e">
        <f t="shared" si="88"/>
        <v>#DIV/0!</v>
      </c>
      <c r="X209" s="1205" t="e">
        <f t="shared" si="88"/>
        <v>#DIV/0!</v>
      </c>
      <c r="Y209" s="1205" t="e">
        <f t="shared" si="88"/>
        <v>#DIV/0!</v>
      </c>
      <c r="Z209" s="1205" t="e">
        <f t="shared" si="88"/>
        <v>#DIV/0!</v>
      </c>
      <c r="AA209" s="1205" t="e">
        <f t="shared" si="88"/>
        <v>#DIV/0!</v>
      </c>
      <c r="AB209" s="1206" t="e">
        <f t="shared" si="88"/>
        <v>#DIV/0!</v>
      </c>
      <c r="AC209" s="1186"/>
      <c r="AD209" s="1172"/>
    </row>
    <row r="210" spans="2:30" ht="64.5" thickBot="1" x14ac:dyDescent="0.25">
      <c r="B210" s="2150"/>
      <c r="C210" s="1189" t="str">
        <f>'TRAD-Adults YEAR(1)'!B87</f>
        <v>Quantités conditionnements nécessaires Spécificités 3èmes lignes pour 1 mois</v>
      </c>
      <c r="D210" s="1205">
        <f t="shared" ref="D210:AB210" si="91">(IF(D198="X", $AE$198*D179, "0")+IF(D198="A", $AE$198*D178*D179, "0"))*D177</f>
        <v>0</v>
      </c>
      <c r="E210" s="1205">
        <f t="shared" si="91"/>
        <v>0</v>
      </c>
      <c r="F210" s="1205">
        <f t="shared" si="91"/>
        <v>0</v>
      </c>
      <c r="G210" s="1205">
        <f t="shared" si="91"/>
        <v>0</v>
      </c>
      <c r="H210" s="1205">
        <f t="shared" si="91"/>
        <v>0</v>
      </c>
      <c r="I210" s="1205">
        <f t="shared" si="91"/>
        <v>0</v>
      </c>
      <c r="J210" s="1205">
        <f t="shared" si="91"/>
        <v>0</v>
      </c>
      <c r="K210" s="1205">
        <f t="shared" si="91"/>
        <v>0</v>
      </c>
      <c r="L210" s="1205" t="e">
        <f t="shared" si="91"/>
        <v>#DIV/0!</v>
      </c>
      <c r="M210" s="1205">
        <f t="shared" si="91"/>
        <v>0</v>
      </c>
      <c r="N210" s="1205">
        <f t="shared" si="91"/>
        <v>0</v>
      </c>
      <c r="O210" s="1205">
        <f t="shared" si="91"/>
        <v>0</v>
      </c>
      <c r="P210" s="1205" t="e">
        <f t="shared" si="91"/>
        <v>#DIV/0!</v>
      </c>
      <c r="Q210" s="1205" t="e">
        <f t="shared" si="91"/>
        <v>#DIV/0!</v>
      </c>
      <c r="R210" s="1205" t="e">
        <f t="shared" si="91"/>
        <v>#DIV/0!</v>
      </c>
      <c r="S210" s="1205" t="e">
        <f t="shared" si="91"/>
        <v>#DIV/0!</v>
      </c>
      <c r="T210" s="1205" t="e">
        <f t="shared" si="91"/>
        <v>#DIV/0!</v>
      </c>
      <c r="U210" s="1205">
        <f t="shared" si="91"/>
        <v>0</v>
      </c>
      <c r="V210" s="1205" t="e">
        <f t="shared" si="91"/>
        <v>#DIV/0!</v>
      </c>
      <c r="W210" s="1205" t="e">
        <f t="shared" si="91"/>
        <v>#DIV/0!</v>
      </c>
      <c r="X210" s="1205" t="e">
        <f t="shared" si="91"/>
        <v>#DIV/0!</v>
      </c>
      <c r="Y210" s="1205" t="e">
        <f t="shared" si="91"/>
        <v>#DIV/0!</v>
      </c>
      <c r="Z210" s="1205" t="e">
        <f t="shared" si="91"/>
        <v>#DIV/0!</v>
      </c>
      <c r="AA210" s="1205" t="e">
        <f t="shared" si="91"/>
        <v>#DIV/0!</v>
      </c>
      <c r="AB210" s="1206" t="e">
        <f t="shared" si="91"/>
        <v>#DIV/0!</v>
      </c>
      <c r="AC210" s="1186"/>
      <c r="AD210" s="1172"/>
    </row>
    <row r="211" spans="2:30" ht="77.25" thickBot="1" x14ac:dyDescent="0.25">
      <c r="B211" s="2150"/>
      <c r="C211" s="1189" t="str">
        <f>'TRAD-Adults YEAR(1)'!B88</f>
        <v>Qtés conditionnements pour l'ensemble des patients initiés sur toute la période sans SS</v>
      </c>
      <c r="D211" s="1205">
        <f>(D209+D210)*$I$6</f>
        <v>0</v>
      </c>
      <c r="E211" s="1205">
        <f t="shared" ref="E211:AB211" si="92">(E209+E210)*$I$6</f>
        <v>0</v>
      </c>
      <c r="F211" s="1205">
        <f t="shared" ref="F211" si="93">(F209+F210)*$I$6</f>
        <v>0</v>
      </c>
      <c r="G211" s="1205">
        <f t="shared" si="92"/>
        <v>0</v>
      </c>
      <c r="H211" s="1205">
        <f t="shared" ref="H211" si="94">(H209+H210)*$I$6</f>
        <v>0</v>
      </c>
      <c r="I211" s="1205">
        <f t="shared" si="92"/>
        <v>0</v>
      </c>
      <c r="J211" s="1205">
        <f t="shared" si="92"/>
        <v>0</v>
      </c>
      <c r="K211" s="1205">
        <f t="shared" si="92"/>
        <v>0</v>
      </c>
      <c r="L211" s="1205" t="e">
        <f t="shared" si="92"/>
        <v>#DIV/0!</v>
      </c>
      <c r="M211" s="1205">
        <f t="shared" si="92"/>
        <v>0</v>
      </c>
      <c r="N211" s="1205">
        <f t="shared" si="92"/>
        <v>0</v>
      </c>
      <c r="O211" s="1205">
        <f t="shared" si="92"/>
        <v>0</v>
      </c>
      <c r="P211" s="1205" t="e">
        <f t="shared" si="92"/>
        <v>#DIV/0!</v>
      </c>
      <c r="Q211" s="1205" t="e">
        <f t="shared" si="92"/>
        <v>#DIV/0!</v>
      </c>
      <c r="R211" s="1205" t="e">
        <f t="shared" si="92"/>
        <v>#DIV/0!</v>
      </c>
      <c r="S211" s="1205" t="e">
        <f t="shared" si="92"/>
        <v>#DIV/0!</v>
      </c>
      <c r="T211" s="1205" t="e">
        <f t="shared" si="92"/>
        <v>#DIV/0!</v>
      </c>
      <c r="U211" s="1205" t="e">
        <f t="shared" si="92"/>
        <v>#DIV/0!</v>
      </c>
      <c r="V211" s="1205" t="e">
        <f t="shared" si="92"/>
        <v>#DIV/0!</v>
      </c>
      <c r="W211" s="1205" t="e">
        <f t="shared" si="92"/>
        <v>#DIV/0!</v>
      </c>
      <c r="X211" s="1205" t="e">
        <f t="shared" si="92"/>
        <v>#DIV/0!</v>
      </c>
      <c r="Y211" s="1205" t="e">
        <f t="shared" si="92"/>
        <v>#DIV/0!</v>
      </c>
      <c r="Z211" s="1205" t="e">
        <f t="shared" si="92"/>
        <v>#DIV/0!</v>
      </c>
      <c r="AA211" s="1205" t="e">
        <f t="shared" si="92"/>
        <v>#DIV/0!</v>
      </c>
      <c r="AB211" s="1206" t="e">
        <f t="shared" si="92"/>
        <v>#DIV/0!</v>
      </c>
      <c r="AC211" s="1186"/>
      <c r="AD211" s="1172"/>
    </row>
    <row r="212" spans="2:30" ht="77.25" thickBot="1" x14ac:dyDescent="0.25">
      <c r="B212" s="2151"/>
      <c r="C212" s="1189" t="str">
        <f>'TRAD-Adults YEAR(1)'!B89</f>
        <v>Qtés conditionnements pour l'ensemble des patients initiés sur toute la période avec SS</v>
      </c>
      <c r="D212" s="1207">
        <f>(D209+D210)*$I$7</f>
        <v>0</v>
      </c>
      <c r="E212" s="1207">
        <f t="shared" ref="E212:AB212" si="95">(E209+E210)*$I$7</f>
        <v>0</v>
      </c>
      <c r="F212" s="1207">
        <f t="shared" ref="F212" si="96">(F209+F210)*$I$7</f>
        <v>0</v>
      </c>
      <c r="G212" s="1207">
        <f t="shared" si="95"/>
        <v>0</v>
      </c>
      <c r="H212" s="1207">
        <f t="shared" ref="H212" si="97">(H209+H210)*$I$7</f>
        <v>0</v>
      </c>
      <c r="I212" s="1207">
        <f t="shared" si="95"/>
        <v>0</v>
      </c>
      <c r="J212" s="1207">
        <f t="shared" si="95"/>
        <v>0</v>
      </c>
      <c r="K212" s="1207">
        <f t="shared" si="95"/>
        <v>0</v>
      </c>
      <c r="L212" s="1207" t="e">
        <f t="shared" si="95"/>
        <v>#DIV/0!</v>
      </c>
      <c r="M212" s="1207">
        <f t="shared" si="95"/>
        <v>0</v>
      </c>
      <c r="N212" s="1207">
        <f t="shared" si="95"/>
        <v>0</v>
      </c>
      <c r="O212" s="1207">
        <f t="shared" si="95"/>
        <v>0</v>
      </c>
      <c r="P212" s="1207" t="e">
        <f t="shared" si="95"/>
        <v>#DIV/0!</v>
      </c>
      <c r="Q212" s="1207" t="e">
        <f t="shared" si="95"/>
        <v>#DIV/0!</v>
      </c>
      <c r="R212" s="1207" t="e">
        <f t="shared" si="95"/>
        <v>#DIV/0!</v>
      </c>
      <c r="S212" s="1207" t="e">
        <f t="shared" si="95"/>
        <v>#DIV/0!</v>
      </c>
      <c r="T212" s="1207" t="e">
        <f t="shared" si="95"/>
        <v>#DIV/0!</v>
      </c>
      <c r="U212" s="1207" t="e">
        <f t="shared" si="95"/>
        <v>#DIV/0!</v>
      </c>
      <c r="V212" s="1207" t="e">
        <f t="shared" si="95"/>
        <v>#DIV/0!</v>
      </c>
      <c r="W212" s="1207" t="e">
        <f t="shared" si="95"/>
        <v>#DIV/0!</v>
      </c>
      <c r="X212" s="1207" t="e">
        <f t="shared" si="95"/>
        <v>#DIV/0!</v>
      </c>
      <c r="Y212" s="1207" t="e">
        <f t="shared" si="95"/>
        <v>#DIV/0!</v>
      </c>
      <c r="Z212" s="1207" t="e">
        <f t="shared" si="95"/>
        <v>#DIV/0!</v>
      </c>
      <c r="AA212" s="1207" t="e">
        <f t="shared" si="95"/>
        <v>#DIV/0!</v>
      </c>
      <c r="AB212" s="1208" t="e">
        <f t="shared" si="95"/>
        <v>#DIV/0!</v>
      </c>
      <c r="AC212" s="1186"/>
      <c r="AD212" s="1172"/>
    </row>
    <row r="213" spans="2:30" ht="39" thickBot="1" x14ac:dyDescent="0.25">
      <c r="B213" s="2152" t="str">
        <f>'TRAD-Adults YEAR(1)'!B96</f>
        <v>Initiation NVP</v>
      </c>
      <c r="C213" s="1189" t="str">
        <f>'TRAD-Adults YEAR(1)'!B98</f>
        <v>Besoins pour initiation NVP sans SS</v>
      </c>
      <c r="D213" s="1203">
        <f>IF('Data &amp; hypothesis Adults'!D184="X", 'Adults YEAR1'!AD181*0.25, "0")*$D$6</f>
        <v>0</v>
      </c>
      <c r="E213" s="1203"/>
      <c r="F213" s="1582"/>
      <c r="G213" s="1203">
        <f>IF('Data &amp; hypothesis Adults'!D184="X", 'Adults YEAR1'!AD181*0.25, IF('Data &amp; hypothesis Adults'!D185="X", 'Adults YEAR1'!AD181*0.5, "0"))*$D$6</f>
        <v>0</v>
      </c>
      <c r="H213" s="1582"/>
      <c r="I213" s="1203">
        <f>IF('Data &amp; hypothesis Adults'!D186="X", 'Adults YEAR1'!AD186*0.25, "0")*$D$6</f>
        <v>0</v>
      </c>
      <c r="J213" s="1203">
        <f>IF('Data &amp; hypothesis Adults'!D186="X", 'Adults YEAR1'!AD186*0.25, IF('Data &amp; hypothesis Adults'!D187="X", 'Adults YEAR1'!AD186*0.5, "0"))*$D$6</f>
        <v>0</v>
      </c>
      <c r="K213" s="1203"/>
      <c r="L213" s="1203"/>
      <c r="M213" s="1203"/>
      <c r="N213" s="1203">
        <f>(IF('Data &amp; hypothesis Adults'!D185="X",'Adults YEAR1'!AD181*0.25,"0")+IF('Data &amp; hypothesis Adults'!D187="X",'Adults YEAR1'!AD186*0.25,"0"))*$D$6</f>
        <v>0</v>
      </c>
      <c r="O213" s="1203"/>
      <c r="P213" s="1203"/>
      <c r="Q213" s="1203"/>
      <c r="R213" s="1203"/>
      <c r="S213" s="1203"/>
      <c r="T213" s="1203"/>
      <c r="U213" s="1203"/>
      <c r="V213" s="1203"/>
      <c r="W213" s="1203"/>
      <c r="X213" s="1203"/>
      <c r="Y213" s="1203"/>
      <c r="Z213" s="1203"/>
      <c r="AA213" s="1203"/>
      <c r="AB213" s="1204"/>
      <c r="AC213" s="1186"/>
      <c r="AD213" s="1172"/>
    </row>
    <row r="214" spans="2:30" ht="39" thickBot="1" x14ac:dyDescent="0.25">
      <c r="B214" s="2153"/>
      <c r="C214" s="1189" t="str">
        <f>'TRAD-Adults YEAR(1)'!B99</f>
        <v>Besoins pour initiation NVP avec SS</v>
      </c>
      <c r="D214" s="1209">
        <f>IF('Data &amp; hypothesis Adults'!D184="X", 'Adults YEAR1'!AD181*0.25, "0")*$D$7</f>
        <v>15.450000000000001</v>
      </c>
      <c r="E214" s="1209"/>
      <c r="F214" s="1209"/>
      <c r="G214" s="1209">
        <f>IF('Data &amp; hypothesis Adults'!D184="X", 'Adults YEAR1'!AD181*0.25, IF('Data &amp; hypothesis Adults'!D185="X", 'Adults YEAR1'!AD181*0.5, "0"))*$D$7</f>
        <v>15.450000000000001</v>
      </c>
      <c r="H214" s="1209"/>
      <c r="I214" s="1209">
        <f>IF('Data &amp; hypothesis Adults'!D186="X", 'Adults YEAR1'!AD186*0.25, "0")*$D$7</f>
        <v>0</v>
      </c>
      <c r="J214" s="1209">
        <f>IF('Data &amp; hypothesis Adults'!D186="X", 'Adults YEAR1'!AD186*0.25, IF('Data &amp; hypothesis Adults'!D187="X", 'Adults YEAR1'!AD186*0.5, "0"))*$D$7</f>
        <v>0</v>
      </c>
      <c r="K214" s="1209"/>
      <c r="L214" s="1209"/>
      <c r="M214" s="1209"/>
      <c r="N214" s="1209">
        <f>(IF('Data &amp; hypothesis Adults'!D185="X",'Adults YEAR1'!AD181*0.25,"0")+IF('Data &amp; hypothesis Adults'!D187="X",'Adults YEAR1'!AD186*0.25,"0"))*$D$7</f>
        <v>0</v>
      </c>
      <c r="O214" s="1209"/>
      <c r="P214" s="1209"/>
      <c r="Q214" s="1209"/>
      <c r="R214" s="1209"/>
      <c r="S214" s="1209"/>
      <c r="T214" s="1209"/>
      <c r="U214" s="1209"/>
      <c r="V214" s="1209"/>
      <c r="W214" s="1209"/>
      <c r="X214" s="1209"/>
      <c r="Y214" s="1209"/>
      <c r="Z214" s="1209"/>
      <c r="AA214" s="1209"/>
      <c r="AB214" s="1210"/>
      <c r="AC214" s="1186"/>
      <c r="AD214" s="1172"/>
    </row>
    <row r="215" spans="2:30" ht="26.25" customHeight="1" thickBot="1" x14ac:dyDescent="0.25">
      <c r="B215" s="2157" t="str">
        <f>'TRAD-Adults YEAR(1)'!B97</f>
        <v>Défalcation retrait du passage en 2ème sur les 1ères lignes (ATTENTION négatif)</v>
      </c>
      <c r="C215" s="1189" t="str">
        <f>'TRAD-Adults YEAR(1)'!B100</f>
        <v>Défalcation sans SS</v>
      </c>
      <c r="D215" s="1203" t="str">
        <f>IF('Data &amp; hypothesis Adults'!$G$124="X", SUMIF(D181:D198, "X", $AF181:$AF198)*$I$6*'Data &amp; hypothesis Adults'!$G$126*D177, "0")</f>
        <v>0</v>
      </c>
      <c r="E215" s="1203" t="str">
        <f>IF('Data &amp; hypothesis Adults'!$G$124="X", SUMIF(E181:E198, "X", $AF181:$AF198)*$I$6*'Data &amp; hypothesis Adults'!$G$126*E177, "0")</f>
        <v>0</v>
      </c>
      <c r="F215" s="1203" t="str">
        <f>IF('Data &amp; hypothesis Adults'!$G$124="X", SUMIF(F181:F198, "X", $AF181:$AF198)*$I$6*'Data &amp; hypothesis Adults'!$G$126*F177, "0")</f>
        <v>0</v>
      </c>
      <c r="G215" s="1203" t="str">
        <f>IF('Data &amp; hypothesis Adults'!$G$124="X", SUMIF(G181:G198, "X", $AF181:$AF198)*$I$6*'Data &amp; hypothesis Adults'!$G$126*G177, "0")</f>
        <v>0</v>
      </c>
      <c r="H215" s="1203" t="str">
        <f>IF('Data &amp; hypothesis Adults'!$G$124="X", SUMIF(H181:H198, "X", $AF181:$AF198)*$I$6*'Data &amp; hypothesis Adults'!$G$126*H177, "0")</f>
        <v>0</v>
      </c>
      <c r="I215" s="1203" t="str">
        <f>IF('Data &amp; hypothesis Adults'!$G$124="X", SUMIF(I181:I198, "X", $AF181:$AF198)*$I$6*'Data &amp; hypothesis Adults'!$G$126*I177, "0")</f>
        <v>0</v>
      </c>
      <c r="J215" s="1203" t="str">
        <f>IF('Data &amp; hypothesis Adults'!$G$124="X", SUMIF(J181:J198, "X", $AF181:$AF198)*$I$6*'Data &amp; hypothesis Adults'!$G$126*J177, "0")</f>
        <v>0</v>
      </c>
      <c r="K215" s="1203" t="str">
        <f>IF('Data &amp; hypothesis Adults'!$G$124="X", SUMIF(K181:K198, "X", $AF181:$AF198)*$I$6*'Data &amp; hypothesis Adults'!$G$126*K177, "0")</f>
        <v>0</v>
      </c>
      <c r="L215" s="1203" t="str">
        <f>IF('Data &amp; hypothesis Adults'!$G$124="X", SUMIF(L181:L198, "X", $AF181:$AF198)*$I$6*'Data &amp; hypothesis Adults'!$G$126*L177, "0")</f>
        <v>0</v>
      </c>
      <c r="M215" s="1203" t="str">
        <f>IF('Data &amp; hypothesis Adults'!$G$124="X", SUMIF(M181:M198, "X", $AF181:$AF198)*$I$6*'Data &amp; hypothesis Adults'!$G$126*M177, "0")</f>
        <v>0</v>
      </c>
      <c r="N215" s="1203" t="str">
        <f>IF('Data &amp; hypothesis Adults'!$G$124="X", SUMIF(N181:N198, "X", $AF181:$AF198)*$I$6*'Data &amp; hypothesis Adults'!$G$126*N177, "0")</f>
        <v>0</v>
      </c>
      <c r="O215" s="1203" t="str">
        <f>IF('Data &amp; hypothesis Adults'!$G$124="X", SUMIF(O181:O198, "X", $AF181:$AF198)*$I$6*'Data &amp; hypothesis Adults'!$G$126*O177, "0")</f>
        <v>0</v>
      </c>
      <c r="P215" s="1203" t="str">
        <f>IF('Data &amp; hypothesis Adults'!$G$124="X", SUMIF(P181:P198, "X", $AF181:$AF198)*$I$6*'Data &amp; hypothesis Adults'!$G$126*P177, "0")</f>
        <v>0</v>
      </c>
      <c r="Q215" s="1203" t="str">
        <f>IF('Data &amp; hypothesis Adults'!$G$124="X", SUMIF(Q181:Q198, "X", $AF181:$AF198)*$I$6*'Data &amp; hypothesis Adults'!$G$126*Q177, "0")</f>
        <v>0</v>
      </c>
      <c r="R215" s="1203" t="str">
        <f>IF('Data &amp; hypothesis Adults'!$G$124="X", SUMIF(R181:R198, "X", $AF181:$AF198)*$I$6*'Data &amp; hypothesis Adults'!$G$126*R177, "0")</f>
        <v>0</v>
      </c>
      <c r="S215" s="1203" t="str">
        <f>IF('Data &amp; hypothesis Adults'!$G$124="X", SUMIF(S181:S198, "X", $AF181:$AF198)*$I$6*'Data &amp; hypothesis Adults'!$G$126*S177, "0")</f>
        <v>0</v>
      </c>
      <c r="T215" s="1203" t="str">
        <f>IF('Data &amp; hypothesis Adults'!$G$124="X", SUMIF(T181:T198, "X", $AF181:$AF198)*$I$6*'Data &amp; hypothesis Adults'!$G$126*T177, "0")</f>
        <v>0</v>
      </c>
      <c r="U215" s="1203" t="str">
        <f>IF('Data &amp; hypothesis Adults'!$G$124="X", SUMIF(U181:U198, "X", $AF181:$AF198)*$I$6*'Data &amp; hypothesis Adults'!$G$126*U177, "0")</f>
        <v>0</v>
      </c>
      <c r="V215" s="1203" t="str">
        <f>IF('Data &amp; hypothesis Adults'!$G$124="X", SUMIF(V181:V198, "X", $AF181:$AF198)*$I$6*'Data &amp; hypothesis Adults'!$G$126*V177, "0")</f>
        <v>0</v>
      </c>
      <c r="W215" s="1203" t="str">
        <f>IF('Data &amp; hypothesis Adults'!$G$124="X", SUMIF(W181:W198, "X", $AF181:$AF198)*$I$6*'Data &amp; hypothesis Adults'!$G$126*W177, "0")</f>
        <v>0</v>
      </c>
      <c r="X215" s="1203" t="str">
        <f>IF('Data &amp; hypothesis Adults'!$G$124="X", SUMIF(X181:X198, "X", $AF181:$AF198)*$I$6*'Data &amp; hypothesis Adults'!$G$126*X177, "0")</f>
        <v>0</v>
      </c>
      <c r="Y215" s="1203" t="str">
        <f>IF('Data &amp; hypothesis Adults'!$G$124="X", SUMIF(Y181:Y198, "X", $AF181:$AF198)*$I$6*'Data &amp; hypothesis Adults'!$G$126*Y177, "0")</f>
        <v>0</v>
      </c>
      <c r="Z215" s="1203" t="str">
        <f>IF('Data &amp; hypothesis Adults'!$G$124="X", SUMIF(Z181:Z198, "X", $AF181:$AF198)*$I$6*'Data &amp; hypothesis Adults'!$G$126*Z177, "0")</f>
        <v>0</v>
      </c>
      <c r="AA215" s="1203" t="str">
        <f>IF('Data &amp; hypothesis Adults'!$G$124="X", SUMIF(AA181:AA198, "X", $AF181:$AF198)*$I$6*'Data &amp; hypothesis Adults'!$G$126*AA177, "0")</f>
        <v>0</v>
      </c>
      <c r="AB215" s="1204" t="str">
        <f>IF('Data &amp; hypothesis Adults'!$G$124="X", SUMIF(AB181:AB198, "X", $AF181:$AF198)*$I$6*'Data &amp; hypothesis Adults'!$G$126*AB177, "0")</f>
        <v>0</v>
      </c>
      <c r="AC215" s="1186"/>
      <c r="AD215" s="1172"/>
    </row>
    <row r="216" spans="2:30" ht="13.5" customHeight="1" thickBot="1" x14ac:dyDescent="0.25">
      <c r="B216" s="2158"/>
      <c r="C216" s="1189" t="str">
        <f>'TRAD-Adults YEAR(1)'!B101</f>
        <v>Défalcation avec SS</v>
      </c>
      <c r="D216" s="1207" t="str">
        <f>IF('Data &amp; hypothesis Adults'!$G$124="X", SUMIF(D181:D198, "X", $AF181:$AF198)*$I$7*'Data &amp; hypothesis Adults'!$G$126*D177, "0")</f>
        <v>0</v>
      </c>
      <c r="E216" s="1207" t="str">
        <f>IF('Data &amp; hypothesis Adults'!$G$124="X", SUMIF(E181:E198, "X", $AF181:$AF198)*$I$7*'Data &amp; hypothesis Adults'!$G$126*E177, "0")</f>
        <v>0</v>
      </c>
      <c r="F216" s="1207" t="str">
        <f>IF('Data &amp; hypothesis Adults'!$G$124="X", SUMIF(F181:F198, "X", $AF181:$AF198)*$I$7*'Data &amp; hypothesis Adults'!$G$126*F177, "0")</f>
        <v>0</v>
      </c>
      <c r="G216" s="1207" t="str">
        <f>IF('Data &amp; hypothesis Adults'!$G$124="X", SUMIF(G181:G198, "X", $AF181:$AF198)*$I$7*'Data &amp; hypothesis Adults'!$G$126*G177, "0")</f>
        <v>0</v>
      </c>
      <c r="H216" s="1207" t="str">
        <f>IF('Data &amp; hypothesis Adults'!$G$124="X", SUMIF(H181:H198, "X", $AF181:$AF198)*$I$7*'Data &amp; hypothesis Adults'!$G$126*H177, "0")</f>
        <v>0</v>
      </c>
      <c r="I216" s="1207" t="str">
        <f>IF('Data &amp; hypothesis Adults'!$G$124="X", SUMIF(I181:I198, "X", $AF181:$AF198)*$I$7*'Data &amp; hypothesis Adults'!$G$126*I177, "0")</f>
        <v>0</v>
      </c>
      <c r="J216" s="1207" t="str">
        <f>IF('Data &amp; hypothesis Adults'!$G$124="X", SUMIF(J181:J198, "X", $AF181:$AF198)*$I$7*'Data &amp; hypothesis Adults'!$G$126*J177, "0")</f>
        <v>0</v>
      </c>
      <c r="K216" s="1207" t="str">
        <f>IF('Data &amp; hypothesis Adults'!$G$124="X", SUMIF(K181:K198, "X", $AF181:$AF198)*$I$7*'Data &amp; hypothesis Adults'!$G$126*K177, "0")</f>
        <v>0</v>
      </c>
      <c r="L216" s="1207" t="str">
        <f>IF('Data &amp; hypothesis Adults'!$G$124="X", SUMIF(L181:L198, "X", $AF181:$AF198)*$I$7*'Data &amp; hypothesis Adults'!$G$126*L177, "0")</f>
        <v>0</v>
      </c>
      <c r="M216" s="1207" t="str">
        <f>IF('Data &amp; hypothesis Adults'!$G$124="X", SUMIF(M181:M198, "X", $AF181:$AF198)*$I$7*'Data &amp; hypothesis Adults'!$G$126*M177, "0")</f>
        <v>0</v>
      </c>
      <c r="N216" s="1207" t="str">
        <f>IF('Data &amp; hypothesis Adults'!$G$124="X", SUMIF(N181:N198, "X", $AF181:$AF198)*$I$7*'Data &amp; hypothesis Adults'!$G$126*N177, "0")</f>
        <v>0</v>
      </c>
      <c r="O216" s="1207" t="str">
        <f>IF('Data &amp; hypothesis Adults'!$G$124="X", SUMIF(O181:O198, "X", $AF181:$AF198)*$I$7*'Data &amp; hypothesis Adults'!$G$126*O177, "0")</f>
        <v>0</v>
      </c>
      <c r="P216" s="1207" t="str">
        <f>IF('Data &amp; hypothesis Adults'!$G$124="X", SUMIF(P181:P198, "X", $AF181:$AF198)*$I$7*'Data &amp; hypothesis Adults'!$G$126*P177, "0")</f>
        <v>0</v>
      </c>
      <c r="Q216" s="1207" t="str">
        <f>IF('Data &amp; hypothesis Adults'!$G$124="X", SUMIF(Q181:Q198, "X", $AF181:$AF198)*$I$7*'Data &amp; hypothesis Adults'!$G$126*Q177, "0")</f>
        <v>0</v>
      </c>
      <c r="R216" s="1207" t="str">
        <f>IF('Data &amp; hypothesis Adults'!$G$124="X", SUMIF(R181:R198, "X", $AF181:$AF198)*$I$7*'Data &amp; hypothesis Adults'!$G$126*R177, "0")</f>
        <v>0</v>
      </c>
      <c r="S216" s="1207" t="str">
        <f>IF('Data &amp; hypothesis Adults'!$G$124="X", SUMIF(S181:S198, "X", $AF181:$AF198)*$I$7*'Data &amp; hypothesis Adults'!$G$126*S177, "0")</f>
        <v>0</v>
      </c>
      <c r="T216" s="1207" t="str">
        <f>IF('Data &amp; hypothesis Adults'!$G$124="X", SUMIF(T181:T198, "X", $AF181:$AF198)*$I$7*'Data &amp; hypothesis Adults'!$G$126*T177, "0")</f>
        <v>0</v>
      </c>
      <c r="U216" s="1207" t="str">
        <f>IF('Data &amp; hypothesis Adults'!$G$124="X", SUMIF(U181:U198, "X", $AF181:$AF198)*$I$7*'Data &amp; hypothesis Adults'!$G$126*U177, "0")</f>
        <v>0</v>
      </c>
      <c r="V216" s="1207" t="str">
        <f>IF('Data &amp; hypothesis Adults'!$G$124="X", SUMIF(V181:V198, "X", $AF181:$AF198)*$I$7*'Data &amp; hypothesis Adults'!$G$126*V177, "0")</f>
        <v>0</v>
      </c>
      <c r="W216" s="1207" t="str">
        <f>IF('Data &amp; hypothesis Adults'!$G$124="X", SUMIF(W181:W198, "X", $AF181:$AF198)*$I$7*'Data &amp; hypothesis Adults'!$G$126*W177, "0")</f>
        <v>0</v>
      </c>
      <c r="X216" s="1207" t="str">
        <f>IF('Data &amp; hypothesis Adults'!$G$124="X", SUMIF(X181:X198, "X", $AF181:$AF198)*$I$7*'Data &amp; hypothesis Adults'!$G$126*X177, "0")</f>
        <v>0</v>
      </c>
      <c r="Y216" s="1207" t="str">
        <f>IF('Data &amp; hypothesis Adults'!$G$124="X", SUMIF(Y181:Y198, "X", $AF181:$AF198)*$I$7*'Data &amp; hypothesis Adults'!$G$126*Y177, "0")</f>
        <v>0</v>
      </c>
      <c r="Z216" s="1207" t="str">
        <f>IF('Data &amp; hypothesis Adults'!$G$124="X", SUMIF(Z181:Z198, "X", $AF181:$AF198)*$I$7*'Data &amp; hypothesis Adults'!$G$126*Z177, "0")</f>
        <v>0</v>
      </c>
      <c r="AA216" s="1207" t="str">
        <f>IF('Data &amp; hypothesis Adults'!$G$124="X", SUMIF(AA181:AA198, "X", $AF181:$AF198)*$I$7*'Data &amp; hypothesis Adults'!$G$126*AA177, "0")</f>
        <v>0</v>
      </c>
      <c r="AB216" s="1208" t="str">
        <f>IF('Data &amp; hypothesis Adults'!$G$124="X", SUMIF(AB181:AB198, "X", $AF181:$AF198)*$I$7*'Data &amp; hypothesis Adults'!$G$126*AB177, "0")</f>
        <v>0</v>
      </c>
      <c r="AC216" s="1186"/>
      <c r="AD216" s="1172"/>
    </row>
    <row r="217" spans="2:30" ht="26.25" thickBot="1" x14ac:dyDescent="0.3">
      <c r="B217" s="1170" t="s">
        <v>6</v>
      </c>
      <c r="C217" s="1189" t="str">
        <f>'TRAD-Adults YEAR(1)'!B102</f>
        <v>Besoins totaux hors SS</v>
      </c>
      <c r="D217" s="1191">
        <f>D201+D206+D211+D213-D215</f>
        <v>0</v>
      </c>
      <c r="E217" s="1191">
        <f t="shared" ref="E217:AB218" si="98">E201+E206+E211+E213-E215</f>
        <v>0</v>
      </c>
      <c r="F217" s="1191">
        <f t="shared" ref="F217" si="99">F201+F206+F211+F213-F215</f>
        <v>0</v>
      </c>
      <c r="G217" s="1191">
        <f t="shared" si="98"/>
        <v>0</v>
      </c>
      <c r="H217" s="1191">
        <f t="shared" ref="H217" si="100">H201+H206+H211+H213-H215</f>
        <v>0</v>
      </c>
      <c r="I217" s="1191">
        <f t="shared" si="98"/>
        <v>0</v>
      </c>
      <c r="J217" s="1191">
        <f t="shared" si="98"/>
        <v>0</v>
      </c>
      <c r="K217" s="1191">
        <f t="shared" si="98"/>
        <v>0</v>
      </c>
      <c r="L217" s="1191" t="e">
        <f t="shared" si="98"/>
        <v>#DIV/0!</v>
      </c>
      <c r="M217" s="1191">
        <f t="shared" si="98"/>
        <v>0</v>
      </c>
      <c r="N217" s="1191">
        <f t="shared" si="98"/>
        <v>0</v>
      </c>
      <c r="O217" s="1191">
        <f t="shared" si="98"/>
        <v>0</v>
      </c>
      <c r="P217" s="1191" t="e">
        <f t="shared" si="98"/>
        <v>#DIV/0!</v>
      </c>
      <c r="Q217" s="1191" t="e">
        <f t="shared" si="98"/>
        <v>#DIV/0!</v>
      </c>
      <c r="R217" s="1191" t="e">
        <f t="shared" si="98"/>
        <v>#DIV/0!</v>
      </c>
      <c r="S217" s="1191" t="e">
        <f t="shared" si="98"/>
        <v>#DIV/0!</v>
      </c>
      <c r="T217" s="1191" t="e">
        <f t="shared" si="98"/>
        <v>#DIV/0!</v>
      </c>
      <c r="U217" s="1191" t="e">
        <f t="shared" si="98"/>
        <v>#DIV/0!</v>
      </c>
      <c r="V217" s="1191" t="e">
        <f t="shared" si="98"/>
        <v>#DIV/0!</v>
      </c>
      <c r="W217" s="1191" t="e">
        <f t="shared" si="98"/>
        <v>#DIV/0!</v>
      </c>
      <c r="X217" s="1191" t="e">
        <f t="shared" si="98"/>
        <v>#DIV/0!</v>
      </c>
      <c r="Y217" s="1191" t="e">
        <f t="shared" si="98"/>
        <v>#DIV/0!</v>
      </c>
      <c r="Z217" s="1191" t="e">
        <f t="shared" si="98"/>
        <v>#DIV/0!</v>
      </c>
      <c r="AA217" s="1191" t="e">
        <f t="shared" si="98"/>
        <v>#DIV/0!</v>
      </c>
      <c r="AB217" s="1191" t="e">
        <f t="shared" si="98"/>
        <v>#DIV/0!</v>
      </c>
      <c r="AC217" s="1172"/>
      <c r="AD217" s="1172"/>
    </row>
    <row r="218" spans="2:30" ht="26.25" thickBot="1" x14ac:dyDescent="0.25">
      <c r="B218"/>
      <c r="C218" s="1189" t="str">
        <f>'TRAD-Adults YEAR(1)'!B103</f>
        <v>Besoins totaux avec SS</v>
      </c>
      <c r="D218" s="1191">
        <f>D202+D207+D212+D214-D216</f>
        <v>30185.278930184733</v>
      </c>
      <c r="E218" s="1180">
        <f t="shared" si="98"/>
        <v>219.84437622854296</v>
      </c>
      <c r="F218" s="1180">
        <f t="shared" ref="F218" si="101">F202+F207+F212+F214-F216</f>
        <v>0</v>
      </c>
      <c r="G218" s="1180">
        <f t="shared" si="98"/>
        <v>5841.7599139515978</v>
      </c>
      <c r="H218" s="1180">
        <f t="shared" ref="H218" si="102">H202+H207+H212+H214-H216</f>
        <v>191.35245996032751</v>
      </c>
      <c r="I218" s="1180">
        <f t="shared" si="98"/>
        <v>0</v>
      </c>
      <c r="J218" s="1180">
        <f t="shared" si="98"/>
        <v>0</v>
      </c>
      <c r="K218" s="1180">
        <f t="shared" si="98"/>
        <v>16805.611195491594</v>
      </c>
      <c r="L218" s="1180" t="e">
        <f t="shared" si="98"/>
        <v>#DIV/0!</v>
      </c>
      <c r="M218" s="1180">
        <f t="shared" si="98"/>
        <v>4018.5752367249625</v>
      </c>
      <c r="N218" s="1180">
        <f t="shared" si="98"/>
        <v>0</v>
      </c>
      <c r="O218" s="1180">
        <f t="shared" si="98"/>
        <v>0</v>
      </c>
      <c r="P218" s="1180" t="e">
        <f t="shared" si="98"/>
        <v>#DIV/0!</v>
      </c>
      <c r="Q218" s="1180" t="e">
        <f t="shared" si="98"/>
        <v>#DIV/0!</v>
      </c>
      <c r="R218" s="1180" t="e">
        <f t="shared" si="98"/>
        <v>#DIV/0!</v>
      </c>
      <c r="S218" s="1180" t="e">
        <f t="shared" si="98"/>
        <v>#DIV/0!</v>
      </c>
      <c r="T218" s="1180" t="e">
        <f t="shared" si="98"/>
        <v>#DIV/0!</v>
      </c>
      <c r="U218" s="1180" t="e">
        <f t="shared" si="98"/>
        <v>#DIV/0!</v>
      </c>
      <c r="V218" s="1180" t="e">
        <f t="shared" si="98"/>
        <v>#DIV/0!</v>
      </c>
      <c r="W218" s="1180" t="e">
        <f t="shared" si="98"/>
        <v>#DIV/0!</v>
      </c>
      <c r="X218" s="1180" t="e">
        <f t="shared" si="98"/>
        <v>#DIV/0!</v>
      </c>
      <c r="Y218" s="1180" t="e">
        <f t="shared" si="98"/>
        <v>#DIV/0!</v>
      </c>
      <c r="Z218" s="1180" t="e">
        <f t="shared" si="98"/>
        <v>#DIV/0!</v>
      </c>
      <c r="AA218" s="1180" t="e">
        <f t="shared" si="98"/>
        <v>#DIV/0!</v>
      </c>
      <c r="AB218" s="1180" t="e">
        <f t="shared" si="98"/>
        <v>#DIV/0!</v>
      </c>
      <c r="AC218" s="1172"/>
      <c r="AD218" s="1172"/>
    </row>
    <row r="219" spans="2:30" ht="38.25" x14ac:dyDescent="0.2">
      <c r="B219"/>
      <c r="C219" s="1189" t="str">
        <f>'TRAD-Adults YEAR(1)'!B104</f>
        <v>Quantités nécessaire sur le SS</v>
      </c>
      <c r="D219" s="1181">
        <f>D218-D217</f>
        <v>30185.278930184733</v>
      </c>
      <c r="E219" s="1181">
        <f t="shared" ref="E219:AB219" si="103">E218-E217</f>
        <v>219.84437622854296</v>
      </c>
      <c r="F219" s="1181">
        <f t="shared" ref="F219" si="104">F218-F217</f>
        <v>0</v>
      </c>
      <c r="G219" s="1181">
        <f t="shared" si="103"/>
        <v>5841.7599139515978</v>
      </c>
      <c r="H219" s="1181">
        <f t="shared" ref="H219" si="105">H218-H217</f>
        <v>191.35245996032751</v>
      </c>
      <c r="I219" s="1181">
        <f t="shared" si="103"/>
        <v>0</v>
      </c>
      <c r="J219" s="1181">
        <f t="shared" si="103"/>
        <v>0</v>
      </c>
      <c r="K219" s="1181">
        <f t="shared" si="103"/>
        <v>16805.611195491594</v>
      </c>
      <c r="L219" s="1181" t="e">
        <f t="shared" si="103"/>
        <v>#DIV/0!</v>
      </c>
      <c r="M219" s="1181">
        <f t="shared" si="103"/>
        <v>4018.5752367249625</v>
      </c>
      <c r="N219" s="1181">
        <f t="shared" si="103"/>
        <v>0</v>
      </c>
      <c r="O219" s="1181">
        <f t="shared" si="103"/>
        <v>0</v>
      </c>
      <c r="P219" s="1181" t="e">
        <f t="shared" si="103"/>
        <v>#DIV/0!</v>
      </c>
      <c r="Q219" s="1181" t="e">
        <f t="shared" si="103"/>
        <v>#DIV/0!</v>
      </c>
      <c r="R219" s="1181" t="e">
        <f t="shared" si="103"/>
        <v>#DIV/0!</v>
      </c>
      <c r="S219" s="1181" t="e">
        <f t="shared" si="103"/>
        <v>#DIV/0!</v>
      </c>
      <c r="T219" s="1181" t="e">
        <f t="shared" si="103"/>
        <v>#DIV/0!</v>
      </c>
      <c r="U219" s="1181" t="e">
        <f t="shared" si="103"/>
        <v>#DIV/0!</v>
      </c>
      <c r="V219" s="1181" t="e">
        <f t="shared" si="103"/>
        <v>#DIV/0!</v>
      </c>
      <c r="W219" s="1181" t="e">
        <f t="shared" si="103"/>
        <v>#DIV/0!</v>
      </c>
      <c r="X219" s="1181" t="e">
        <f t="shared" si="103"/>
        <v>#DIV/0!</v>
      </c>
      <c r="Y219" s="1181" t="e">
        <f t="shared" si="103"/>
        <v>#DIV/0!</v>
      </c>
      <c r="Z219" s="1181" t="e">
        <f t="shared" si="103"/>
        <v>#DIV/0!</v>
      </c>
      <c r="AA219" s="1181" t="e">
        <f t="shared" si="103"/>
        <v>#DIV/0!</v>
      </c>
      <c r="AB219" s="1181" t="e">
        <f t="shared" si="103"/>
        <v>#DIV/0!</v>
      </c>
      <c r="AC219" s="1172"/>
      <c r="AD219" s="1172"/>
    </row>
    <row r="220" spans="2:30" x14ac:dyDescent="0.2">
      <c r="B220"/>
      <c r="C220" s="1248"/>
      <c r="D220" s="1249"/>
      <c r="E220" s="1249"/>
      <c r="F220" s="1249"/>
      <c r="G220" s="1249"/>
      <c r="H220" s="1249"/>
      <c r="I220" s="1249"/>
      <c r="J220" s="1249"/>
      <c r="K220" s="1249"/>
      <c r="L220" s="1249"/>
      <c r="M220" s="1249"/>
      <c r="N220" s="1249"/>
      <c r="O220" s="1249"/>
      <c r="P220" s="1249"/>
      <c r="Q220" s="1249"/>
      <c r="R220" s="1249"/>
      <c r="S220" s="1249"/>
      <c r="T220" s="1249"/>
      <c r="U220" s="1249"/>
      <c r="V220" s="1249"/>
      <c r="W220" s="1249"/>
      <c r="X220" s="1249"/>
      <c r="Y220" s="1249"/>
      <c r="Z220" s="1249"/>
      <c r="AA220" s="1249"/>
      <c r="AB220" s="1249"/>
      <c r="AC220" s="497"/>
      <c r="AD220" s="497"/>
    </row>
    <row r="222" spans="2:30" ht="15" x14ac:dyDescent="0.2">
      <c r="B222" s="2143" t="str">
        <f>'TRAD-Adults YEAR(1)'!B105</f>
        <v>Synthèse</v>
      </c>
      <c r="C222" s="2143"/>
      <c r="D222" s="2143"/>
      <c r="E222" s="2143"/>
      <c r="F222" s="2143"/>
      <c r="G222" s="1158"/>
      <c r="H222" s="1158"/>
      <c r="I222" s="1158"/>
      <c r="J222" s="1158"/>
      <c r="K222" s="1158"/>
      <c r="L222" s="2143"/>
      <c r="M222" s="2143"/>
      <c r="N222" s="1158"/>
    </row>
    <row r="223" spans="2:30" ht="13.5" thickBot="1" x14ac:dyDescent="0.25"/>
    <row r="224" spans="2:30" ht="13.5" thickBot="1" x14ac:dyDescent="0.25">
      <c r="I224" s="803"/>
      <c r="J224" s="2141" t="str">
        <f>'TRAD-Adults YEAR(1)'!B113</f>
        <v>Calculs SANS marge de sécurité</v>
      </c>
      <c r="K224" s="2142"/>
      <c r="L224" s="2142"/>
      <c r="M224" s="2142"/>
      <c r="N224" s="2142"/>
      <c r="O224" s="2142"/>
      <c r="P224" s="2141" t="str">
        <f>'TRAD-Adults YEAR(1)'!B121</f>
        <v>Calculs AVEC marge de sécurité</v>
      </c>
      <c r="Q224" s="2142"/>
      <c r="R224" s="2142"/>
      <c r="S224" s="2142"/>
      <c r="T224" s="2142"/>
      <c r="U224" s="2142"/>
      <c r="V224" s="2155" t="str">
        <f>'TRAD-Adults YEAR(1)'!B124</f>
        <v>MARGE</v>
      </c>
      <c r="W224" s="2156"/>
    </row>
    <row r="225" spans="2:23" ht="77.25" thickBot="1" x14ac:dyDescent="0.25">
      <c r="B225" s="294"/>
      <c r="C225" s="295" t="str">
        <f>'TRAD-Adults YEAR(1)'!B106</f>
        <v>Composition</v>
      </c>
      <c r="D225" s="296" t="str">
        <f>'TRAD-Adults YEAR(1)'!B107</f>
        <v>Nom du médicament</v>
      </c>
      <c r="E225" s="296" t="str">
        <f>'TRAD-Adults YEAR(1)'!B108</f>
        <v>Forme galénique</v>
      </c>
      <c r="F225" s="296" t="str">
        <f>'TRAD-Adults YEAR(1)'!B109</f>
        <v>Dosage</v>
      </c>
      <c r="G225" s="296" t="str">
        <f>'TRAD-Adults YEAR(1)'!B110</f>
        <v>Nb d'unités de prise / boite</v>
      </c>
      <c r="H225" s="296" t="str">
        <f>'TRAD-Adults YEAR(1)'!B111</f>
        <v>Nb de prise / mois / patient</v>
      </c>
      <c r="I225" s="297" t="str">
        <f>'TRAD-Adults YEAR(1)'!B112</f>
        <v>Nb de boite / mois / patient</v>
      </c>
      <c r="J225" s="438" t="str">
        <f>'TRAD-Adults YEAR(1)'!B114</f>
        <v>Qtés de boites pour les patients présents en début de période</v>
      </c>
      <c r="K225" s="300" t="str">
        <f>'TRAD-Adults YEAR(1)'!B115</f>
        <v>Qtés de boites pour les Initiations</v>
      </c>
      <c r="L225" s="300" t="str">
        <f>'TRAD-Adults YEAR(1)'!B116</f>
        <v>Qtés de boites pour initiation NVP</v>
      </c>
      <c r="M225" s="299" t="str">
        <f>'TRAD-Adults YEAR(1)'!B117</f>
        <v>Passage en 2ème ligne Entrées</v>
      </c>
      <c r="N225" s="299" t="str">
        <f>'TRAD-Adults YEAR(1)'!B118</f>
        <v>Passage en 2ème ligne - Défalcation 1ère ligne [1]</v>
      </c>
      <c r="O225" s="805" t="str">
        <f>'TRAD-Adults YEAR(1)'!B119</f>
        <v>TOTAL (nb de boites)</v>
      </c>
      <c r="P225" s="438" t="str">
        <f>'TRAD-Adults YEAR(1)'!B114</f>
        <v>Qtés de boites pour les patients présents en début de période</v>
      </c>
      <c r="Q225" s="300" t="str">
        <f>'TRAD-Adults YEAR(1)'!B115</f>
        <v>Qtés de boites pour les Initiations</v>
      </c>
      <c r="R225" s="300" t="str">
        <f>'TRAD-Adults YEAR(1)'!B116</f>
        <v>Qtés de boites pour initiation NVP</v>
      </c>
      <c r="S225" s="299" t="str">
        <f>'TRAD-Adults YEAR(1)'!B117</f>
        <v>Passage en 2ème ligne Entrées</v>
      </c>
      <c r="T225" s="299" t="str">
        <f>'TRAD-Adults YEAR(1)'!B118</f>
        <v>Passage en 2ème ligne - Défalcation 1ère ligne [1]</v>
      </c>
      <c r="U225" s="805" t="str">
        <f>'TRAD-Adults YEAR(1)'!B122</f>
        <v>TOTAL + Marge période définie (nb de boites)</v>
      </c>
      <c r="V225" s="806" t="str">
        <f>'TRAD-Adults YEAR(1)'!B123</f>
        <v>Marge période définie (nb de boites)</v>
      </c>
      <c r="W225" s="837" t="str">
        <f>'TRAD-Adults YEAR(1)'!B131</f>
        <v>Différence de marge / année précédente</v>
      </c>
    </row>
    <row r="226" spans="2:23" x14ac:dyDescent="0.2">
      <c r="B226" s="807" t="s">
        <v>75</v>
      </c>
      <c r="C226" s="305" t="s">
        <v>7</v>
      </c>
      <c r="D226" s="305" t="s">
        <v>76</v>
      </c>
      <c r="E226" s="305" t="s">
        <v>521</v>
      </c>
      <c r="F226" s="1242" t="str">
        <f>'Data &amp; hypothesis Adults'!G228</f>
        <v>300/150/200 mg</v>
      </c>
      <c r="G226" s="1236">
        <f>'Data &amp; hypothesis Adults'!H228</f>
        <v>60</v>
      </c>
      <c r="H226" s="1236">
        <f>'Data &amp; hypothesis Adults'!J228</f>
        <v>60</v>
      </c>
      <c r="I226" s="1211">
        <f>'Data &amp; hypothesis Adults'!K228</f>
        <v>1</v>
      </c>
      <c r="J226" s="809">
        <f t="array" ref="J226:J250">TRANSPOSE($D201:$AB201)</f>
        <v>0</v>
      </c>
      <c r="K226" s="809">
        <f t="array" ref="K226:K250">TRANSPOSE($D206:$AB206)</f>
        <v>0</v>
      </c>
      <c r="L226" s="809">
        <f t="array" ref="L226:L250">TRANSPOSE($D213:$AB213)</f>
        <v>0</v>
      </c>
      <c r="M226" s="809">
        <f t="array" ref="M226:M250">TRANSPOSE($D211:$AB211)</f>
        <v>0</v>
      </c>
      <c r="N226" s="809" t="str">
        <f t="array" ref="N226:N250">TRANSPOSE($D215:$AB215)</f>
        <v>0</v>
      </c>
      <c r="O226" s="810">
        <f>ROUNDUP(SUM(J226:M226)-N226, 0)</f>
        <v>0</v>
      </c>
      <c r="P226" s="809">
        <f t="array" ref="P226:P250">TRANSPOSE($D202:$AB202)</f>
        <v>30169.828930184733</v>
      </c>
      <c r="Q226" s="809">
        <f t="array" ref="Q226:Q250">TRANSPOSE($D207:$AB207)</f>
        <v>0</v>
      </c>
      <c r="R226" s="809">
        <f t="array" ref="R226:R250">TRANSPOSE($D214:$AB214)</f>
        <v>15.450000000000001</v>
      </c>
      <c r="S226" s="809">
        <f t="array" ref="S226:S250">TRANSPOSE($D212:$AB212)</f>
        <v>0</v>
      </c>
      <c r="T226" s="809" t="str">
        <f t="array" ref="T226:T250">TRANSPOSE($D216:$AB216)</f>
        <v>0</v>
      </c>
      <c r="U226" s="810">
        <f>ROUNDUP(SUM(P226:S226)-T226, 0)</f>
        <v>30186</v>
      </c>
      <c r="V226" s="811">
        <f t="shared" ref="V226:V250" si="106">IF((U226-O226)&gt;0, (U226-O226), "0")</f>
        <v>30186</v>
      </c>
      <c r="W226" s="810" t="str">
        <f>IF((V226-'Adults YEAR3'!V226)&gt;0, (V226-'Adults YEAR3'!V226), "0")</f>
        <v>0</v>
      </c>
    </row>
    <row r="227" spans="2:23" x14ac:dyDescent="0.2">
      <c r="B227" s="812"/>
      <c r="C227" s="314" t="s">
        <v>140</v>
      </c>
      <c r="D227" s="314"/>
      <c r="E227" s="314" t="s">
        <v>521</v>
      </c>
      <c r="F227" s="1243" t="str">
        <f>'Data &amp; hypothesis Adults'!G229</f>
        <v>300/150/300 mg</v>
      </c>
      <c r="G227" s="1237">
        <f>'Data &amp; hypothesis Adults'!H229</f>
        <v>60</v>
      </c>
      <c r="H227" s="1237">
        <f>'Data &amp; hypothesis Adults'!J229</f>
        <v>60</v>
      </c>
      <c r="I227" s="1212">
        <f>'Data &amp; hypothesis Adults'!K229</f>
        <v>1</v>
      </c>
      <c r="J227" s="814">
        <v>0</v>
      </c>
      <c r="K227" s="814">
        <v>0</v>
      </c>
      <c r="L227" s="814">
        <v>0</v>
      </c>
      <c r="M227" s="814">
        <v>0</v>
      </c>
      <c r="N227" s="814" t="str">
        <v>0</v>
      </c>
      <c r="O227" s="815">
        <f t="shared" ref="O227:O250" si="107">ROUNDUP(SUM(J227:M227)-N227, 0)</f>
        <v>0</v>
      </c>
      <c r="P227" s="814">
        <v>219.84437622854296</v>
      </c>
      <c r="Q227" s="814">
        <v>0</v>
      </c>
      <c r="R227" s="814">
        <v>0</v>
      </c>
      <c r="S227" s="814">
        <v>0</v>
      </c>
      <c r="T227" s="814" t="str">
        <v>0</v>
      </c>
      <c r="U227" s="815">
        <f t="shared" ref="U227:U250" si="108">ROUNDUP(SUM(P227:S227)-T227, 0)</f>
        <v>220</v>
      </c>
      <c r="V227" s="825">
        <f t="shared" ref="V227:V230" si="109">IF((U227-O227)&gt;0, (U227-O227), "0")</f>
        <v>220</v>
      </c>
      <c r="W227" s="824" t="str">
        <f>IF((V227-'Adults YEAR3'!V227)&gt;0, (V227-'Adults YEAR3'!V227), "0")</f>
        <v>0</v>
      </c>
    </row>
    <row r="228" spans="2:23" x14ac:dyDescent="0.2">
      <c r="B228" s="812"/>
      <c r="C228" s="314" t="s">
        <v>731</v>
      </c>
      <c r="D228" s="314"/>
      <c r="E228" s="314" t="s">
        <v>729</v>
      </c>
      <c r="F228" s="1243" t="str">
        <f>'Data &amp; hypothesis Adults'!G230</f>
        <v>[300/150]/600 mg</v>
      </c>
      <c r="G228" s="1237">
        <f>'Data &amp; hypothesis Adults'!H230</f>
        <v>60</v>
      </c>
      <c r="H228" s="1237">
        <f>'Data &amp; hypothesis Adults'!J230</f>
        <v>60</v>
      </c>
      <c r="I228" s="1212">
        <f>'Data &amp; hypothesis Adults'!K230</f>
        <v>1</v>
      </c>
      <c r="J228" s="814">
        <v>0</v>
      </c>
      <c r="K228" s="814">
        <v>0</v>
      </c>
      <c r="L228" s="814">
        <v>0</v>
      </c>
      <c r="M228" s="814">
        <v>0</v>
      </c>
      <c r="N228" s="814" t="str">
        <v>0</v>
      </c>
      <c r="O228" s="824">
        <f t="shared" si="107"/>
        <v>0</v>
      </c>
      <c r="P228" s="814">
        <v>0</v>
      </c>
      <c r="Q228" s="814">
        <v>0</v>
      </c>
      <c r="R228" s="814">
        <v>0</v>
      </c>
      <c r="S228" s="814">
        <v>0</v>
      </c>
      <c r="T228" s="814" t="str">
        <v>0</v>
      </c>
      <c r="U228" s="824">
        <f t="shared" si="108"/>
        <v>0</v>
      </c>
      <c r="V228" s="825" t="str">
        <f t="shared" si="109"/>
        <v>0</v>
      </c>
      <c r="W228" s="824" t="str">
        <f>IF((V228-'Adults YEAR3'!V228)&gt;0, (V228-'Adults YEAR3'!V228), "0")</f>
        <v>0</v>
      </c>
    </row>
    <row r="229" spans="2:23" x14ac:dyDescent="0.2">
      <c r="B229" s="817"/>
      <c r="C229" s="323" t="s">
        <v>11</v>
      </c>
      <c r="D229" s="323" t="s">
        <v>78</v>
      </c>
      <c r="E229" s="323" t="s">
        <v>521</v>
      </c>
      <c r="F229" s="1244" t="str">
        <f>'Data &amp; hypothesis Adults'!G231</f>
        <v>300/150 mg</v>
      </c>
      <c r="G229" s="1238">
        <f>'Data &amp; hypothesis Adults'!H231</f>
        <v>60</v>
      </c>
      <c r="H229" s="1238">
        <f>'Data &amp; hypothesis Adults'!J231</f>
        <v>60</v>
      </c>
      <c r="I229" s="1213">
        <f>'Data &amp; hypothesis Adults'!K231</f>
        <v>1</v>
      </c>
      <c r="J229" s="819">
        <v>0</v>
      </c>
      <c r="K229" s="819">
        <v>0</v>
      </c>
      <c r="L229" s="819">
        <v>0</v>
      </c>
      <c r="M229" s="819">
        <v>0</v>
      </c>
      <c r="N229" s="819" t="str">
        <v>0</v>
      </c>
      <c r="O229" s="824">
        <f t="shared" si="107"/>
        <v>0</v>
      </c>
      <c r="P229" s="819">
        <v>5826.309913951598</v>
      </c>
      <c r="Q229" s="819">
        <v>0</v>
      </c>
      <c r="R229" s="819">
        <v>15.450000000000001</v>
      </c>
      <c r="S229" s="819">
        <v>0</v>
      </c>
      <c r="T229" s="819" t="str">
        <v>0</v>
      </c>
      <c r="U229" s="824">
        <f t="shared" si="108"/>
        <v>5842</v>
      </c>
      <c r="V229" s="825">
        <f t="shared" si="109"/>
        <v>5842</v>
      </c>
      <c r="W229" s="824" t="str">
        <f>IF((V229-'Adults YEAR3'!V229)&gt;0, (V229-'Adults YEAR3'!V229), "0")</f>
        <v>0</v>
      </c>
    </row>
    <row r="230" spans="2:23" x14ac:dyDescent="0.2">
      <c r="B230" s="817"/>
      <c r="C230" s="822" t="s">
        <v>586</v>
      </c>
      <c r="D230" s="822"/>
      <c r="E230" s="822" t="s">
        <v>521</v>
      </c>
      <c r="F230" s="1244" t="str">
        <f>'Data &amp; hypothesis Adults'!G232</f>
        <v>600/300 mg</v>
      </c>
      <c r="G230" s="1238">
        <f>'Data &amp; hypothesis Adults'!H232</f>
        <v>30</v>
      </c>
      <c r="H230" s="1238">
        <f>'Data &amp; hypothesis Adults'!J232</f>
        <v>30</v>
      </c>
      <c r="I230" s="1213">
        <f>'Data &amp; hypothesis Adults'!K232</f>
        <v>1</v>
      </c>
      <c r="J230" s="823">
        <v>0</v>
      </c>
      <c r="K230" s="823">
        <v>0</v>
      </c>
      <c r="L230" s="823">
        <v>0</v>
      </c>
      <c r="M230" s="823">
        <v>0</v>
      </c>
      <c r="N230" s="823" t="str">
        <v>0</v>
      </c>
      <c r="O230" s="824">
        <f t="shared" si="107"/>
        <v>0</v>
      </c>
      <c r="P230" s="823">
        <v>191.35245996032751</v>
      </c>
      <c r="Q230" s="823">
        <v>0</v>
      </c>
      <c r="R230" s="823">
        <v>0</v>
      </c>
      <c r="S230" s="823">
        <v>0</v>
      </c>
      <c r="T230" s="823" t="str">
        <v>0</v>
      </c>
      <c r="U230" s="824">
        <f t="shared" si="108"/>
        <v>192</v>
      </c>
      <c r="V230" s="825">
        <f t="shared" si="109"/>
        <v>192</v>
      </c>
      <c r="W230" s="824" t="str">
        <f>IF((V230-'Adults YEAR3'!V230)&gt;0, (V230-'Adults YEAR3'!V230), "0")</f>
        <v>0</v>
      </c>
    </row>
    <row r="231" spans="2:23" x14ac:dyDescent="0.2">
      <c r="B231" s="817"/>
      <c r="C231" s="822" t="s">
        <v>50</v>
      </c>
      <c r="D231" s="822" t="s">
        <v>79</v>
      </c>
      <c r="E231" s="822" t="s">
        <v>521</v>
      </c>
      <c r="F231" s="1245" t="str">
        <f>'Data &amp; hypothesis Adults'!G233</f>
        <v>30/150/200 mg</v>
      </c>
      <c r="G231" s="1239">
        <f>'Data &amp; hypothesis Adults'!H233</f>
        <v>60</v>
      </c>
      <c r="H231" s="1239">
        <f>'Data &amp; hypothesis Adults'!J233</f>
        <v>60</v>
      </c>
      <c r="I231" s="1214">
        <f>'Data &amp; hypothesis Adults'!K233</f>
        <v>1</v>
      </c>
      <c r="J231" s="823">
        <v>0</v>
      </c>
      <c r="K231" s="823">
        <v>0</v>
      </c>
      <c r="L231" s="823">
        <v>0</v>
      </c>
      <c r="M231" s="823">
        <v>0</v>
      </c>
      <c r="N231" s="823" t="str">
        <v>0</v>
      </c>
      <c r="O231" s="824">
        <f t="shared" si="107"/>
        <v>0</v>
      </c>
      <c r="P231" s="823">
        <v>0</v>
      </c>
      <c r="Q231" s="823">
        <v>0</v>
      </c>
      <c r="R231" s="823">
        <v>0</v>
      </c>
      <c r="S231" s="823">
        <v>0</v>
      </c>
      <c r="T231" s="823" t="str">
        <v>0</v>
      </c>
      <c r="U231" s="824">
        <f t="shared" si="108"/>
        <v>0</v>
      </c>
      <c r="V231" s="825" t="str">
        <f t="shared" si="106"/>
        <v>0</v>
      </c>
      <c r="W231" s="824" t="str">
        <f>IF((V231-'Adults YEAR3'!V231)&gt;0, (V231-'Adults YEAR3'!V231), "0")</f>
        <v>0</v>
      </c>
    </row>
    <row r="232" spans="2:23" x14ac:dyDescent="0.2">
      <c r="B232" s="817"/>
      <c r="C232" s="822" t="s">
        <v>81</v>
      </c>
      <c r="D232" s="822" t="s">
        <v>82</v>
      </c>
      <c r="E232" s="822" t="s">
        <v>521</v>
      </c>
      <c r="F232" s="1245" t="str">
        <f>'Data &amp; hypothesis Adults'!G234</f>
        <v>30/150 mg</v>
      </c>
      <c r="G232" s="1239">
        <f>'Data &amp; hypothesis Adults'!H234</f>
        <v>60</v>
      </c>
      <c r="H232" s="1239">
        <f>'Data &amp; hypothesis Adults'!J234</f>
        <v>60</v>
      </c>
      <c r="I232" s="1214">
        <f>'Data &amp; hypothesis Adults'!K234</f>
        <v>1</v>
      </c>
      <c r="J232" s="823">
        <v>0</v>
      </c>
      <c r="K232" s="823">
        <v>0</v>
      </c>
      <c r="L232" s="823">
        <v>0</v>
      </c>
      <c r="M232" s="823">
        <v>0</v>
      </c>
      <c r="N232" s="823" t="str">
        <v>0</v>
      </c>
      <c r="O232" s="824">
        <f t="shared" si="107"/>
        <v>0</v>
      </c>
      <c r="P232" s="823">
        <v>0</v>
      </c>
      <c r="Q232" s="823">
        <v>0</v>
      </c>
      <c r="R232" s="823">
        <v>0</v>
      </c>
      <c r="S232" s="823">
        <v>0</v>
      </c>
      <c r="T232" s="823" t="str">
        <v>0</v>
      </c>
      <c r="U232" s="824">
        <f t="shared" si="108"/>
        <v>0</v>
      </c>
      <c r="V232" s="825" t="str">
        <f t="shared" si="106"/>
        <v>0</v>
      </c>
      <c r="W232" s="824" t="str">
        <f>IF((V232-'Adults YEAR3'!V232)&gt;0, (V232-'Adults YEAR3'!V232), "0")</f>
        <v>0</v>
      </c>
    </row>
    <row r="233" spans="2:23" x14ac:dyDescent="0.2">
      <c r="B233" s="817"/>
      <c r="C233" s="323" t="s">
        <v>348</v>
      </c>
      <c r="D233" s="323"/>
      <c r="E233" s="323" t="s">
        <v>521</v>
      </c>
      <c r="F233" s="1244" t="str">
        <f>'Data &amp; hypothesis Adults'!G235</f>
        <v>300/200/600 mg</v>
      </c>
      <c r="G233" s="1238">
        <f>'Data &amp; hypothesis Adults'!H235</f>
        <v>30</v>
      </c>
      <c r="H233" s="1238">
        <f>'Data &amp; hypothesis Adults'!J235</f>
        <v>30</v>
      </c>
      <c r="I233" s="1213">
        <f>'Data &amp; hypothesis Adults'!K235</f>
        <v>1</v>
      </c>
      <c r="J233" s="818">
        <v>0</v>
      </c>
      <c r="K233" s="818">
        <v>0</v>
      </c>
      <c r="L233" s="818">
        <v>0</v>
      </c>
      <c r="M233" s="818">
        <v>0</v>
      </c>
      <c r="N233" s="818" t="str">
        <v>0</v>
      </c>
      <c r="O233" s="820">
        <f t="shared" si="107"/>
        <v>0</v>
      </c>
      <c r="P233" s="818">
        <v>16805.611195491594</v>
      </c>
      <c r="Q233" s="818">
        <v>0</v>
      </c>
      <c r="R233" s="818">
        <v>0</v>
      </c>
      <c r="S233" s="818">
        <v>0</v>
      </c>
      <c r="T233" s="818" t="str">
        <v>0</v>
      </c>
      <c r="U233" s="820">
        <f t="shared" si="108"/>
        <v>16806</v>
      </c>
      <c r="V233" s="821">
        <f t="shared" si="106"/>
        <v>16806</v>
      </c>
      <c r="W233" s="820" t="str">
        <f>IF((V233-'Adults YEAR3'!V233)&gt;0, (V233-'Adults YEAR3'!V233), "0")</f>
        <v>0</v>
      </c>
    </row>
    <row r="234" spans="2:23" x14ac:dyDescent="0.2">
      <c r="B234" s="826"/>
      <c r="C234" s="332" t="s">
        <v>349</v>
      </c>
      <c r="D234" s="332"/>
      <c r="E234" s="332" t="s">
        <v>521</v>
      </c>
      <c r="F234" s="1246" t="str">
        <f>'Data &amp; hypothesis Adults'!G236</f>
        <v>300/200 mg</v>
      </c>
      <c r="G234" s="1240">
        <f>'Data &amp; hypothesis Adults'!H236</f>
        <v>30</v>
      </c>
      <c r="H234" s="1240">
        <f>'Data &amp; hypothesis Adults'!J236</f>
        <v>30</v>
      </c>
      <c r="I234" s="1215">
        <f>'Data &amp; hypothesis Adults'!K236</f>
        <v>1</v>
      </c>
      <c r="J234" s="828">
        <v>0</v>
      </c>
      <c r="K234" s="828" t="e">
        <v>#DIV/0!</v>
      </c>
      <c r="L234" s="828">
        <v>0</v>
      </c>
      <c r="M234" s="828" t="e">
        <v>#DIV/0!</v>
      </c>
      <c r="N234" s="828" t="str">
        <v>0</v>
      </c>
      <c r="O234" s="829" t="e">
        <f t="shared" si="107"/>
        <v>#DIV/0!</v>
      </c>
      <c r="P234" s="828">
        <v>5171.5758001458998</v>
      </c>
      <c r="Q234" s="828" t="e">
        <v>#DIV/0!</v>
      </c>
      <c r="R234" s="828">
        <v>0</v>
      </c>
      <c r="S234" s="828" t="e">
        <v>#DIV/0!</v>
      </c>
      <c r="T234" s="828" t="str">
        <v>0</v>
      </c>
      <c r="U234" s="829" t="e">
        <f t="shared" si="108"/>
        <v>#DIV/0!</v>
      </c>
      <c r="V234" s="830" t="e">
        <f t="shared" si="106"/>
        <v>#DIV/0!</v>
      </c>
      <c r="W234" s="829" t="e">
        <f>IF((V234-'Adults YEAR3'!V234)&gt;0, (V234-'Adults YEAR3'!V234), "0")</f>
        <v>#DIV/0!</v>
      </c>
    </row>
    <row r="235" spans="2:23" x14ac:dyDescent="0.2">
      <c r="B235" s="812" t="s">
        <v>84</v>
      </c>
      <c r="C235" s="305" t="s">
        <v>17</v>
      </c>
      <c r="D235" s="305"/>
      <c r="E235" s="305" t="s">
        <v>521</v>
      </c>
      <c r="F235" s="1242" t="str">
        <f>'Data &amp; hypothesis Adults'!G237</f>
        <v>600 mg</v>
      </c>
      <c r="G235" s="1236">
        <f>'Data &amp; hypothesis Adults'!H237</f>
        <v>30</v>
      </c>
      <c r="H235" s="1236">
        <f>'Data &amp; hypothesis Adults'!J237</f>
        <v>30</v>
      </c>
      <c r="I235" s="1211">
        <f>'Data &amp; hypothesis Adults'!K237</f>
        <v>1</v>
      </c>
      <c r="J235" s="809">
        <v>0</v>
      </c>
      <c r="K235" s="809">
        <v>0</v>
      </c>
      <c r="L235" s="809">
        <v>0</v>
      </c>
      <c r="M235" s="809">
        <v>0</v>
      </c>
      <c r="N235" s="809" t="str">
        <v>0</v>
      </c>
      <c r="O235" s="810">
        <f t="shared" si="107"/>
        <v>0</v>
      </c>
      <c r="P235" s="809">
        <v>4018.5752367249625</v>
      </c>
      <c r="Q235" s="809">
        <v>0</v>
      </c>
      <c r="R235" s="809">
        <v>0</v>
      </c>
      <c r="S235" s="809">
        <v>0</v>
      </c>
      <c r="T235" s="809" t="str">
        <v>0</v>
      </c>
      <c r="U235" s="810">
        <f t="shared" si="108"/>
        <v>4019</v>
      </c>
      <c r="V235" s="811">
        <f t="shared" si="106"/>
        <v>4019</v>
      </c>
      <c r="W235" s="810" t="str">
        <f>IF((V235-'Adults YEAR3'!V235)&gt;0, (V235-'Adults YEAR3'!V235), "0")</f>
        <v>0</v>
      </c>
    </row>
    <row r="236" spans="2:23" x14ac:dyDescent="0.2">
      <c r="B236" s="826"/>
      <c r="C236" s="332" t="s">
        <v>19</v>
      </c>
      <c r="D236" s="332"/>
      <c r="E236" s="332" t="s">
        <v>521</v>
      </c>
      <c r="F236" s="1246" t="str">
        <f>'Data &amp; hypothesis Adults'!G238</f>
        <v>200 mg</v>
      </c>
      <c r="G236" s="1240">
        <f>'Data &amp; hypothesis Adults'!H238</f>
        <v>60</v>
      </c>
      <c r="H236" s="1240">
        <f>'Data &amp; hypothesis Adults'!J238</f>
        <v>60</v>
      </c>
      <c r="I236" s="1215">
        <f>'Data &amp; hypothesis Adults'!K238</f>
        <v>1</v>
      </c>
      <c r="J236" s="828">
        <v>0</v>
      </c>
      <c r="K236" s="828">
        <v>0</v>
      </c>
      <c r="L236" s="828">
        <v>0</v>
      </c>
      <c r="M236" s="828">
        <v>0</v>
      </c>
      <c r="N236" s="828" t="str">
        <v>0</v>
      </c>
      <c r="O236" s="829">
        <f t="shared" si="107"/>
        <v>0</v>
      </c>
      <c r="P236" s="828">
        <v>0</v>
      </c>
      <c r="Q236" s="828">
        <v>0</v>
      </c>
      <c r="R236" s="828">
        <v>0</v>
      </c>
      <c r="S236" s="828">
        <v>0</v>
      </c>
      <c r="T236" s="828" t="str">
        <v>0</v>
      </c>
      <c r="U236" s="829">
        <f t="shared" si="108"/>
        <v>0</v>
      </c>
      <c r="V236" s="830" t="str">
        <f t="shared" si="106"/>
        <v>0</v>
      </c>
      <c r="W236" s="829" t="str">
        <f>IF((V236-'Adults YEAR3'!V236)&gt;0, (V236-'Adults YEAR3'!V236), "0")</f>
        <v>0</v>
      </c>
    </row>
    <row r="237" spans="2:23" x14ac:dyDescent="0.2">
      <c r="B237" s="812" t="s">
        <v>85</v>
      </c>
      <c r="C237" s="305" t="s">
        <v>39</v>
      </c>
      <c r="D237" s="305"/>
      <c r="E237" s="305" t="s">
        <v>521</v>
      </c>
      <c r="F237" s="1242" t="str">
        <f>'Data &amp; hypothesis Adults'!G239</f>
        <v>300 mg</v>
      </c>
      <c r="G237" s="1236">
        <f>'Data &amp; hypothesis Adults'!H239</f>
        <v>60</v>
      </c>
      <c r="H237" s="1236">
        <f>'Data &amp; hypothesis Adults'!J239</f>
        <v>60</v>
      </c>
      <c r="I237" s="1211">
        <f>'Data &amp; hypothesis Adults'!K239</f>
        <v>1</v>
      </c>
      <c r="J237" s="808">
        <v>0</v>
      </c>
      <c r="K237" s="808">
        <v>0</v>
      </c>
      <c r="L237" s="808">
        <v>0</v>
      </c>
      <c r="M237" s="808">
        <v>0</v>
      </c>
      <c r="N237" s="808" t="str">
        <v>0</v>
      </c>
      <c r="O237" s="810">
        <f t="shared" si="107"/>
        <v>0</v>
      </c>
      <c r="P237" s="808">
        <v>0</v>
      </c>
      <c r="Q237" s="808">
        <v>0</v>
      </c>
      <c r="R237" s="808">
        <v>0</v>
      </c>
      <c r="S237" s="808">
        <v>0</v>
      </c>
      <c r="T237" s="808" t="str">
        <v>0</v>
      </c>
      <c r="U237" s="810">
        <f t="shared" si="108"/>
        <v>0</v>
      </c>
      <c r="V237" s="811" t="str">
        <f t="shared" si="106"/>
        <v>0</v>
      </c>
      <c r="W237" s="810" t="str">
        <f>IF((V237-'Adults YEAR3'!V237)&gt;0, (V237-'Adults YEAR3'!V237), "0")</f>
        <v>0</v>
      </c>
    </row>
    <row r="238" spans="2:23" x14ac:dyDescent="0.2">
      <c r="B238" s="812"/>
      <c r="C238" s="314" t="s">
        <v>350</v>
      </c>
      <c r="D238" s="314"/>
      <c r="E238" s="314" t="s">
        <v>521</v>
      </c>
      <c r="F238" s="1243" t="str">
        <f>'Data &amp; hypothesis Adults'!G240</f>
        <v>150 mg</v>
      </c>
      <c r="G238" s="1237">
        <f>'Data &amp; hypothesis Adults'!H240</f>
        <v>60</v>
      </c>
      <c r="H238" s="1237">
        <f>'Data &amp; hypothesis Adults'!J240</f>
        <v>60</v>
      </c>
      <c r="I238" s="1212">
        <f>'Data &amp; hypothesis Adults'!K240</f>
        <v>1</v>
      </c>
      <c r="J238" s="813">
        <v>0</v>
      </c>
      <c r="K238" s="813" t="e">
        <v>#DIV/0!</v>
      </c>
      <c r="L238" s="813">
        <v>0</v>
      </c>
      <c r="M238" s="813" t="e">
        <v>#DIV/0!</v>
      </c>
      <c r="N238" s="813" t="str">
        <v>0</v>
      </c>
      <c r="O238" s="815" t="e">
        <f t="shared" si="107"/>
        <v>#DIV/0!</v>
      </c>
      <c r="P238" s="813">
        <v>0</v>
      </c>
      <c r="Q238" s="813" t="e">
        <v>#DIV/0!</v>
      </c>
      <c r="R238" s="813">
        <v>0</v>
      </c>
      <c r="S238" s="813" t="e">
        <v>#DIV/0!</v>
      </c>
      <c r="T238" s="813" t="str">
        <v>0</v>
      </c>
      <c r="U238" s="815" t="e">
        <f t="shared" si="108"/>
        <v>#DIV/0!</v>
      </c>
      <c r="V238" s="816" t="e">
        <f t="shared" si="106"/>
        <v>#DIV/0!</v>
      </c>
      <c r="W238" s="815" t="e">
        <f>IF((V238-'Adults YEAR3'!V238)&gt;0, (V238-'Adults YEAR3'!V238), "0")</f>
        <v>#DIV/0!</v>
      </c>
    </row>
    <row r="239" spans="2:23" x14ac:dyDescent="0.2">
      <c r="B239" s="812"/>
      <c r="C239" s="314" t="s">
        <v>25</v>
      </c>
      <c r="D239" s="314"/>
      <c r="E239" s="314" t="s">
        <v>521</v>
      </c>
      <c r="F239" s="1243" t="str">
        <f>'Data &amp; hypothesis Adults'!G241</f>
        <v>300 mg</v>
      </c>
      <c r="G239" s="1237">
        <f>'Data &amp; hypothesis Adults'!H241</f>
        <v>60</v>
      </c>
      <c r="H239" s="1237">
        <f>'Data &amp; hypothesis Adults'!J241</f>
        <v>60</v>
      </c>
      <c r="I239" s="1212">
        <f>'Data &amp; hypothesis Adults'!K241</f>
        <v>1</v>
      </c>
      <c r="J239" s="813">
        <v>0</v>
      </c>
      <c r="K239" s="813" t="e">
        <v>#DIV/0!</v>
      </c>
      <c r="L239" s="813">
        <v>0</v>
      </c>
      <c r="M239" s="813" t="e">
        <v>#DIV/0!</v>
      </c>
      <c r="N239" s="813" t="str">
        <v>0</v>
      </c>
      <c r="O239" s="815" t="e">
        <f t="shared" si="107"/>
        <v>#DIV/0!</v>
      </c>
      <c r="P239" s="813">
        <v>0</v>
      </c>
      <c r="Q239" s="813" t="e">
        <v>#DIV/0!</v>
      </c>
      <c r="R239" s="813">
        <v>0</v>
      </c>
      <c r="S239" s="813" t="e">
        <v>#DIV/0!</v>
      </c>
      <c r="T239" s="813" t="str">
        <v>0</v>
      </c>
      <c r="U239" s="815" t="e">
        <f t="shared" si="108"/>
        <v>#DIV/0!</v>
      </c>
      <c r="V239" s="816" t="e">
        <f t="shared" si="106"/>
        <v>#DIV/0!</v>
      </c>
      <c r="W239" s="815" t="e">
        <f>IF((V239-'Adults YEAR3'!V239)&gt;0, (V239-'Adults YEAR3'!V239), "0")</f>
        <v>#DIV/0!</v>
      </c>
    </row>
    <row r="240" spans="2:23" x14ac:dyDescent="0.2">
      <c r="B240" s="817"/>
      <c r="C240" s="323" t="s">
        <v>28</v>
      </c>
      <c r="D240" s="323"/>
      <c r="E240" s="323" t="s">
        <v>86</v>
      </c>
      <c r="F240" s="1244" t="str">
        <f>'Data &amp; hypothesis Adults'!G242</f>
        <v>250 mg</v>
      </c>
      <c r="G240" s="1238">
        <f>'Data &amp; hypothesis Adults'!H242</f>
        <v>30</v>
      </c>
      <c r="H240" s="1238">
        <f>'Data &amp; hypothesis Adults'!J242</f>
        <v>30</v>
      </c>
      <c r="I240" s="1213">
        <f>'Data &amp; hypothesis Adults'!K242</f>
        <v>1</v>
      </c>
      <c r="J240" s="818">
        <v>0</v>
      </c>
      <c r="K240" s="818" t="e">
        <v>#DIV/0!</v>
      </c>
      <c r="L240" s="818">
        <v>0</v>
      </c>
      <c r="M240" s="818" t="e">
        <v>#DIV/0!</v>
      </c>
      <c r="N240" s="818" t="str">
        <v>0</v>
      </c>
      <c r="O240" s="820" t="e">
        <f t="shared" si="107"/>
        <v>#DIV/0!</v>
      </c>
      <c r="P240" s="818">
        <v>0</v>
      </c>
      <c r="Q240" s="818" t="e">
        <v>#DIV/0!</v>
      </c>
      <c r="R240" s="818">
        <v>0</v>
      </c>
      <c r="S240" s="818" t="e">
        <v>#DIV/0!</v>
      </c>
      <c r="T240" s="818" t="str">
        <v>0</v>
      </c>
      <c r="U240" s="820" t="e">
        <f t="shared" si="108"/>
        <v>#DIV/0!</v>
      </c>
      <c r="V240" s="821" t="e">
        <f t="shared" si="106"/>
        <v>#DIV/0!</v>
      </c>
      <c r="W240" s="820" t="e">
        <f>IF((V240-'Adults YEAR3'!V240)&gt;0, (V240-'Adults YEAR3'!V240), "0")</f>
        <v>#DIV/0!</v>
      </c>
    </row>
    <row r="241" spans="2:23" x14ac:dyDescent="0.2">
      <c r="B241" s="817"/>
      <c r="C241" s="323" t="s">
        <v>28</v>
      </c>
      <c r="D241" s="323"/>
      <c r="E241" s="323" t="s">
        <v>86</v>
      </c>
      <c r="F241" s="1244" t="str">
        <f>'Data &amp; hypothesis Adults'!G243</f>
        <v>400 mg</v>
      </c>
      <c r="G241" s="1238">
        <f>'Data &amp; hypothesis Adults'!H243</f>
        <v>30</v>
      </c>
      <c r="H241" s="1238">
        <f>'Data &amp; hypothesis Adults'!J243</f>
        <v>30</v>
      </c>
      <c r="I241" s="1213">
        <f>'Data &amp; hypothesis Adults'!K243</f>
        <v>1</v>
      </c>
      <c r="J241" s="818">
        <v>0</v>
      </c>
      <c r="K241" s="818" t="e">
        <v>#DIV/0!</v>
      </c>
      <c r="L241" s="818">
        <v>0</v>
      </c>
      <c r="M241" s="818" t="e">
        <v>#DIV/0!</v>
      </c>
      <c r="N241" s="818" t="str">
        <v>0</v>
      </c>
      <c r="O241" s="820" t="e">
        <f t="shared" si="107"/>
        <v>#DIV/0!</v>
      </c>
      <c r="P241" s="818">
        <v>0</v>
      </c>
      <c r="Q241" s="818" t="e">
        <v>#DIV/0!</v>
      </c>
      <c r="R241" s="818">
        <v>0</v>
      </c>
      <c r="S241" s="818" t="e">
        <v>#DIV/0!</v>
      </c>
      <c r="T241" s="818" t="str">
        <v>0</v>
      </c>
      <c r="U241" s="820" t="e">
        <f t="shared" si="108"/>
        <v>#DIV/0!</v>
      </c>
      <c r="V241" s="821" t="e">
        <f t="shared" si="106"/>
        <v>#DIV/0!</v>
      </c>
      <c r="W241" s="820" t="e">
        <f>IF((V241-'Adults YEAR3'!V241)&gt;0, (V241-'Adults YEAR3'!V241), "0")</f>
        <v>#DIV/0!</v>
      </c>
    </row>
    <row r="242" spans="2:23" x14ac:dyDescent="0.2">
      <c r="B242" s="826"/>
      <c r="C242" s="332" t="s">
        <v>22</v>
      </c>
      <c r="D242" s="332"/>
      <c r="E242" s="332" t="s">
        <v>521</v>
      </c>
      <c r="F242" s="1246" t="str">
        <f>'Data &amp; hypothesis Adults'!G244</f>
        <v>300 mg</v>
      </c>
      <c r="G242" s="1240">
        <f>'Data &amp; hypothesis Adults'!H244</f>
        <v>30</v>
      </c>
      <c r="H242" s="1240">
        <f>'Data &amp; hypothesis Adults'!J244</f>
        <v>30</v>
      </c>
      <c r="I242" s="1215">
        <f>'Data &amp; hypothesis Adults'!K244</f>
        <v>1</v>
      </c>
      <c r="J242" s="828">
        <v>0</v>
      </c>
      <c r="K242" s="828" t="e">
        <v>#DIV/0!</v>
      </c>
      <c r="L242" s="828">
        <v>0</v>
      </c>
      <c r="M242" s="828" t="e">
        <v>#DIV/0!</v>
      </c>
      <c r="N242" s="828" t="str">
        <v>0</v>
      </c>
      <c r="O242" s="829" t="e">
        <f t="shared" si="107"/>
        <v>#DIV/0!</v>
      </c>
      <c r="P242" s="828">
        <v>0</v>
      </c>
      <c r="Q242" s="828" t="e">
        <v>#DIV/0!</v>
      </c>
      <c r="R242" s="828">
        <v>0</v>
      </c>
      <c r="S242" s="828" t="e">
        <v>#DIV/0!</v>
      </c>
      <c r="T242" s="828" t="str">
        <v>0</v>
      </c>
      <c r="U242" s="829" t="e">
        <f t="shared" si="108"/>
        <v>#DIV/0!</v>
      </c>
      <c r="V242" s="830" t="e">
        <f t="shared" si="106"/>
        <v>#DIV/0!</v>
      </c>
      <c r="W242" s="829" t="e">
        <f>IF((V242-'Adults YEAR3'!V242)&gt;0, (V242-'Adults YEAR3'!V242), "0")</f>
        <v>#DIV/0!</v>
      </c>
    </row>
    <row r="243" spans="2:23" x14ac:dyDescent="0.2">
      <c r="B243" s="812" t="s">
        <v>87</v>
      </c>
      <c r="C243" s="314" t="s">
        <v>33</v>
      </c>
      <c r="D243" s="314"/>
      <c r="E243" s="314" t="s">
        <v>521</v>
      </c>
      <c r="F243" s="1243" t="str">
        <f>'Data &amp; hypothesis Adults'!G245</f>
        <v>200/50 mg</v>
      </c>
      <c r="G243" s="1237">
        <f>'Data &amp; hypothesis Adults'!H245</f>
        <v>120</v>
      </c>
      <c r="H243" s="1237">
        <f>'Data &amp; hypothesis Adults'!J245</f>
        <v>120</v>
      </c>
      <c r="I243" s="1212">
        <f>'Data &amp; hypothesis Adults'!K245</f>
        <v>1</v>
      </c>
      <c r="J243" s="813">
        <v>0</v>
      </c>
      <c r="K243" s="813">
        <v>0</v>
      </c>
      <c r="L243" s="813">
        <v>0</v>
      </c>
      <c r="M243" s="813" t="e">
        <v>#DIV/0!</v>
      </c>
      <c r="N243" s="813" t="str">
        <v>0</v>
      </c>
      <c r="O243" s="815" t="e">
        <f t="shared" si="107"/>
        <v>#DIV/0!</v>
      </c>
      <c r="P243" s="813">
        <v>7065.9533373328632</v>
      </c>
      <c r="Q243" s="813">
        <v>0</v>
      </c>
      <c r="R243" s="813">
        <v>0</v>
      </c>
      <c r="S243" s="813" t="e">
        <v>#DIV/0!</v>
      </c>
      <c r="T243" s="813" t="str">
        <v>0</v>
      </c>
      <c r="U243" s="815" t="e">
        <f t="shared" si="108"/>
        <v>#DIV/0!</v>
      </c>
      <c r="V243" s="816" t="e">
        <f t="shared" si="106"/>
        <v>#DIV/0!</v>
      </c>
      <c r="W243" s="815" t="e">
        <f>IF((V243-'Adults YEAR3'!V243)&gt;0, (V243-'Adults YEAR3'!V243), "0")</f>
        <v>#DIV/0!</v>
      </c>
    </row>
    <row r="244" spans="2:23" x14ac:dyDescent="0.2">
      <c r="B244" s="817"/>
      <c r="C244" s="314" t="s">
        <v>69</v>
      </c>
      <c r="D244" s="314"/>
      <c r="E244" s="314" t="s">
        <v>86</v>
      </c>
      <c r="F244" s="1243" t="str">
        <f>'Data &amp; hypothesis Adults'!G246</f>
        <v>400 mg</v>
      </c>
      <c r="G244" s="1237">
        <f>'Data &amp; hypothesis Adults'!H246</f>
        <v>180</v>
      </c>
      <c r="H244" s="1237">
        <f>'Data &amp; hypothesis Adults'!J246</f>
        <v>120</v>
      </c>
      <c r="I244" s="1216">
        <f>'Data &amp; hypothesis Adults'!K246</f>
        <v>0.66666666666666663</v>
      </c>
      <c r="J244" s="813">
        <v>0</v>
      </c>
      <c r="K244" s="813" t="e">
        <v>#DIV/0!</v>
      </c>
      <c r="L244" s="813">
        <v>0</v>
      </c>
      <c r="M244" s="813" t="e">
        <v>#DIV/0!</v>
      </c>
      <c r="N244" s="813" t="str">
        <v>0</v>
      </c>
      <c r="O244" s="815" t="e">
        <f t="shared" si="107"/>
        <v>#DIV/0!</v>
      </c>
      <c r="P244" s="813">
        <v>0</v>
      </c>
      <c r="Q244" s="813" t="e">
        <v>#DIV/0!</v>
      </c>
      <c r="R244" s="813">
        <v>0</v>
      </c>
      <c r="S244" s="813" t="e">
        <v>#DIV/0!</v>
      </c>
      <c r="T244" s="813" t="str">
        <v>0</v>
      </c>
      <c r="U244" s="815" t="e">
        <f t="shared" si="108"/>
        <v>#DIV/0!</v>
      </c>
      <c r="V244" s="816" t="e">
        <f t="shared" si="106"/>
        <v>#DIV/0!</v>
      </c>
      <c r="W244" s="815" t="e">
        <f>IF((V244-'Adults YEAR3'!V244)&gt;0, (V244-'Adults YEAR3'!V244), "0")</f>
        <v>#DIV/0!</v>
      </c>
    </row>
    <row r="245" spans="2:23" x14ac:dyDescent="0.2">
      <c r="B245" s="817"/>
      <c r="C245" s="323" t="s">
        <v>335</v>
      </c>
      <c r="D245" s="323"/>
      <c r="E245" s="323" t="s">
        <v>88</v>
      </c>
      <c r="F245" s="1244" t="str">
        <f>'Data &amp; hypothesis Adults'!G247</f>
        <v>100 mg</v>
      </c>
      <c r="G245" s="1238">
        <f>'Data &amp; hypothesis Adults'!H247</f>
        <v>84</v>
      </c>
      <c r="H245" s="1238">
        <f>'Data &amp; hypothesis Adults'!J247</f>
        <v>60</v>
      </c>
      <c r="I245" s="1217">
        <f>'Data &amp; hypothesis Adults'!K247</f>
        <v>0.7142857142857143</v>
      </c>
      <c r="J245" s="818">
        <v>0</v>
      </c>
      <c r="K245" s="818" t="e">
        <v>#DIV/0!</v>
      </c>
      <c r="L245" s="818">
        <v>0</v>
      </c>
      <c r="M245" s="818" t="e">
        <v>#DIV/0!</v>
      </c>
      <c r="N245" s="818" t="str">
        <v>0</v>
      </c>
      <c r="O245" s="820" t="e">
        <f t="shared" si="107"/>
        <v>#DIV/0!</v>
      </c>
      <c r="P245" s="818">
        <v>0</v>
      </c>
      <c r="Q245" s="818" t="e">
        <v>#DIV/0!</v>
      </c>
      <c r="R245" s="818">
        <v>0</v>
      </c>
      <c r="S245" s="818" t="e">
        <v>#DIV/0!</v>
      </c>
      <c r="T245" s="818" t="str">
        <v>0</v>
      </c>
      <c r="U245" s="820" t="e">
        <f t="shared" si="108"/>
        <v>#DIV/0!</v>
      </c>
      <c r="V245" s="821" t="e">
        <f t="shared" si="106"/>
        <v>#DIV/0!</v>
      </c>
      <c r="W245" s="820" t="e">
        <f>IF((V245-'Adults YEAR3'!V245)&gt;0, (V245-'Adults YEAR3'!V245), "0")</f>
        <v>#DIV/0!</v>
      </c>
    </row>
    <row r="246" spans="2:23" x14ac:dyDescent="0.2">
      <c r="B246" s="817"/>
      <c r="C246" s="323" t="s">
        <v>68</v>
      </c>
      <c r="D246" s="323"/>
      <c r="E246" s="323" t="s">
        <v>88</v>
      </c>
      <c r="F246" s="1244" t="str">
        <f>'Data &amp; hypothesis Adults'!G248</f>
        <v>500 mg</v>
      </c>
      <c r="G246" s="1238">
        <f>'Data &amp; hypothesis Adults'!H248</f>
        <v>120</v>
      </c>
      <c r="H246" s="1238">
        <f>'Data &amp; hypothesis Adults'!J248</f>
        <v>120</v>
      </c>
      <c r="I246" s="1213">
        <f>'Data &amp; hypothesis Adults'!K248</f>
        <v>1</v>
      </c>
      <c r="J246" s="818">
        <v>0</v>
      </c>
      <c r="K246" s="818" t="e">
        <v>#DIV/0!</v>
      </c>
      <c r="L246" s="818">
        <v>0</v>
      </c>
      <c r="M246" s="818" t="e">
        <v>#DIV/0!</v>
      </c>
      <c r="N246" s="818" t="str">
        <v>0</v>
      </c>
      <c r="O246" s="820" t="e">
        <f t="shared" si="107"/>
        <v>#DIV/0!</v>
      </c>
      <c r="P246" s="818">
        <v>0</v>
      </c>
      <c r="Q246" s="818" t="e">
        <v>#DIV/0!</v>
      </c>
      <c r="R246" s="818">
        <v>0</v>
      </c>
      <c r="S246" s="818" t="e">
        <v>#DIV/0!</v>
      </c>
      <c r="T246" s="818" t="str">
        <v>0</v>
      </c>
      <c r="U246" s="820" t="e">
        <f t="shared" si="108"/>
        <v>#DIV/0!</v>
      </c>
      <c r="V246" s="821" t="e">
        <f t="shared" si="106"/>
        <v>#DIV/0!</v>
      </c>
      <c r="W246" s="820" t="e">
        <f>IF((V246-'Adults YEAR3'!V246)&gt;0, (V246-'Adults YEAR3'!V246), "0")</f>
        <v>#DIV/0!</v>
      </c>
    </row>
    <row r="247" spans="2:23" x14ac:dyDescent="0.2">
      <c r="B247" s="817"/>
      <c r="C247" s="323" t="s">
        <v>576</v>
      </c>
      <c r="D247" s="323"/>
      <c r="E247" s="323" t="s">
        <v>599</v>
      </c>
      <c r="F247" s="1244" t="str">
        <f>'Data &amp; hypothesis Adults'!G249</f>
        <v>300/100 mg</v>
      </c>
      <c r="G247" s="1238">
        <f>'Data &amp; hypothesis Adults'!H249</f>
        <v>30</v>
      </c>
      <c r="H247" s="1238">
        <f>'Data &amp; hypothesis Adults'!J249</f>
        <v>30</v>
      </c>
      <c r="I247" s="1213">
        <f>'Data &amp; hypothesis Adults'!K249</f>
        <v>1</v>
      </c>
      <c r="J247" s="818">
        <v>0</v>
      </c>
      <c r="K247" s="818" t="e">
        <v>#DIV/0!</v>
      </c>
      <c r="L247" s="818">
        <v>0</v>
      </c>
      <c r="M247" s="818" t="e">
        <v>#DIV/0!</v>
      </c>
      <c r="N247" s="818" t="str">
        <v>0</v>
      </c>
      <c r="O247" s="820" t="e">
        <f t="shared" si="107"/>
        <v>#DIV/0!</v>
      </c>
      <c r="P247" s="818">
        <v>104.70959999999999</v>
      </c>
      <c r="Q247" s="818" t="e">
        <v>#DIV/0!</v>
      </c>
      <c r="R247" s="818">
        <v>0</v>
      </c>
      <c r="S247" s="818" t="e">
        <v>#DIV/0!</v>
      </c>
      <c r="T247" s="818" t="str">
        <v>0</v>
      </c>
      <c r="U247" s="820" t="e">
        <f t="shared" si="108"/>
        <v>#DIV/0!</v>
      </c>
      <c r="V247" s="821" t="e">
        <f t="shared" si="106"/>
        <v>#DIV/0!</v>
      </c>
      <c r="W247" s="820" t="e">
        <f>IF((V247-'Adults YEAR3'!V247)&gt;0, (V247-'Adults YEAR3'!V247), "0")</f>
        <v>#DIV/0!</v>
      </c>
    </row>
    <row r="248" spans="2:23" x14ac:dyDescent="0.2">
      <c r="B248" s="831"/>
      <c r="C248" s="332" t="s">
        <v>336</v>
      </c>
      <c r="D248" s="332"/>
      <c r="E248" s="332" t="s">
        <v>521</v>
      </c>
      <c r="F248" s="1246" t="str">
        <f>'Data &amp; hypothesis Adults'!G250</f>
        <v>600 mg</v>
      </c>
      <c r="G248" s="1240">
        <f>'Data &amp; hypothesis Adults'!H250</f>
        <v>60</v>
      </c>
      <c r="H248" s="1240">
        <f>'Data &amp; hypothesis Adults'!J250</f>
        <v>60</v>
      </c>
      <c r="I248" s="1215">
        <f>'Data &amp; hypothesis Adults'!K250</f>
        <v>1</v>
      </c>
      <c r="J248" s="827">
        <v>0</v>
      </c>
      <c r="K248" s="827" t="e">
        <v>#DIV/0!</v>
      </c>
      <c r="L248" s="827">
        <v>0</v>
      </c>
      <c r="M248" s="827" t="e">
        <v>#DIV/0!</v>
      </c>
      <c r="N248" s="827" t="str">
        <v>0</v>
      </c>
      <c r="O248" s="829" t="e">
        <f t="shared" si="107"/>
        <v>#DIV/0!</v>
      </c>
      <c r="P248" s="827">
        <v>0</v>
      </c>
      <c r="Q248" s="827" t="e">
        <v>#DIV/0!</v>
      </c>
      <c r="R248" s="827">
        <v>0</v>
      </c>
      <c r="S248" s="827" t="e">
        <v>#DIV/0!</v>
      </c>
      <c r="T248" s="827" t="str">
        <v>0</v>
      </c>
      <c r="U248" s="829" t="e">
        <f t="shared" si="108"/>
        <v>#DIV/0!</v>
      </c>
      <c r="V248" s="830" t="e">
        <f t="shared" si="106"/>
        <v>#DIV/0!</v>
      </c>
      <c r="W248" s="829" t="e">
        <f>IF((V248-'Adults YEAR3'!V248)&gt;0, (V248-'Adults YEAR3'!V248), "0")</f>
        <v>#DIV/0!</v>
      </c>
    </row>
    <row r="249" spans="2:23" x14ac:dyDescent="0.2">
      <c r="B249" s="826" t="s">
        <v>331</v>
      </c>
      <c r="C249" s="332" t="s">
        <v>329</v>
      </c>
      <c r="D249" s="332"/>
      <c r="E249" s="332" t="s">
        <v>521</v>
      </c>
      <c r="F249" s="1246" t="str">
        <f>'Data &amp; hypothesis Adults'!G251</f>
        <v>400 mg</v>
      </c>
      <c r="G249" s="1240">
        <f>'Data &amp; hypothesis Adults'!H251</f>
        <v>60</v>
      </c>
      <c r="H249" s="1240">
        <f>'Data &amp; hypothesis Adults'!J251</f>
        <v>60</v>
      </c>
      <c r="I249" s="1215">
        <f>'Data &amp; hypothesis Adults'!K251</f>
        <v>1</v>
      </c>
      <c r="J249" s="827">
        <v>0</v>
      </c>
      <c r="K249" s="827" t="e">
        <v>#DIV/0!</v>
      </c>
      <c r="L249" s="827">
        <v>0</v>
      </c>
      <c r="M249" s="827" t="e">
        <v>#DIV/0!</v>
      </c>
      <c r="N249" s="827" t="str">
        <v>0</v>
      </c>
      <c r="O249" s="829" t="e">
        <f t="shared" si="107"/>
        <v>#DIV/0!</v>
      </c>
      <c r="P249" s="827">
        <v>0</v>
      </c>
      <c r="Q249" s="827" t="e">
        <v>#DIV/0!</v>
      </c>
      <c r="R249" s="827">
        <v>0</v>
      </c>
      <c r="S249" s="827" t="e">
        <v>#DIV/0!</v>
      </c>
      <c r="T249" s="827" t="str">
        <v>0</v>
      </c>
      <c r="U249" s="829" t="e">
        <f t="shared" si="108"/>
        <v>#DIV/0!</v>
      </c>
      <c r="V249" s="830" t="e">
        <f t="shared" si="106"/>
        <v>#DIV/0!</v>
      </c>
      <c r="W249" s="829" t="e">
        <f>IF((V249-'Adults YEAR3'!V249)&gt;0, (V249-'Adults YEAR3'!V249), "0")</f>
        <v>#DIV/0!</v>
      </c>
    </row>
    <row r="250" spans="2:23" ht="13.5" thickBot="1" x14ac:dyDescent="0.25">
      <c r="B250" s="832" t="str">
        <f>'TRAD-Adults YEAR(1)'!B132</f>
        <v>NNRTI 3ème ligne</v>
      </c>
      <c r="C250" s="342" t="s">
        <v>330</v>
      </c>
      <c r="D250" s="342"/>
      <c r="E250" s="342" t="s">
        <v>521</v>
      </c>
      <c r="F250" s="1247" t="str">
        <f>'Data &amp; hypothesis Adults'!G252</f>
        <v>100 mg</v>
      </c>
      <c r="G250" s="1241">
        <f>'Data &amp; hypothesis Adults'!H252</f>
        <v>120</v>
      </c>
      <c r="H250" s="1241">
        <f>'Data &amp; hypothesis Adults'!J252</f>
        <v>120</v>
      </c>
      <c r="I250" s="1218">
        <f>'Data &amp; hypothesis Adults'!K252</f>
        <v>1</v>
      </c>
      <c r="J250" s="833">
        <v>0</v>
      </c>
      <c r="K250" s="833" t="e">
        <v>#DIV/0!</v>
      </c>
      <c r="L250" s="833">
        <v>0</v>
      </c>
      <c r="M250" s="833" t="e">
        <v>#DIV/0!</v>
      </c>
      <c r="N250" s="833" t="str">
        <v>0</v>
      </c>
      <c r="O250" s="834" t="e">
        <f t="shared" si="107"/>
        <v>#DIV/0!</v>
      </c>
      <c r="P250" s="833">
        <v>0</v>
      </c>
      <c r="Q250" s="833" t="e">
        <v>#DIV/0!</v>
      </c>
      <c r="R250" s="833">
        <v>0</v>
      </c>
      <c r="S250" s="833" t="e">
        <v>#DIV/0!</v>
      </c>
      <c r="T250" s="833" t="str">
        <v>0</v>
      </c>
      <c r="U250" s="834" t="e">
        <f t="shared" si="108"/>
        <v>#DIV/0!</v>
      </c>
      <c r="V250" s="835" t="e">
        <f t="shared" si="106"/>
        <v>#DIV/0!</v>
      </c>
      <c r="W250" s="834" t="e">
        <f>IF((V250-'Adults YEAR3'!V250)&gt;0, (V250-'Adults YEAR3'!V250), "0")</f>
        <v>#DIV/0!</v>
      </c>
    </row>
    <row r="253" spans="2:23" x14ac:dyDescent="0.2">
      <c r="B253" s="290" t="str">
        <f>'TRAD-Adults YEAR(1)'!B17</f>
        <v>Commentaire</v>
      </c>
      <c r="C253" s="291"/>
      <c r="D253" s="291"/>
      <c r="E253" s="291"/>
      <c r="F253" s="291"/>
      <c r="G253" s="291"/>
      <c r="H253" s="291"/>
      <c r="I253" s="291"/>
      <c r="J253" s="291"/>
      <c r="K253" s="291"/>
      <c r="L253" s="291"/>
    </row>
    <row r="254" spans="2:23" x14ac:dyDescent="0.2">
      <c r="B254" s="292" t="s">
        <v>240</v>
      </c>
      <c r="C254" s="293" t="str">
        <f>'TRAD-Adults YEAR(1)'!B125</f>
        <v>La défalcation sur les premières lignes se fait dans les cellules oranges selon les paramètres définis dans l'onglet Données. Elle est obtenue par le calcul suivant :</v>
      </c>
    </row>
    <row r="255" spans="2:23" ht="25.5" customHeight="1" x14ac:dyDescent="0.2">
      <c r="C255" s="2145" t="str">
        <f>'TRAD-Adults YEAR(1)'!B126</f>
        <v xml:space="preserve"> =Nb de patients mois en 2ème lignes*proportion que représente le médicament dans les schémas de premières lignes à la fin de l'année* taux de défalcation défini (onglet 'Données Adultes')*Nb de bte/mois/patient</v>
      </c>
      <c r="D255" s="2145"/>
      <c r="E255" s="2145"/>
      <c r="F255" s="2145"/>
      <c r="G255" s="2145"/>
      <c r="H255" s="2145"/>
      <c r="I255" s="2145"/>
      <c r="J255" s="2145"/>
      <c r="K255" s="2145"/>
      <c r="L255" s="2145"/>
    </row>
    <row r="256" spans="2:23" x14ac:dyDescent="0.2">
      <c r="B256" s="292" t="s">
        <v>337</v>
      </c>
      <c r="C256" s="2145" t="str">
        <f>'TRAD-Adults YEAR(1)'!B127</f>
        <v>ajustement posologique de la DDI selon les paramètres définis dans l'onglet 'Données… Adultes'</v>
      </c>
      <c r="D256" s="2145"/>
      <c r="E256" s="2145"/>
      <c r="F256" s="2145"/>
      <c r="G256" s="2145"/>
      <c r="H256" s="2145"/>
      <c r="I256" s="2145"/>
      <c r="J256" s="2145"/>
      <c r="K256" s="2145"/>
      <c r="L256" s="2145"/>
    </row>
    <row r="257" spans="2:12" x14ac:dyDescent="0.2">
      <c r="B257" s="292" t="s">
        <v>338</v>
      </c>
      <c r="C257" s="2145" t="str">
        <f>'TRAD-Adults YEAR(1)'!B128</f>
        <v>Posologies calculées comme défini dans l'onglet 1. Présentation.  Le nombre de boite / mois / patient est considéré ici pour 1 caps / jour.</v>
      </c>
      <c r="D257" s="2145"/>
      <c r="E257" s="2145"/>
      <c r="F257" s="2145"/>
      <c r="G257" s="2145"/>
      <c r="H257" s="2145"/>
      <c r="I257" s="2145"/>
      <c r="J257" s="2145"/>
      <c r="K257" s="2145"/>
      <c r="L257" s="2145"/>
    </row>
    <row r="258" spans="2:12" x14ac:dyDescent="0.2">
      <c r="B258" s="292" t="s">
        <v>344</v>
      </c>
      <c r="C258" s="2145" t="str">
        <f>'TRAD-Adults YEAR(1)'!B129</f>
        <v>Nous avons considéré ici la nouvelle forme galénique du DRV à 600 mg</v>
      </c>
      <c r="D258" s="2145"/>
      <c r="E258" s="2145"/>
      <c r="F258" s="2145"/>
      <c r="G258" s="2145"/>
      <c r="H258" s="2145"/>
      <c r="I258" s="2145"/>
      <c r="J258" s="2145"/>
      <c r="K258" s="2145"/>
      <c r="L258" s="2145"/>
    </row>
  </sheetData>
  <sheetProtection algorithmName="SHA-512" hashValue="/PT4+1yWANLnU0vnew8JdPk0K2vdKkUM4y8SZjLNu0z+H5x49juMl/pHIDsGngZ3+TemzzGtqOkAJXyjUuN+JQ==" saltValue="2ctJRrUcawflKtO+bL0DmQ==" spinCount="100000" sheet="1" objects="1" scenarios="1" selectLockedCells="1"/>
  <mergeCells count="34">
    <mergeCell ref="C256:L256"/>
    <mergeCell ref="C257:L257"/>
    <mergeCell ref="C258:L258"/>
    <mergeCell ref="C255:L255"/>
    <mergeCell ref="D138:E138"/>
    <mergeCell ref="F138:G138"/>
    <mergeCell ref="H138:I138"/>
    <mergeCell ref="B222:F222"/>
    <mergeCell ref="L222:M222"/>
    <mergeCell ref="B213:B214"/>
    <mergeCell ref="J224:O224"/>
    <mergeCell ref="B169:F169"/>
    <mergeCell ref="L169:M169"/>
    <mergeCell ref="B199:B202"/>
    <mergeCell ref="B203:B207"/>
    <mergeCell ref="B208:B212"/>
    <mergeCell ref="B215:B216"/>
    <mergeCell ref="V224:W224"/>
    <mergeCell ref="B83:F83"/>
    <mergeCell ref="G83:K83"/>
    <mergeCell ref="L83:M83"/>
    <mergeCell ref="B90:M90"/>
    <mergeCell ref="A106:L106"/>
    <mergeCell ref="B135:F135"/>
    <mergeCell ref="L135:M135"/>
    <mergeCell ref="P224:U224"/>
    <mergeCell ref="B66:F66"/>
    <mergeCell ref="G66:K66"/>
    <mergeCell ref="L66:M66"/>
    <mergeCell ref="A2:L2"/>
    <mergeCell ref="A34:L34"/>
    <mergeCell ref="B36:F36"/>
    <mergeCell ref="G36:K36"/>
    <mergeCell ref="L36:M36"/>
  </mergeCells>
  <conditionalFormatting sqref="D181:AB198">
    <cfRule type="cellIs" dxfId="14" priority="1" operator="equal">
      <formula>0</formula>
    </cfRule>
  </conditionalFormatting>
  <pageMargins left="0.78740157499999996" right="0.78740157499999996" top="0.984251969" bottom="0.984251969" header="0.4921259845" footer="0.4921259845"/>
  <pageSetup paperSize="9" orientation="portrait"/>
  <headerFooter alignWithMargins="0"/>
  <legacy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0">
    <tabColor rgb="FF993366"/>
  </sheetPr>
  <dimension ref="A1:AF258"/>
  <sheetViews>
    <sheetView showGridLines="0" topLeftCell="A121" zoomScale="70" zoomScaleNormal="70" zoomScalePageLayoutView="70" workbookViewId="0">
      <selection activeCell="D159" sqref="D159:H159"/>
    </sheetView>
  </sheetViews>
  <sheetFormatPr baseColWidth="10" defaultColWidth="12" defaultRowHeight="12.75" x14ac:dyDescent="0.2"/>
  <cols>
    <col min="1" max="1" width="9" style="260" customWidth="1"/>
    <col min="2" max="2" width="22.33203125" style="260" customWidth="1"/>
    <col min="3" max="3" width="19.5" style="260" customWidth="1"/>
    <col min="4" max="4" width="12" style="260"/>
    <col min="5" max="5" width="12.83203125" style="260" bestFit="1" customWidth="1"/>
    <col min="6" max="6" width="12" style="260" customWidth="1"/>
    <col min="7" max="7" width="13.6640625" style="260" bestFit="1" customWidth="1"/>
    <col min="8" max="8" width="12.1640625" style="260" bestFit="1" customWidth="1"/>
    <col min="9" max="9" width="15.5" style="260" bestFit="1" customWidth="1"/>
    <col min="10" max="11" width="12.1640625" style="260" bestFit="1" customWidth="1"/>
    <col min="12" max="12" width="16.33203125" style="260" customWidth="1"/>
    <col min="13" max="13" width="15.5" style="260" bestFit="1" customWidth="1"/>
    <col min="14" max="14" width="15.5" style="260" customWidth="1"/>
    <col min="15" max="15" width="15.5" style="260" bestFit="1" customWidth="1"/>
    <col min="16" max="16" width="12" style="260"/>
    <col min="17" max="18" width="15.5" style="260" bestFit="1" customWidth="1"/>
    <col min="19" max="19" width="15.6640625" style="260" bestFit="1" customWidth="1"/>
    <col min="20" max="20" width="13.33203125" style="260" bestFit="1" customWidth="1"/>
    <col min="21" max="21" width="13.33203125" style="260" customWidth="1"/>
    <col min="22" max="22" width="12.1640625" style="260" bestFit="1" customWidth="1"/>
    <col min="23" max="16384" width="12" style="260"/>
  </cols>
  <sheetData>
    <row r="1" spans="1:17" s="689" customFormat="1" ht="15" x14ac:dyDescent="0.2">
      <c r="F1" s="690"/>
    </row>
    <row r="2" spans="1:17" ht="16.5" thickBot="1" x14ac:dyDescent="0.3">
      <c r="A2" s="2144" t="str">
        <f>'TRAD-Adults YEAR (2)'!B6</f>
        <v>Répartition prévue au début de la cinquième année pour les patients déjà pris en charge</v>
      </c>
      <c r="B2" s="2144"/>
      <c r="C2" s="2144"/>
      <c r="D2" s="2144"/>
      <c r="E2" s="2144"/>
      <c r="F2" s="2144"/>
      <c r="G2" s="2144"/>
      <c r="H2" s="2144"/>
      <c r="I2" s="2144"/>
      <c r="J2" s="2144"/>
      <c r="K2" s="2144"/>
      <c r="L2" s="2144"/>
      <c r="M2" s="497"/>
      <c r="N2" s="497"/>
      <c r="O2" s="497"/>
      <c r="P2" s="497"/>
      <c r="Q2" s="497"/>
    </row>
    <row r="3" spans="1:17" ht="13.5" thickBot="1" x14ac:dyDescent="0.25"/>
    <row r="4" spans="1:17" s="524" customFormat="1" ht="16.5" thickBot="1" x14ac:dyDescent="0.3">
      <c r="B4" s="525" t="str">
        <f>'General Data'!D17</f>
        <v>Année 5</v>
      </c>
      <c r="C4" s="526">
        <f>'General Data'!E17</f>
        <v>0</v>
      </c>
      <c r="D4" s="527"/>
    </row>
    <row r="5" spans="1:17" s="523" customFormat="1" ht="13.5" thickBot="1" x14ac:dyDescent="0.25"/>
    <row r="6" spans="1:17" s="524" customFormat="1" ht="16.5" thickBot="1" x14ac:dyDescent="0.3">
      <c r="B6" s="898" t="str">
        <f>'TRAD-Adults YEAR(1)'!B3</f>
        <v>Période réellement quantifiée :</v>
      </c>
      <c r="C6" s="899"/>
      <c r="D6" s="900" t="str">
        <f>IF('General Data'!G27="NA", "0", 'General Data'!G27)</f>
        <v>0</v>
      </c>
      <c r="E6" s="901" t="str">
        <f>'TRAD-Adults YEAR(1)'!B5</f>
        <v>mois</v>
      </c>
      <c r="G6" s="524" t="str">
        <f>'TRAD-Adults YEAR(1)'!B6</f>
        <v>Facteur multiplicateur</v>
      </c>
      <c r="I6" s="524">
        <f>D6*(D6+1)/2</f>
        <v>0</v>
      </c>
    </row>
    <row r="7" spans="1:17" s="524" customFormat="1" ht="16.5" thickBot="1" x14ac:dyDescent="0.3">
      <c r="B7" s="898" t="str">
        <f>'TRAD-Adults YEAR(1)'!B4</f>
        <v>Période quantifiée + tampon</v>
      </c>
      <c r="C7" s="899"/>
      <c r="D7" s="900">
        <f>D6+'General Data'!$E$30</f>
        <v>3</v>
      </c>
      <c r="E7" s="901" t="str">
        <f>'TRAD-Adults YEAR(1)'!B5</f>
        <v>mois</v>
      </c>
      <c r="F7" s="524">
        <f>A7*(A7+1)/2</f>
        <v>0</v>
      </c>
      <c r="G7" s="524" t="str">
        <f>'TRAD-Adults YEAR(1)'!B6</f>
        <v>Facteur multiplicateur</v>
      </c>
      <c r="I7" s="524">
        <f>D7*(D7+1)/2</f>
        <v>6</v>
      </c>
    </row>
    <row r="8" spans="1:17" ht="13.5" thickBot="1" x14ac:dyDescent="0.25">
      <c r="B8" s="719"/>
    </row>
    <row r="9" spans="1:17" ht="77.25" thickBot="1" x14ac:dyDescent="0.25">
      <c r="B9" s="354"/>
      <c r="C9" s="691" t="str">
        <f>'TRAD-Adults YEAR(1)'!B7</f>
        <v>Schémas</v>
      </c>
      <c r="D9" s="691" t="str">
        <f>'TRAD-Adults YEAR(1)'!B8</f>
        <v>Nb de patients théoriques pour XXX patients totaux</v>
      </c>
      <c r="E9" s="692" t="str">
        <f>'TRAD-Adults YEAR(1)'!B9</f>
        <v>Proportion prévue au début de la période</v>
      </c>
    </row>
    <row r="10" spans="1:17" x14ac:dyDescent="0.2">
      <c r="B10" s="693" t="str">
        <f>'TRAD-Adults YEAR(1)'!B10</f>
        <v>1ères lignes</v>
      </c>
      <c r="C10" s="14" t="str">
        <f>'Data &amp; hypothesis Adults'!C26</f>
        <v>AZT+3TC+NVP</v>
      </c>
      <c r="D10" s="694">
        <f>'Adults YEAR4'!F140+'Data &amp; hypothesis Adults'!D$12*E10</f>
        <v>9816.7021911932152</v>
      </c>
      <c r="E10" s="695">
        <f>'Adults YEAR4'!G140</f>
        <v>0.48369518515879012</v>
      </c>
      <c r="G10" s="266" t="str">
        <f>'TRAD-Adults YEAR(1)'!B13</f>
        <v>Total Premières lignes</v>
      </c>
      <c r="H10" s="531"/>
      <c r="I10" s="532">
        <f>SUM(D10:D19)</f>
        <v>17363.519533268489</v>
      </c>
    </row>
    <row r="11" spans="1:17" ht="13.5" thickBot="1" x14ac:dyDescent="0.25">
      <c r="B11" s="696"/>
      <c r="C11" s="15" t="str">
        <f>'Data &amp; hypothesis Adults'!C27</f>
        <v>AZT+3TC+EFV</v>
      </c>
      <c r="D11" s="697">
        <f>'Adults YEAR4'!F141+'Data &amp; hypothesis Adults'!D$12*E11</f>
        <v>1267.8259239803904</v>
      </c>
      <c r="E11" s="698">
        <f>'Adults YEAR4'!G141</f>
        <v>6.246917580926125E-2</v>
      </c>
      <c r="G11" s="535"/>
      <c r="H11" s="536" t="s">
        <v>51</v>
      </c>
      <c r="I11" s="537">
        <f>I10/D29</f>
        <v>0.85554706988943696</v>
      </c>
    </row>
    <row r="12" spans="1:17" x14ac:dyDescent="0.2">
      <c r="B12" s="696"/>
      <c r="C12" s="15" t="str">
        <f>'Data &amp; hypothesis Adults'!C28</f>
        <v>AZT+3TC+ABC</v>
      </c>
      <c r="D12" s="697">
        <f>'Adults YEAR4'!F142+'Data &amp; hypothesis Adults'!D$12*E12</f>
        <v>71.533278323796864</v>
      </c>
      <c r="E12" s="698">
        <f>'Adults YEAR4'!G142</f>
        <v>3.5246360366198034E-3</v>
      </c>
      <c r="G12" s="266" t="str">
        <f>'TRAD-Adults YEAR(1)'!B15</f>
        <v>Total Deuxièmes lignes</v>
      </c>
      <c r="H12" s="531"/>
      <c r="I12" s="532">
        <f>SUM(D20:D26)</f>
        <v>2931.7045921702093</v>
      </c>
    </row>
    <row r="13" spans="1:17" ht="13.5" thickBot="1" x14ac:dyDescent="0.25">
      <c r="B13" s="696"/>
      <c r="C13" s="16" t="str">
        <f>'Data &amp; hypothesis Adults'!C29</f>
        <v>AZT+3TC+LPV/r</v>
      </c>
      <c r="D13" s="697">
        <f>'Adults YEAR4'!F143+'Data &amp; hypothesis Adults'!D$12*E13</f>
        <v>627.94714888698672</v>
      </c>
      <c r="E13" s="698">
        <f>'Adults YEAR4'!G143</f>
        <v>3.0940636329307505E-2</v>
      </c>
      <c r="G13" s="535"/>
      <c r="H13" s="536" t="s">
        <v>51</v>
      </c>
      <c r="I13" s="537">
        <f>I12/D29</f>
        <v>0.14445293011056304</v>
      </c>
    </row>
    <row r="14" spans="1:17" x14ac:dyDescent="0.2">
      <c r="B14" s="696"/>
      <c r="C14" s="16" t="str">
        <f>'Data &amp; hypothesis Adults'!C30</f>
        <v>ABC+3TC+EFV</v>
      </c>
      <c r="D14" s="697">
        <f>'Adults YEAR4'!F144+'Data &amp; hypothesis Adults'!D$12*E14</f>
        <v>39.743847897370706</v>
      </c>
      <c r="E14" s="698">
        <f>'Adults YEAR4'!G144</f>
        <v>1.9582857351919791E-3</v>
      </c>
      <c r="G14" s="497"/>
      <c r="H14" s="522"/>
      <c r="I14" s="1270"/>
    </row>
    <row r="15" spans="1:17" x14ac:dyDescent="0.2">
      <c r="B15" s="696"/>
      <c r="C15" s="15" t="str">
        <f>'Data &amp; hypothesis Adults'!C31</f>
        <v>TDF+FTC/3TC+EFV</v>
      </c>
      <c r="D15" s="697">
        <f>'Adults YEAR4'!F145+'Data &amp; hypothesis Adults'!D$12*E15</f>
        <v>5468.2338646629305</v>
      </c>
      <c r="E15" s="698">
        <f>'Adults YEAR4'!G145</f>
        <v>0.26943451478364644</v>
      </c>
    </row>
    <row r="16" spans="1:17" x14ac:dyDescent="0.2">
      <c r="B16" s="696"/>
      <c r="C16" s="15" t="str">
        <f>'Data &amp; hypothesis Adults'!C32</f>
        <v>TDF+FTC/3TC+LPV/r</v>
      </c>
      <c r="D16" s="697">
        <f>'Adults YEAR4'!F146+'Data &amp; hypothesis Adults'!D$12*E16</f>
        <v>0</v>
      </c>
      <c r="E16" s="698">
        <f>'Adults YEAR4'!G146</f>
        <v>0</v>
      </c>
    </row>
    <row r="17" spans="2:14" x14ac:dyDescent="0.2">
      <c r="B17" s="696"/>
      <c r="C17" s="15" t="str">
        <f>'Data &amp; hypothesis Adults'!C33</f>
        <v>ABC+3TC+LPV/r</v>
      </c>
      <c r="D17" s="697">
        <f>'Adults YEAR4'!F147+'Data &amp; hypothesis Adults'!D$12*E17</f>
        <v>22.518689862774849</v>
      </c>
      <c r="E17" s="698">
        <f>'Adults YEAR4'!G147</f>
        <v>1.1095561065792413E-3</v>
      </c>
    </row>
    <row r="18" spans="2:14" x14ac:dyDescent="0.2">
      <c r="B18" s="696"/>
      <c r="C18" s="36" t="str">
        <f>'Data &amp; hypothesis Adults'!C34</f>
        <v>TDF+3TC/FTC+ABC</v>
      </c>
      <c r="D18" s="697">
        <f>'Adults YEAR4'!F148+'Data &amp; hypothesis Adults'!D$12*E18</f>
        <v>49.014588461022001</v>
      </c>
      <c r="E18" s="698">
        <f>'Adults YEAR4'!G148</f>
        <v>2.4150799300405612E-3</v>
      </c>
    </row>
    <row r="19" spans="2:14" x14ac:dyDescent="0.2">
      <c r="B19" s="696"/>
      <c r="C19" s="1155">
        <f>'Data &amp; hypothesis Adults'!C35</f>
        <v>0</v>
      </c>
      <c r="D19" s="699">
        <f>'Adults YEAR4'!F149+'Data &amp; hypothesis Adults'!D$12*E19</f>
        <v>0</v>
      </c>
      <c r="E19" s="700">
        <f>'Adults YEAR4'!G149</f>
        <v>0</v>
      </c>
    </row>
    <row r="20" spans="2:14" x14ac:dyDescent="0.2">
      <c r="B20" s="701" t="str">
        <f>'TRAD-Adults YEAR(1)'!B11</f>
        <v>2èmes lignes</v>
      </c>
      <c r="C20" s="18" t="str">
        <f>'Data &amp; hypothesis Adults'!C36</f>
        <v>TDF+FTC/3TC+LPV/r</v>
      </c>
      <c r="D20" s="703">
        <f>'Adults YEAR4'!F150+'Data &amp; hypothesis Adults'!D$12*E20</f>
        <v>2113.2972667315112</v>
      </c>
      <c r="E20" s="704">
        <f>'Adults YEAR4'!G150</f>
        <v>0.10412781123627185</v>
      </c>
    </row>
    <row r="21" spans="2:14" x14ac:dyDescent="0.2">
      <c r="B21" s="696"/>
      <c r="C21" s="16" t="str">
        <f>'Data &amp; hypothesis Adults'!C37</f>
        <v>TDF+FTC/3TC+ATV/r</v>
      </c>
      <c r="D21" s="697">
        <f>'Adults YEAR4'!F151+'Data &amp; hypothesis Adults'!D$12*E21</f>
        <v>34.903199999999998</v>
      </c>
      <c r="E21" s="698">
        <f>'Adults YEAR4'!G151</f>
        <v>1.7197740603539916E-3</v>
      </c>
    </row>
    <row r="22" spans="2:14" x14ac:dyDescent="0.2">
      <c r="B22" s="696"/>
      <c r="C22" s="16" t="str">
        <f>'Data &amp; hypothesis Adults'!C38</f>
        <v>ABC+DDI+LPV/r</v>
      </c>
      <c r="D22" s="697">
        <f>'Adults YEAR4'!F152+'Data &amp; hypothesis Adults'!D$12*E22</f>
        <v>0</v>
      </c>
      <c r="E22" s="698">
        <f>'Adults YEAR4'!G152</f>
        <v>0</v>
      </c>
    </row>
    <row r="23" spans="2:14" x14ac:dyDescent="0.2">
      <c r="B23" s="696"/>
      <c r="C23" s="15" t="str">
        <f>'Data &amp; hypothesis Adults'!C39</f>
        <v>TDF+3TC/FTC+ABC</v>
      </c>
      <c r="D23" s="697">
        <f>'Adults YEAR4'!F153+'Data &amp; hypothesis Adults'!D$12*E23</f>
        <v>0</v>
      </c>
      <c r="E23" s="698">
        <f>'Adults YEAR4'!G153</f>
        <v>0</v>
      </c>
    </row>
    <row r="24" spans="2:14" x14ac:dyDescent="0.2">
      <c r="B24" s="696"/>
      <c r="C24" s="15" t="str">
        <f>'Data &amp; hypothesis Adults'!C40</f>
        <v>AZT+3TC+LPV/r</v>
      </c>
      <c r="D24" s="697">
        <f>'Adults YEAR4'!F154+'Data &amp; hypothesis Adults'!D$12*E24</f>
        <v>783.50412543869777</v>
      </c>
      <c r="E24" s="698">
        <f>'Adults YEAR4'!G154</f>
        <v>3.8605344813937188E-2</v>
      </c>
    </row>
    <row r="25" spans="2:14" x14ac:dyDescent="0.2">
      <c r="B25" s="696"/>
      <c r="C25" s="36">
        <f>'Data &amp; hypothesis Adults'!C41</f>
        <v>0</v>
      </c>
      <c r="D25" s="697">
        <f>'Adults YEAR4'!F155+'Data &amp; hypothesis Adults'!D$12*E25</f>
        <v>0</v>
      </c>
      <c r="E25" s="698">
        <f>'Adults YEAR4'!G155</f>
        <v>0</v>
      </c>
    </row>
    <row r="26" spans="2:14" x14ac:dyDescent="0.2">
      <c r="B26" s="696"/>
      <c r="C26" s="1155">
        <f>'Data &amp; hypothesis Adults'!C42</f>
        <v>0</v>
      </c>
      <c r="D26" s="699">
        <f>'Adults YEAR4'!F156+'Data &amp; hypothesis Adults'!D$12*E26</f>
        <v>0</v>
      </c>
      <c r="E26" s="700">
        <f>'Adults YEAR4'!G156</f>
        <v>0</v>
      </c>
    </row>
    <row r="27" spans="2:14" x14ac:dyDescent="0.2">
      <c r="B27" s="701" t="str">
        <f>'TRAD-Adults YEAR(1)'!B12</f>
        <v>3èmes lignes</v>
      </c>
      <c r="C27" s="702" t="str">
        <f>'TRAD-Adults YEAR(1)'!B16</f>
        <v>nb de patient total 3èmes lignes</v>
      </c>
      <c r="D27" s="703">
        <f>'Adults YEAR4'!F157+'Data &amp; hypothesis Adults'!D$12*E27</f>
        <v>0</v>
      </c>
      <c r="E27" s="704">
        <f>'Adults YEAR4'!G157</f>
        <v>0</v>
      </c>
    </row>
    <row r="28" spans="2:14" ht="13.5" thickBot="1" x14ac:dyDescent="0.25">
      <c r="B28" s="696"/>
      <c r="C28" s="497"/>
      <c r="D28" s="699">
        <f>'Adults YEAR4'!F158+'Data &amp; hypothesis Adults'!D$12*E28</f>
        <v>0</v>
      </c>
      <c r="E28" s="700">
        <f>'Adults YEAR4'!G158</f>
        <v>0</v>
      </c>
    </row>
    <row r="29" spans="2:14" ht="14.25" thickTop="1" thickBot="1" x14ac:dyDescent="0.25">
      <c r="B29" s="706"/>
      <c r="C29" s="707" t="s">
        <v>6</v>
      </c>
      <c r="D29" s="708">
        <f>'Adults YEAR4'!F159+'Data &amp; hypothesis Adults'!D$12</f>
        <v>20295.224125438697</v>
      </c>
      <c r="E29" s="836">
        <f>SUM(E10:E28)</f>
        <v>0.99999999999999989</v>
      </c>
    </row>
    <row r="31" spans="2:14" x14ac:dyDescent="0.2">
      <c r="B31" s="290" t="str">
        <f>'TRAD-Adults YEAR(1)'!B17</f>
        <v>Commentaire</v>
      </c>
      <c r="C31" s="291"/>
      <c r="D31" s="291"/>
      <c r="E31" s="291"/>
      <c r="F31" s="291"/>
      <c r="G31" s="291"/>
      <c r="H31" s="291"/>
      <c r="I31" s="291"/>
      <c r="J31" s="291"/>
      <c r="K31" s="291"/>
      <c r="L31" s="291"/>
      <c r="M31" s="291"/>
      <c r="N31" s="497"/>
    </row>
    <row r="32" spans="2:14" x14ac:dyDescent="0.2">
      <c r="C32" s="260" t="str">
        <f>'TRAD-Adults YEAR(1)'!B18</f>
        <v>considérant que le passage en 3ème ligne est théorique, le nombre total n'en tient pas compte de manière à laisser les quantités suffisantes en 2èmes lignes</v>
      </c>
    </row>
    <row r="34" spans="1:20" ht="16.5" thickBot="1" x14ac:dyDescent="0.3">
      <c r="A34" s="2144" t="str">
        <f>'TRAD-Adults YEAR (2)'!B11</f>
        <v>Evolution de la file active de patients sous traitement à prévoir pour la 5ème année</v>
      </c>
      <c r="B34" s="2144"/>
      <c r="C34" s="2144"/>
      <c r="D34" s="2144"/>
      <c r="E34" s="2144"/>
      <c r="F34" s="2144"/>
      <c r="G34" s="2144"/>
      <c r="H34" s="2144"/>
      <c r="I34" s="2144"/>
      <c r="J34" s="2144"/>
      <c r="K34" s="2144"/>
      <c r="L34" s="2144"/>
      <c r="M34" s="497"/>
      <c r="N34" s="497"/>
      <c r="O34" s="497"/>
      <c r="P34" s="497"/>
      <c r="Q34" s="497"/>
    </row>
    <row r="36" spans="1:20" ht="15" x14ac:dyDescent="0.2">
      <c r="B36" s="2143" t="str">
        <f>'TRAD-Adults YEAR(1)'!B19</f>
        <v>Répartition des Initiations</v>
      </c>
      <c r="C36" s="2143"/>
      <c r="D36" s="2143"/>
      <c r="E36" s="2143"/>
      <c r="F36" s="2143"/>
      <c r="G36" s="2143"/>
      <c r="H36" s="2143"/>
      <c r="I36" s="2143"/>
      <c r="J36" s="2143"/>
      <c r="K36" s="2143"/>
      <c r="L36" s="2143"/>
      <c r="M36" s="2143"/>
      <c r="N36" s="961"/>
      <c r="O36" s="497"/>
      <c r="P36" s="497"/>
      <c r="Q36" s="497"/>
    </row>
    <row r="37" spans="1:20" ht="13.5" thickBot="1" x14ac:dyDescent="0.25"/>
    <row r="38" spans="1:20" s="545" customFormat="1" ht="64.5" thickBot="1" x14ac:dyDescent="0.25">
      <c r="B38" s="709" t="str">
        <f>'TRAD-Adults YEAR(1)'!B20</f>
        <v>Schémas thérap. Initiations</v>
      </c>
      <c r="C38" s="963" t="str">
        <f>'TRAD-Adults YEAR(1)'!B21</f>
        <v>Critères</v>
      </c>
      <c r="D38" s="963" t="s">
        <v>51</v>
      </c>
      <c r="E38" s="963" t="str">
        <f>'TRAD-Adults YEAR(1)'!B23</f>
        <v>Nb de patients mensuels</v>
      </c>
      <c r="F38" s="710" t="str">
        <f>'TRAD-Adults YEAR(1)'!B24</f>
        <v>Nb de patients total sur la période définie</v>
      </c>
      <c r="M38" s="962"/>
      <c r="T38" s="962"/>
    </row>
    <row r="39" spans="1:20" ht="13.5" thickBot="1" x14ac:dyDescent="0.25">
      <c r="B39" s="711" t="str">
        <f>C10</f>
        <v>AZT+3TC+NVP</v>
      </c>
      <c r="C39" s="546">
        <f>'Data &amp; hypothesis Adults'!C56</f>
        <v>0</v>
      </c>
      <c r="D39" s="547">
        <f>'Data &amp; hypothesis Adults'!H56</f>
        <v>0</v>
      </c>
      <c r="E39" s="1195">
        <f>D39*E$49</f>
        <v>0</v>
      </c>
      <c r="F39" s="1501">
        <f t="shared" ref="F39:F46" si="0">E39*$D$6</f>
        <v>0</v>
      </c>
    </row>
    <row r="40" spans="1:20" ht="13.5" thickBot="1" x14ac:dyDescent="0.25">
      <c r="B40" s="712" t="str">
        <f t="shared" ref="B40:B46" si="1">C11</f>
        <v>AZT+3TC+EFV</v>
      </c>
      <c r="C40" s="546">
        <f>'Data &amp; hypothesis Adults'!C57</f>
        <v>0</v>
      </c>
      <c r="D40" s="550">
        <f>'Data &amp; hypothesis Adults'!H57</f>
        <v>0</v>
      </c>
      <c r="E40" s="734">
        <f t="shared" ref="E40:E46" si="2">D40*E$49</f>
        <v>0</v>
      </c>
      <c r="F40" s="1502">
        <f t="shared" si="0"/>
        <v>0</v>
      </c>
    </row>
    <row r="41" spans="1:20" ht="13.5" thickBot="1" x14ac:dyDescent="0.25">
      <c r="B41" s="712" t="str">
        <f t="shared" si="1"/>
        <v>AZT+3TC+ABC</v>
      </c>
      <c r="C41" s="546">
        <f>'Data &amp; hypothesis Adults'!C58</f>
        <v>0</v>
      </c>
      <c r="D41" s="550">
        <f>'Data &amp; hypothesis Adults'!H58</f>
        <v>0</v>
      </c>
      <c r="E41" s="734">
        <f t="shared" si="2"/>
        <v>0</v>
      </c>
      <c r="F41" s="1502">
        <f t="shared" si="0"/>
        <v>0</v>
      </c>
    </row>
    <row r="42" spans="1:20" ht="13.5" thickBot="1" x14ac:dyDescent="0.25">
      <c r="B42" s="712" t="str">
        <f t="shared" si="1"/>
        <v>AZT+3TC+LPV/r</v>
      </c>
      <c r="C42" s="546">
        <f>'Data &amp; hypothesis Adults'!C59</f>
        <v>0</v>
      </c>
      <c r="D42" s="550">
        <f>'Data &amp; hypothesis Adults'!H59</f>
        <v>0</v>
      </c>
      <c r="E42" s="734">
        <f t="shared" si="2"/>
        <v>0</v>
      </c>
      <c r="F42" s="1502">
        <f t="shared" si="0"/>
        <v>0</v>
      </c>
    </row>
    <row r="43" spans="1:20" ht="13.5" thickBot="1" x14ac:dyDescent="0.25">
      <c r="B43" s="713" t="str">
        <f t="shared" si="1"/>
        <v>ABC+3TC+EFV</v>
      </c>
      <c r="C43" s="546">
        <f>'Data &amp; hypothesis Adults'!C60</f>
        <v>0</v>
      </c>
      <c r="D43" s="550">
        <f>'Data &amp; hypothesis Adults'!H60</f>
        <v>0</v>
      </c>
      <c r="E43" s="734">
        <f t="shared" ref="E43" si="3">D43*E$49</f>
        <v>0</v>
      </c>
      <c r="F43" s="1502">
        <f t="shared" ref="F43" si="4">E43*$D$6</f>
        <v>0</v>
      </c>
    </row>
    <row r="44" spans="1:20" ht="13.5" thickBot="1" x14ac:dyDescent="0.25">
      <c r="B44" s="713" t="str">
        <f t="shared" si="1"/>
        <v>TDF+FTC/3TC+EFV</v>
      </c>
      <c r="C44" s="546">
        <f>'Data &amp; hypothesis Adults'!C61</f>
        <v>0</v>
      </c>
      <c r="D44" s="549">
        <f>'Data &amp; hypothesis Adults'!H61</f>
        <v>0</v>
      </c>
      <c r="E44" s="733">
        <f t="shared" si="2"/>
        <v>0</v>
      </c>
      <c r="F44" s="1503">
        <f t="shared" si="0"/>
        <v>0</v>
      </c>
    </row>
    <row r="45" spans="1:20" ht="13.5" thickBot="1" x14ac:dyDescent="0.25">
      <c r="B45" s="713" t="str">
        <f t="shared" si="1"/>
        <v>TDF+FTC/3TC+LPV/r</v>
      </c>
      <c r="C45" s="546">
        <f>'Data &amp; hypothesis Adults'!C62</f>
        <v>0</v>
      </c>
      <c r="D45" s="549">
        <f>'Data &amp; hypothesis Adults'!H62</f>
        <v>0</v>
      </c>
      <c r="E45" s="733">
        <f t="shared" si="2"/>
        <v>0</v>
      </c>
      <c r="F45" s="1503">
        <f t="shared" si="0"/>
        <v>0</v>
      </c>
    </row>
    <row r="46" spans="1:20" ht="13.5" thickBot="1" x14ac:dyDescent="0.25">
      <c r="B46" s="713" t="str">
        <f t="shared" si="1"/>
        <v>ABC+3TC+LPV/r</v>
      </c>
      <c r="C46" s="546">
        <f>'Data &amp; hypothesis Adults'!C63</f>
        <v>0</v>
      </c>
      <c r="D46" s="549">
        <f>'Data &amp; hypothesis Adults'!H63</f>
        <v>0</v>
      </c>
      <c r="E46" s="733">
        <f t="shared" si="2"/>
        <v>0</v>
      </c>
      <c r="F46" s="1503">
        <f t="shared" si="0"/>
        <v>0</v>
      </c>
    </row>
    <row r="47" spans="1:20" ht="13.5" thickBot="1" x14ac:dyDescent="0.25">
      <c r="B47" s="713" t="str">
        <f t="shared" ref="B47:B48" si="5">C18</f>
        <v>TDF+3TC/FTC+ABC</v>
      </c>
      <c r="C47" s="546">
        <f>'Data &amp; hypothesis Adults'!C64</f>
        <v>0</v>
      </c>
      <c r="D47" s="549">
        <f>'Data &amp; hypothesis Adults'!H64</f>
        <v>0</v>
      </c>
      <c r="E47" s="733">
        <f t="shared" ref="E47:E48" si="6">D47*E$49</f>
        <v>0</v>
      </c>
      <c r="F47" s="1503">
        <f t="shared" ref="F47:F48" si="7">E47*$D$6</f>
        <v>0</v>
      </c>
    </row>
    <row r="48" spans="1:20" ht="13.5" thickBot="1" x14ac:dyDescent="0.25">
      <c r="B48" s="713">
        <f t="shared" si="5"/>
        <v>0</v>
      </c>
      <c r="C48" s="546">
        <f>'Data &amp; hypothesis Adults'!C65</f>
        <v>0</v>
      </c>
      <c r="D48" s="549">
        <f>'Data &amp; hypothesis Adults'!H65</f>
        <v>0</v>
      </c>
      <c r="E48" s="733">
        <f t="shared" si="6"/>
        <v>0</v>
      </c>
      <c r="F48" s="1503">
        <f t="shared" si="7"/>
        <v>0</v>
      </c>
    </row>
    <row r="49" spans="1:21" ht="14.25" thickTop="1" thickBot="1" x14ac:dyDescent="0.25">
      <c r="B49" s="714" t="s">
        <v>6</v>
      </c>
      <c r="C49" s="715"/>
      <c r="D49" s="716"/>
      <c r="E49" s="716">
        <f>'Data &amp; hypothesis Adults'!E12</f>
        <v>0</v>
      </c>
      <c r="F49" s="717">
        <f>SUM(F39:F48)</f>
        <v>0</v>
      </c>
    </row>
    <row r="50" spans="1:21" x14ac:dyDescent="0.2">
      <c r="A50" s="528"/>
    </row>
    <row r="51" spans="1:21" ht="13.5" thickBot="1" x14ac:dyDescent="0.25">
      <c r="A51" s="528"/>
    </row>
    <row r="52" spans="1:21" s="545" customFormat="1" ht="64.5" thickBot="1" x14ac:dyDescent="0.25">
      <c r="B52" s="709" t="str">
        <f>'TRAD-Adults YEAR(1)'!B20</f>
        <v>Schémas thérap. Initiations</v>
      </c>
      <c r="C52" s="963" t="str">
        <f>'TRAD-Adults YEAR(1)'!B21</f>
        <v>Critères</v>
      </c>
      <c r="D52" s="963" t="str">
        <f>'TRAD-Adults YEAR(1)'!B23</f>
        <v>Nb de patients mensuels</v>
      </c>
      <c r="E52" s="963" t="str">
        <f>'TRAD-Adults YEAR(1)'!B26</f>
        <v>Total patients-mois</v>
      </c>
      <c r="F52" s="720" t="str">
        <f>'TRAD-Adults YEAR(1)'!B28</f>
        <v>Médicaments nécessaires</v>
      </c>
      <c r="G52" s="720"/>
      <c r="H52" s="963" t="str">
        <f>'TRAD-Adults YEAR(1)'!B29</f>
        <v>Total patients-mois AVEC Marge de sécurité</v>
      </c>
      <c r="I52" s="710" t="str">
        <f>'TRAD-Adults YEAR(1)'!B30</f>
        <v>Nb de patients-mois Marge de sécurité SEULE</v>
      </c>
      <c r="N52" s="962"/>
      <c r="U52" s="962"/>
    </row>
    <row r="53" spans="1:21" ht="13.5" thickBot="1" x14ac:dyDescent="0.25">
      <c r="B53" s="711" t="str">
        <f t="shared" ref="B53:B60" si="8">B39</f>
        <v>AZT+3TC+NVP</v>
      </c>
      <c r="C53" s="546">
        <f>'Data &amp; hypothesis Adults'!C56</f>
        <v>0</v>
      </c>
      <c r="D53" s="548">
        <f t="shared" ref="D53:D57" si="9">$E39</f>
        <v>0</v>
      </c>
      <c r="E53" s="721">
        <f t="shared" ref="E53:E60" si="10">D53*(D$6*(D$6+1)/2)</f>
        <v>0</v>
      </c>
      <c r="F53" s="546" t="s">
        <v>57</v>
      </c>
      <c r="G53" s="546"/>
      <c r="H53" s="721">
        <f>D53*((D$6+'General Data'!E$30)*(D$6+'General Data'!E$30+1)/2)</f>
        <v>0</v>
      </c>
      <c r="I53" s="722">
        <f t="shared" ref="I53:I60" si="11">H53-E53</f>
        <v>0</v>
      </c>
    </row>
    <row r="54" spans="1:21" ht="13.5" thickBot="1" x14ac:dyDescent="0.25">
      <c r="B54" s="712" t="str">
        <f t="shared" si="8"/>
        <v>AZT+3TC+EFV</v>
      </c>
      <c r="C54" s="546">
        <f>'Data &amp; hypothesis Adults'!C57</f>
        <v>0</v>
      </c>
      <c r="D54" s="324">
        <f t="shared" si="9"/>
        <v>0</v>
      </c>
      <c r="E54" s="721">
        <f t="shared" si="10"/>
        <v>0</v>
      </c>
      <c r="F54" s="323" t="s">
        <v>58</v>
      </c>
      <c r="G54" s="323" t="s">
        <v>17</v>
      </c>
      <c r="H54" s="721">
        <f>D54*((D$6+'General Data'!E$30)*(D$6+'General Data'!E$30+1)/2)</f>
        <v>0</v>
      </c>
      <c r="I54" s="722">
        <f t="shared" si="11"/>
        <v>0</v>
      </c>
    </row>
    <row r="55" spans="1:21" ht="13.5" thickBot="1" x14ac:dyDescent="0.25">
      <c r="B55" s="712" t="str">
        <f t="shared" si="8"/>
        <v>AZT+3TC+ABC</v>
      </c>
      <c r="C55" s="546">
        <f>'Data &amp; hypothesis Adults'!C58</f>
        <v>0</v>
      </c>
      <c r="D55" s="324">
        <f t="shared" si="9"/>
        <v>0</v>
      </c>
      <c r="E55" s="721">
        <f t="shared" si="10"/>
        <v>0</v>
      </c>
      <c r="F55" s="323" t="s">
        <v>345</v>
      </c>
      <c r="G55" s="323"/>
      <c r="H55" s="721">
        <f>D55*((D$6+'General Data'!E$30)*(D$6+'General Data'!E$30+1)/2)</f>
        <v>0</v>
      </c>
      <c r="I55" s="722">
        <f t="shared" si="11"/>
        <v>0</v>
      </c>
    </row>
    <row r="56" spans="1:21" ht="13.5" thickBot="1" x14ac:dyDescent="0.25">
      <c r="B56" s="712" t="str">
        <f t="shared" si="8"/>
        <v>AZT+3TC+LPV/r</v>
      </c>
      <c r="C56" s="546">
        <f>'Data &amp; hypothesis Adults'!C59</f>
        <v>0</v>
      </c>
      <c r="D56" s="324">
        <f t="shared" si="9"/>
        <v>0</v>
      </c>
      <c r="E56" s="721">
        <f t="shared" si="10"/>
        <v>0</v>
      </c>
      <c r="F56" s="323" t="s">
        <v>58</v>
      </c>
      <c r="G56" s="323" t="s">
        <v>33</v>
      </c>
      <c r="H56" s="721">
        <f>D56*((D$6+'General Data'!E$30)*(D$6+'General Data'!E$30+1)/2)</f>
        <v>0</v>
      </c>
      <c r="I56" s="722">
        <f>H56-E56</f>
        <v>0</v>
      </c>
    </row>
    <row r="57" spans="1:21" ht="13.5" thickBot="1" x14ac:dyDescent="0.25">
      <c r="B57" s="713" t="str">
        <f t="shared" si="8"/>
        <v>ABC+3TC+EFV</v>
      </c>
      <c r="C57" s="546">
        <f>'Data &amp; hypothesis Adults'!C60</f>
        <v>0</v>
      </c>
      <c r="D57" s="324">
        <f t="shared" si="9"/>
        <v>0</v>
      </c>
      <c r="E57" s="721">
        <f t="shared" ref="E57" si="12">D57*(D$6*(D$6+1)/2)</f>
        <v>0</v>
      </c>
      <c r="F57" s="323" t="s">
        <v>739</v>
      </c>
      <c r="G57" s="314" t="s">
        <v>17</v>
      </c>
      <c r="H57" s="721">
        <f>D57*((D$6+'General Data'!E$30)*(D$6+'General Data'!E$30+1)/2)</f>
        <v>0</v>
      </c>
      <c r="I57" s="722">
        <f>H57-E57</f>
        <v>0</v>
      </c>
    </row>
    <row r="58" spans="1:21" ht="13.5" thickBot="1" x14ac:dyDescent="0.25">
      <c r="B58" s="713" t="str">
        <f t="shared" si="8"/>
        <v>TDF+FTC/3TC+EFV</v>
      </c>
      <c r="C58" s="546">
        <f>'Data &amp; hypothesis Adults'!C61</f>
        <v>0</v>
      </c>
      <c r="D58" s="315">
        <f>$E44</f>
        <v>0</v>
      </c>
      <c r="E58" s="721">
        <f t="shared" si="10"/>
        <v>0</v>
      </c>
      <c r="F58" s="314" t="s">
        <v>59</v>
      </c>
      <c r="G58" s="314"/>
      <c r="H58" s="721">
        <f>D58*((D$6+'General Data'!E$30)*(D$6+'General Data'!E$30+1)/2)</f>
        <v>0</v>
      </c>
      <c r="I58" s="722">
        <f t="shared" si="11"/>
        <v>0</v>
      </c>
    </row>
    <row r="59" spans="1:21" ht="13.5" thickBot="1" x14ac:dyDescent="0.25">
      <c r="B59" s="713" t="str">
        <f t="shared" si="8"/>
        <v>TDF+FTC/3TC+LPV/r</v>
      </c>
      <c r="C59" s="546">
        <f>'Data &amp; hypothesis Adults'!C62</f>
        <v>0</v>
      </c>
      <c r="D59" s="315">
        <f>$E45</f>
        <v>0</v>
      </c>
      <c r="E59" s="721">
        <f t="shared" si="10"/>
        <v>0</v>
      </c>
      <c r="F59" s="314" t="s">
        <v>201</v>
      </c>
      <c r="G59" s="314" t="s">
        <v>17</v>
      </c>
      <c r="H59" s="721">
        <f>D59*((D$6+'General Data'!E$30)*(D$6+'General Data'!E$30+1)/2)</f>
        <v>0</v>
      </c>
      <c r="I59" s="722">
        <f t="shared" si="11"/>
        <v>0</v>
      </c>
    </row>
    <row r="60" spans="1:21" ht="13.5" thickBot="1" x14ac:dyDescent="0.25">
      <c r="B60" s="713" t="str">
        <f t="shared" si="8"/>
        <v>ABC+3TC+LPV/r</v>
      </c>
      <c r="C60" s="546">
        <f>'Data &amp; hypothesis Adults'!C63</f>
        <v>0</v>
      </c>
      <c r="D60" s="315">
        <f>$E46</f>
        <v>0</v>
      </c>
      <c r="E60" s="721">
        <f t="shared" si="10"/>
        <v>0</v>
      </c>
      <c r="F60" s="314" t="s">
        <v>60</v>
      </c>
      <c r="G60" s="314" t="s">
        <v>17</v>
      </c>
      <c r="H60" s="721">
        <f>D60*((D$6+'General Data'!E$30)*(D$6+'General Data'!E$30+1)/2)</f>
        <v>0</v>
      </c>
      <c r="I60" s="722">
        <f t="shared" si="11"/>
        <v>0</v>
      </c>
    </row>
    <row r="61" spans="1:21" ht="13.5" thickBot="1" x14ac:dyDescent="0.25">
      <c r="B61" s="713" t="str">
        <f t="shared" ref="B61:B62" si="13">B47</f>
        <v>TDF+3TC/FTC+ABC</v>
      </c>
      <c r="C61" s="546">
        <f>'Data &amp; hypothesis Adults'!C64</f>
        <v>0</v>
      </c>
      <c r="D61" s="2083"/>
      <c r="E61" s="2084"/>
      <c r="F61" s="803"/>
      <c r="G61" s="803"/>
      <c r="H61" s="2084"/>
      <c r="I61" s="2085"/>
    </row>
    <row r="62" spans="1:21" ht="13.5" thickBot="1" x14ac:dyDescent="0.25">
      <c r="B62" s="713">
        <f t="shared" si="13"/>
        <v>0</v>
      </c>
      <c r="C62" s="546">
        <f>'Data &amp; hypothesis Adults'!C65</f>
        <v>0</v>
      </c>
      <c r="D62" s="552">
        <f>$E48</f>
        <v>0</v>
      </c>
      <c r="E62" s="723">
        <f>D62*(D$6*(D$6+1)/2)</f>
        <v>0</v>
      </c>
      <c r="F62" s="551"/>
      <c r="G62" s="551"/>
      <c r="H62" s="723">
        <f>D62*((D$6+'General Data'!E$30)*(D$6+'General Data'!E$30+1)/2)</f>
        <v>0</v>
      </c>
      <c r="I62" s="724">
        <f>H62-E62</f>
        <v>0</v>
      </c>
    </row>
    <row r="63" spans="1:21" ht="14.25" thickTop="1" thickBot="1" x14ac:dyDescent="0.25">
      <c r="B63" s="725" t="s">
        <v>288</v>
      </c>
      <c r="C63" s="726"/>
      <c r="D63" s="727">
        <f>SUM(D53:D62)</f>
        <v>0</v>
      </c>
      <c r="E63" s="727">
        <f>SUM(E53:E62)</f>
        <v>0</v>
      </c>
      <c r="F63" s="726"/>
      <c r="G63" s="726"/>
      <c r="H63" s="727"/>
      <c r="I63" s="718"/>
    </row>
    <row r="64" spans="1:21" x14ac:dyDescent="0.2">
      <c r="R64" s="292"/>
    </row>
    <row r="66" spans="2:20" ht="15" x14ac:dyDescent="0.2">
      <c r="B66" s="2143" t="str">
        <f>'TRAD-Adults YEAR(1)'!B31</f>
        <v>Passage en 2ème ligne</v>
      </c>
      <c r="C66" s="2143"/>
      <c r="D66" s="2143"/>
      <c r="E66" s="2143"/>
      <c r="F66" s="2143"/>
      <c r="G66" s="2143"/>
      <c r="H66" s="2143"/>
      <c r="I66" s="2143"/>
      <c r="J66" s="2143"/>
      <c r="K66" s="2143"/>
      <c r="L66" s="2143"/>
      <c r="M66" s="2143"/>
      <c r="N66" s="961"/>
    </row>
    <row r="68" spans="2:20" x14ac:dyDescent="0.2">
      <c r="B68" s="528" t="str">
        <f>'TRAD-Adults YEAR(1)'!B32</f>
        <v>Taux de passage en 2ème ligne</v>
      </c>
      <c r="C68" s="528"/>
      <c r="D68" s="728">
        <f>'Data &amp; hypothesis Adults'!D76</f>
        <v>0</v>
      </c>
      <c r="E68" s="528" t="str">
        <f>'TRAD-Adults YEAR(1)'!B33</f>
        <v>des patients à la fin de l'année</v>
      </c>
      <c r="F68" s="528"/>
      <c r="G68" s="528"/>
      <c r="H68" s="566">
        <f>ROUNDUP(D68*(D29+F49), 0)</f>
        <v>0</v>
      </c>
    </row>
    <row r="69" spans="2:20" s="523" customFormat="1" ht="13.5" thickBot="1" x14ac:dyDescent="0.25">
      <c r="E69" s="567"/>
      <c r="G69" s="565" t="str">
        <f>'TRAD-Adults YEAR(1)'!B34</f>
        <v>Nb de patients en 2ème ligne au début de l'année :</v>
      </c>
      <c r="H69" s="568">
        <f>$I$12</f>
        <v>2931.7045921702093</v>
      </c>
    </row>
    <row r="70" spans="2:20" ht="13.5" thickBot="1" x14ac:dyDescent="0.25">
      <c r="B70" s="528"/>
      <c r="C70" s="528"/>
      <c r="D70" s="569"/>
      <c r="E70" s="570"/>
      <c r="F70" s="571"/>
      <c r="G70" s="565" t="str">
        <f>'TRAD-Adults YEAR(1)'!B35</f>
        <v>Nb de patients ayant switché dans l'année :</v>
      </c>
      <c r="H70" s="729">
        <f>IF((H68-$I$12)&gt;0, H68-$I$12, 0)</f>
        <v>0</v>
      </c>
      <c r="J70" s="730" t="str">
        <f>'TRAD-Adults YEAR(1)'!B36</f>
        <v>Proportion mensuelle</v>
      </c>
      <c r="K70" s="570"/>
      <c r="L70" s="731" t="e">
        <f>H70/D6</f>
        <v>#DIV/0!</v>
      </c>
    </row>
    <row r="71" spans="2:20" ht="13.5" thickBot="1" x14ac:dyDescent="0.25"/>
    <row r="72" spans="2:20" s="545" customFormat="1" ht="64.5" thickBot="1" x14ac:dyDescent="0.25">
      <c r="B72" s="709" t="str">
        <f>'TRAD-Adults YEAR(1)'!B37</f>
        <v>Schémas thérap. 2èmes lignes</v>
      </c>
      <c r="C72" s="963" t="str">
        <f>'TRAD-Adults YEAR(1)'!B38</f>
        <v>TOTAL n de patients</v>
      </c>
      <c r="D72" s="963" t="str">
        <f>'TRAD-Adults YEAR(1)'!B23</f>
        <v>Nb de patients mensuels</v>
      </c>
      <c r="E72" s="963" t="s">
        <v>51</v>
      </c>
      <c r="F72" s="963" t="str">
        <f>'TRAD-Adults YEAR(1)'!B39</f>
        <v>Nb de patients-mois</v>
      </c>
      <c r="G72" s="963" t="str">
        <f>'TRAD-Adults YEAR(1)'!B29</f>
        <v>Total patients-mois AVEC Marge de sécurité</v>
      </c>
      <c r="H72" s="710" t="str">
        <f>'TRAD-Adults YEAR(1)'!B30</f>
        <v>Nb de patients-mois Marge de sécurité SEULE</v>
      </c>
      <c r="M72" s="962"/>
      <c r="T72" s="962"/>
    </row>
    <row r="73" spans="2:20" x14ac:dyDescent="0.2">
      <c r="B73" s="1910" t="str">
        <f>C20</f>
        <v>TDF+FTC/3TC+LPV/r</v>
      </c>
      <c r="C73" s="1911">
        <f>'Data &amp; hypothesis Adults'!C106</f>
        <v>424.34186668287776</v>
      </c>
      <c r="D73" s="1911" t="e">
        <f>C73/$D$6</f>
        <v>#DIV/0!</v>
      </c>
      <c r="E73" s="1912">
        <f>C73/C$80</f>
        <v>1</v>
      </c>
      <c r="F73" s="1913" t="e">
        <f>D73*(D$6*(D$6+1)/2)</f>
        <v>#DIV/0!</v>
      </c>
      <c r="G73" s="1913" t="e">
        <f>D73*((D$6+'General Data'!E$30)*(D$6+'General Data'!E$30+1)/2)</f>
        <v>#DIV/0!</v>
      </c>
      <c r="H73" s="1914" t="e">
        <f>G73-F73</f>
        <v>#DIV/0!</v>
      </c>
    </row>
    <row r="74" spans="2:20" x14ac:dyDescent="0.2">
      <c r="B74" s="1915" t="str">
        <f t="shared" ref="B74:B79" si="14">C21</f>
        <v>TDF+FTC/3TC+ATV/r</v>
      </c>
      <c r="C74" s="587">
        <f>'Data &amp; hypothesis Adults'!C107</f>
        <v>0</v>
      </c>
      <c r="D74" s="1196" t="e">
        <f>C74/$D$6</f>
        <v>#DIV/0!</v>
      </c>
      <c r="E74" s="534">
        <f>C74/C$80</f>
        <v>0</v>
      </c>
      <c r="F74" s="1142" t="e">
        <f>D74*(D$6*(D$6+1)/2)</f>
        <v>#DIV/0!</v>
      </c>
      <c r="G74" s="1142" t="e">
        <f>D74*((D$6+'General Data'!E$30)*(D$6+'General Data'!E$30+1)/2)</f>
        <v>#DIV/0!</v>
      </c>
      <c r="H74" s="1143" t="e">
        <f>G74-F74</f>
        <v>#DIV/0!</v>
      </c>
    </row>
    <row r="75" spans="2:20" x14ac:dyDescent="0.2">
      <c r="B75" s="1916" t="str">
        <f t="shared" si="14"/>
        <v>ABC+DDI+LPV/r</v>
      </c>
      <c r="C75" s="734">
        <f>'Data &amp; hypothesis Adults'!C108</f>
        <v>0</v>
      </c>
      <c r="D75" s="734" t="e">
        <f>C75/$D$6</f>
        <v>#DIV/0!</v>
      </c>
      <c r="E75" s="735">
        <f>C75/C$80</f>
        <v>0</v>
      </c>
      <c r="F75" s="1142" t="e">
        <f>D75*(D$6*(D$6+1)/2)</f>
        <v>#DIV/0!</v>
      </c>
      <c r="G75" s="1142" t="e">
        <f>D75*((D$6+'General Data'!E$30)*(D$6+'General Data'!E$30+1)/2)</f>
        <v>#DIV/0!</v>
      </c>
      <c r="H75" s="1143" t="e">
        <f>G75-F75</f>
        <v>#DIV/0!</v>
      </c>
    </row>
    <row r="76" spans="2:20" ht="13.5" thickBot="1" x14ac:dyDescent="0.25">
      <c r="B76" s="1915" t="str">
        <f t="shared" si="14"/>
        <v>TDF+3TC/FTC+ABC</v>
      </c>
      <c r="C76" s="591">
        <f>'Data &amp; hypothesis Adults'!C109</f>
        <v>0</v>
      </c>
      <c r="D76" s="1144" t="e">
        <f>C76/$D$6</f>
        <v>#DIV/0!</v>
      </c>
      <c r="E76" s="539">
        <f>C76/C$80</f>
        <v>0</v>
      </c>
      <c r="F76" s="737" t="e">
        <f>D76*(D$6*(D$6+1)/2)</f>
        <v>#DIV/0!</v>
      </c>
      <c r="G76" s="737" t="e">
        <f>D76*((D$6+'General Data'!E$30)*(D$6+'General Data'!E$30+1)/2)</f>
        <v>#DIV/0!</v>
      </c>
      <c r="H76" s="738" t="e">
        <f>G76-F76</f>
        <v>#DIV/0!</v>
      </c>
    </row>
    <row r="77" spans="2:20" ht="14.25" thickTop="1" thickBot="1" x14ac:dyDescent="0.25">
      <c r="B77" s="1916" t="str">
        <f t="shared" si="14"/>
        <v>AZT+3TC+LPV/r</v>
      </c>
      <c r="C77" s="591">
        <f>'Data &amp; hypothesis Adults'!C110</f>
        <v>195.87603135967444</v>
      </c>
      <c r="D77" s="1144" t="e">
        <f t="shared" ref="D77:D79" si="15">C77/$D$6</f>
        <v>#DIV/0!</v>
      </c>
      <c r="E77" s="539">
        <f t="shared" ref="E77:E79" si="16">C77/C$80</f>
        <v>0.46159958924358963</v>
      </c>
      <c r="F77" s="737" t="e">
        <f t="shared" ref="F77:F79" si="17">D77*(D$6*(D$6+1)/2)</f>
        <v>#DIV/0!</v>
      </c>
      <c r="G77" s="737" t="e">
        <f>D77*((D$6+'General Data'!E$30)*(D$6+'General Data'!E$30+1)/2)</f>
        <v>#DIV/0!</v>
      </c>
      <c r="H77" s="738" t="e">
        <f t="shared" ref="H77:H79" si="18">G77-F77</f>
        <v>#DIV/0!</v>
      </c>
    </row>
    <row r="78" spans="2:20" ht="14.25" thickTop="1" thickBot="1" x14ac:dyDescent="0.25">
      <c r="B78" s="1915">
        <f t="shared" si="14"/>
        <v>0</v>
      </c>
      <c r="C78" s="591">
        <f>'Data &amp; hypothesis Adults'!C111</f>
        <v>0</v>
      </c>
      <c r="D78" s="1144" t="e">
        <f t="shared" si="15"/>
        <v>#DIV/0!</v>
      </c>
      <c r="E78" s="539">
        <f t="shared" si="16"/>
        <v>0</v>
      </c>
      <c r="F78" s="737" t="e">
        <f t="shared" si="17"/>
        <v>#DIV/0!</v>
      </c>
      <c r="G78" s="737" t="e">
        <f>D78*((D$6+'General Data'!E$30)*(D$6+'General Data'!E$30+1)/2)</f>
        <v>#DIV/0!</v>
      </c>
      <c r="H78" s="738" t="e">
        <f t="shared" si="18"/>
        <v>#DIV/0!</v>
      </c>
    </row>
    <row r="79" spans="2:20" ht="14.25" thickTop="1" thickBot="1" x14ac:dyDescent="0.25">
      <c r="B79" s="1917">
        <f t="shared" si="14"/>
        <v>0</v>
      </c>
      <c r="C79" s="1922">
        <f>'Data &amp; hypothesis Adults'!C112</f>
        <v>0</v>
      </c>
      <c r="D79" s="1923" t="e">
        <f t="shared" si="15"/>
        <v>#DIV/0!</v>
      </c>
      <c r="E79" s="1924">
        <f t="shared" si="16"/>
        <v>0</v>
      </c>
      <c r="F79" s="1920" t="e">
        <f t="shared" si="17"/>
        <v>#DIV/0!</v>
      </c>
      <c r="G79" s="1920" t="e">
        <f>D79*((D$6+'General Data'!E$30)*(D$6+'General Data'!E$30+1)/2)</f>
        <v>#DIV/0!</v>
      </c>
      <c r="H79" s="1921" t="e">
        <f t="shared" si="18"/>
        <v>#DIV/0!</v>
      </c>
    </row>
    <row r="80" spans="2:20" ht="13.5" thickBot="1" x14ac:dyDescent="0.25">
      <c r="B80" s="739" t="s">
        <v>6</v>
      </c>
      <c r="C80" s="740">
        <f>SUM(C73:C76)</f>
        <v>424.34186668287776</v>
      </c>
      <c r="D80" s="740" t="e">
        <f>SUM(D73:D76)</f>
        <v>#DIV/0!</v>
      </c>
      <c r="E80" s="740"/>
      <c r="F80" s="740" t="e">
        <f t="shared" ref="F80:G80" si="19">SUM(F73:F76)</f>
        <v>#DIV/0!</v>
      </c>
      <c r="G80" s="740" t="e">
        <f t="shared" si="19"/>
        <v>#DIV/0!</v>
      </c>
      <c r="H80" s="741"/>
    </row>
    <row r="83" spans="2:21" ht="15" x14ac:dyDescent="0.2">
      <c r="B83" s="2143" t="str">
        <f>'TRAD-Adults YEAR(1)'!B41</f>
        <v>Passage en 3ème ligne</v>
      </c>
      <c r="C83" s="2143"/>
      <c r="D83" s="2143"/>
      <c r="E83" s="2143"/>
      <c r="F83" s="2143"/>
      <c r="G83" s="2143"/>
      <c r="H83" s="2143"/>
      <c r="I83" s="2143"/>
      <c r="J83" s="2143"/>
      <c r="K83" s="2143"/>
      <c r="L83" s="2143"/>
      <c r="M83" s="2143"/>
      <c r="N83" s="961"/>
    </row>
    <row r="85" spans="2:21" x14ac:dyDescent="0.2">
      <c r="B85" s="528" t="str">
        <f>'TRAD-Adults YEAR(1)'!B42</f>
        <v>Taux de passage en 3ème ligne</v>
      </c>
      <c r="C85" s="528"/>
      <c r="D85" s="728">
        <f>'Data &amp; hypothesis Adults'!D136</f>
        <v>0</v>
      </c>
      <c r="E85" s="528" t="str">
        <f>'TRAD-Adults YEAR(1)'!B43</f>
        <v>des patients de 2ème ligne à la fin de l'année</v>
      </c>
      <c r="F85" s="528"/>
      <c r="G85" s="528"/>
      <c r="H85" s="568">
        <f>D85*MAX(H68:H69)</f>
        <v>0</v>
      </c>
    </row>
    <row r="86" spans="2:21" s="523" customFormat="1" ht="13.5" thickBot="1" x14ac:dyDescent="0.25">
      <c r="E86" s="567"/>
      <c r="G86" s="565" t="str">
        <f>'TRAD-Adults YEAR(1)'!B44</f>
        <v>Nb de patients en 3ème ligne au début de l'année :</v>
      </c>
      <c r="H86" s="568">
        <f>D27</f>
        <v>0</v>
      </c>
    </row>
    <row r="87" spans="2:21" ht="13.5" thickBot="1" x14ac:dyDescent="0.25">
      <c r="B87" s="528"/>
      <c r="C87" s="528"/>
      <c r="D87" s="569"/>
      <c r="E87" s="570"/>
      <c r="F87" s="571"/>
      <c r="G87" s="565" t="str">
        <f>'TRAD-Adults YEAR(1)'!B45</f>
        <v>Nb de patients ayant switché dans l'année :</v>
      </c>
      <c r="H87" s="729">
        <f>IF((H85-SUM(D27:D28))&gt;0, H85-SUM(D27:D28), 0)</f>
        <v>0</v>
      </c>
      <c r="J87" s="730" t="str">
        <f>'TRAD-Adults YEAR(1)'!B36</f>
        <v>Proportion mensuelle</v>
      </c>
      <c r="K87" s="570"/>
      <c r="L87" s="731" t="e">
        <f>H87/D6</f>
        <v>#DIV/0!</v>
      </c>
    </row>
    <row r="89" spans="2:21" x14ac:dyDescent="0.2">
      <c r="B89" s="290" t="str">
        <f>'TRAD-Adults YEAR(1)'!B17</f>
        <v>Commentaire</v>
      </c>
      <c r="C89" s="291"/>
      <c r="D89" s="291"/>
      <c r="E89" s="291"/>
      <c r="F89" s="291"/>
      <c r="G89" s="291"/>
      <c r="H89" s="291"/>
      <c r="I89" s="291"/>
      <c r="J89" s="291"/>
      <c r="K89" s="291"/>
      <c r="L89" s="291"/>
      <c r="M89" s="291"/>
      <c r="N89" s="497"/>
    </row>
    <row r="90" spans="2:21" ht="24" customHeight="1" x14ac:dyDescent="0.2">
      <c r="B90" s="2145" t="str">
        <f>'TRAD-Adults YEAR(1)'!B46</f>
        <v>Pour les 3èmes lignes, la méthode n'est pas la même et ne repose pas sur les lignes. Nous avons considéré la proportion de patients et les molécules nécessaires pour les prendre en charge. Cela permet ainsi de faire plusieurs combinaisons.</v>
      </c>
      <c r="C90" s="2145"/>
      <c r="D90" s="2145"/>
      <c r="E90" s="2145"/>
      <c r="F90" s="2145"/>
      <c r="G90" s="2145"/>
      <c r="H90" s="2145"/>
      <c r="I90" s="2145"/>
      <c r="J90" s="2145"/>
      <c r="K90" s="2145"/>
      <c r="L90" s="2145"/>
      <c r="M90" s="2145"/>
      <c r="N90" s="962"/>
    </row>
    <row r="91" spans="2:21" ht="13.5" thickBot="1" x14ac:dyDescent="0.25"/>
    <row r="92" spans="2:21" s="545" customFormat="1" ht="64.5" thickBot="1" x14ac:dyDescent="0.25">
      <c r="B92" s="742" t="str">
        <f>'TRAD-Adults YEAR(1)'!B47</f>
        <v>Classe pharmaco</v>
      </c>
      <c r="C92" s="963" t="str">
        <f>'TRAD-Adults YEAR(1)'!B48</f>
        <v>Molécules à avoir en plus pour des 3èmes lignes possibles</v>
      </c>
      <c r="D92" s="963" t="str">
        <f>'TRAD-Adults YEAR(1)'!B49</f>
        <v>Proportion du nombre de patients sous 3ème lignes</v>
      </c>
      <c r="E92" s="1857" t="str">
        <f>'TRAD-Adults YEAR(1)'!B50</f>
        <v>Nombre de patient par schéma par mois</v>
      </c>
      <c r="F92" s="963" t="str">
        <f>'TRAD-Adults YEAR(1)'!B51</f>
        <v>TOTAL nb de patients sur l'année</v>
      </c>
      <c r="G92" s="963" t="str">
        <f>'TRAD-Adults YEAR(1)'!B26</f>
        <v>Total patients-mois</v>
      </c>
      <c r="H92" s="1856" t="str">
        <f>'TRAD-Adults YEAR(1)'!B29</f>
        <v>Total patients-mois AVEC Marge de sécurité</v>
      </c>
      <c r="I92" s="710" t="str">
        <f>'TRAD-Adults YEAR(1)'!B30</f>
        <v>Nb de patients-mois Marge de sécurité SEULE</v>
      </c>
      <c r="N92" s="962"/>
      <c r="U92" s="962"/>
    </row>
    <row r="93" spans="2:21" x14ac:dyDescent="0.2">
      <c r="B93" s="696" t="s">
        <v>85</v>
      </c>
      <c r="C93" s="743" t="s">
        <v>25</v>
      </c>
      <c r="D93" s="732">
        <f>'Data &amp; hypothesis Adults'!H144</f>
        <v>0</v>
      </c>
      <c r="E93" s="744" t="e">
        <f t="shared" ref="E93:E99" si="20">$D93*$L$87</f>
        <v>#DIV/0!</v>
      </c>
      <c r="F93" s="745" t="e">
        <f t="shared" ref="F93:F102" si="21">E93*D$6</f>
        <v>#DIV/0!</v>
      </c>
      <c r="G93" s="746" t="e">
        <f t="shared" ref="G93:G102" si="22">E93*(D$6*(D$6+1)/2)</f>
        <v>#DIV/0!</v>
      </c>
      <c r="H93" s="746" t="e">
        <f>E93*((D$6+'General Data'!E$30)*(D$6+'General Data'!E$30+1)/2)</f>
        <v>#DIV/0!</v>
      </c>
      <c r="I93" s="747" t="e">
        <f>H93-G93</f>
        <v>#DIV/0!</v>
      </c>
    </row>
    <row r="94" spans="2:21" x14ac:dyDescent="0.2">
      <c r="B94" s="696"/>
      <c r="C94" s="748" t="s">
        <v>28</v>
      </c>
      <c r="D94" s="732">
        <f>'Data &amp; hypothesis Adults'!H145</f>
        <v>0</v>
      </c>
      <c r="E94" s="744" t="e">
        <f t="shared" si="20"/>
        <v>#DIV/0!</v>
      </c>
      <c r="F94" s="745" t="e">
        <f t="shared" si="21"/>
        <v>#DIV/0!</v>
      </c>
      <c r="G94" s="746" t="e">
        <f t="shared" si="22"/>
        <v>#DIV/0!</v>
      </c>
      <c r="H94" s="746" t="e">
        <f>E94*((D$6+'General Data'!E$30)*(D$6+'General Data'!E$30+1)/2)</f>
        <v>#DIV/0!</v>
      </c>
      <c r="I94" s="747" t="e">
        <f t="shared" ref="I94:I102" si="23">H94-G94</f>
        <v>#DIV/0!</v>
      </c>
    </row>
    <row r="95" spans="2:21" x14ac:dyDescent="0.2">
      <c r="B95" s="696"/>
      <c r="C95" s="748" t="s">
        <v>350</v>
      </c>
      <c r="D95" s="732">
        <f>'Data &amp; hypothesis Adults'!H146</f>
        <v>0</v>
      </c>
      <c r="E95" s="744" t="e">
        <f t="shared" si="20"/>
        <v>#DIV/0!</v>
      </c>
      <c r="F95" s="745" t="e">
        <f t="shared" si="21"/>
        <v>#DIV/0!</v>
      </c>
      <c r="G95" s="746" t="e">
        <f t="shared" si="22"/>
        <v>#DIV/0!</v>
      </c>
      <c r="H95" s="746" t="e">
        <f>E95*((D$6+'General Data'!E$30)*(D$6+'General Data'!E$30+1)/2)</f>
        <v>#DIV/0!</v>
      </c>
      <c r="I95" s="747" t="e">
        <f t="shared" si="23"/>
        <v>#DIV/0!</v>
      </c>
    </row>
    <row r="96" spans="2:21" x14ac:dyDescent="0.2">
      <c r="B96" s="749"/>
      <c r="C96" s="750" t="s">
        <v>349</v>
      </c>
      <c r="D96" s="751">
        <f>'Data &amp; hypothesis Adults'!H147</f>
        <v>0</v>
      </c>
      <c r="E96" s="752" t="e">
        <f t="shared" si="20"/>
        <v>#DIV/0!</v>
      </c>
      <c r="F96" s="752" t="e">
        <f t="shared" si="21"/>
        <v>#DIV/0!</v>
      </c>
      <c r="G96" s="753" t="e">
        <f t="shared" si="22"/>
        <v>#DIV/0!</v>
      </c>
      <c r="H96" s="753" t="e">
        <f>E96*((D$6+'General Data'!E$30)*(D$6+'General Data'!E$30+1)/2)</f>
        <v>#DIV/0!</v>
      </c>
      <c r="I96" s="754" t="e">
        <f t="shared" si="23"/>
        <v>#DIV/0!</v>
      </c>
    </row>
    <row r="97" spans="1:17" x14ac:dyDescent="0.2">
      <c r="B97" s="696" t="s">
        <v>87</v>
      </c>
      <c r="C97" s="748" t="s">
        <v>69</v>
      </c>
      <c r="D97" s="732">
        <f>'Data &amp; hypothesis Adults'!H148</f>
        <v>0</v>
      </c>
      <c r="E97" s="744" t="e">
        <f t="shared" si="20"/>
        <v>#DIV/0!</v>
      </c>
      <c r="F97" s="744" t="e">
        <f t="shared" si="21"/>
        <v>#DIV/0!</v>
      </c>
      <c r="G97" s="746" t="e">
        <f t="shared" si="22"/>
        <v>#DIV/0!</v>
      </c>
      <c r="H97" s="746" t="e">
        <f>E97*((D$6+'General Data'!E$30)*(D$6+'General Data'!E$30+1)/2)</f>
        <v>#DIV/0!</v>
      </c>
      <c r="I97" s="747" t="e">
        <f t="shared" si="23"/>
        <v>#DIV/0!</v>
      </c>
    </row>
    <row r="98" spans="1:17" x14ac:dyDescent="0.2">
      <c r="B98" s="696"/>
      <c r="C98" s="748" t="s">
        <v>68</v>
      </c>
      <c r="D98" s="732">
        <f>'Data &amp; hypothesis Adults'!H149</f>
        <v>0</v>
      </c>
      <c r="E98" s="744" t="e">
        <f t="shared" si="20"/>
        <v>#DIV/0!</v>
      </c>
      <c r="F98" s="745" t="e">
        <f t="shared" si="21"/>
        <v>#DIV/0!</v>
      </c>
      <c r="G98" s="746" t="e">
        <f t="shared" si="22"/>
        <v>#DIV/0!</v>
      </c>
      <c r="H98" s="746" t="e">
        <f>E98*((D$6+'General Data'!E$30)*(D$6+'General Data'!E$30+1)/2)</f>
        <v>#DIV/0!</v>
      </c>
      <c r="I98" s="747" t="e">
        <f t="shared" si="23"/>
        <v>#DIV/0!</v>
      </c>
    </row>
    <row r="99" spans="1:17" x14ac:dyDescent="0.2">
      <c r="B99" s="696"/>
      <c r="C99" s="748" t="s">
        <v>576</v>
      </c>
      <c r="D99" s="732">
        <f>'Data &amp; hypothesis Adults'!H150</f>
        <v>0</v>
      </c>
      <c r="E99" s="744" t="e">
        <f t="shared" si="20"/>
        <v>#DIV/0!</v>
      </c>
      <c r="F99" s="745" t="e">
        <f t="shared" si="21"/>
        <v>#DIV/0!</v>
      </c>
      <c r="G99" s="746" t="e">
        <f t="shared" si="22"/>
        <v>#DIV/0!</v>
      </c>
      <c r="H99" s="746" t="e">
        <f>E99*((D$6+'General Data'!E$30)*(D$6+'General Data'!E$30+1)/2)</f>
        <v>#DIV/0!</v>
      </c>
      <c r="I99" s="747" t="e">
        <f t="shared" si="23"/>
        <v>#DIV/0!</v>
      </c>
    </row>
    <row r="100" spans="1:17" x14ac:dyDescent="0.2">
      <c r="B100" s="749"/>
      <c r="C100" s="750" t="s">
        <v>328</v>
      </c>
      <c r="D100" s="751">
        <f>'Data &amp; hypothesis Adults'!H151</f>
        <v>0</v>
      </c>
      <c r="E100" s="752" t="e">
        <f>$D100*$L$87</f>
        <v>#DIV/0!</v>
      </c>
      <c r="F100" s="752" t="e">
        <f t="shared" si="21"/>
        <v>#DIV/0!</v>
      </c>
      <c r="G100" s="753" t="e">
        <f t="shared" si="22"/>
        <v>#DIV/0!</v>
      </c>
      <c r="H100" s="753" t="e">
        <f>E100*((D$6+'General Data'!E$30)*(D$6+'General Data'!E$30+1)/2)</f>
        <v>#DIV/0!</v>
      </c>
      <c r="I100" s="754" t="e">
        <f t="shared" si="23"/>
        <v>#DIV/0!</v>
      </c>
    </row>
    <row r="101" spans="1:17" x14ac:dyDescent="0.2">
      <c r="B101" s="755" t="s">
        <v>331</v>
      </c>
      <c r="C101" s="756" t="s">
        <v>329</v>
      </c>
      <c r="D101" s="757">
        <f>'Data &amp; hypothesis Adults'!H152</f>
        <v>0</v>
      </c>
      <c r="E101" s="758" t="e">
        <f>$D101*$L$87</f>
        <v>#DIV/0!</v>
      </c>
      <c r="F101" s="758" t="e">
        <f t="shared" si="21"/>
        <v>#DIV/0!</v>
      </c>
      <c r="G101" s="759" t="e">
        <f t="shared" si="22"/>
        <v>#DIV/0!</v>
      </c>
      <c r="H101" s="759" t="e">
        <f>E101*((D$6+'General Data'!E$30)*(D$6+'General Data'!E$30+1)/2)</f>
        <v>#DIV/0!</v>
      </c>
      <c r="I101" s="760" t="e">
        <f t="shared" si="23"/>
        <v>#DIV/0!</v>
      </c>
    </row>
    <row r="102" spans="1:17" ht="13.5" thickBot="1" x14ac:dyDescent="0.25">
      <c r="B102" s="696" t="s">
        <v>84</v>
      </c>
      <c r="C102" s="556" t="s">
        <v>330</v>
      </c>
      <c r="D102" s="736">
        <f>'Data &amp; hypothesis Adults'!H153</f>
        <v>0</v>
      </c>
      <c r="E102" s="761" t="e">
        <f>$D102*$L$87</f>
        <v>#DIV/0!</v>
      </c>
      <c r="F102" s="761" t="e">
        <f t="shared" si="21"/>
        <v>#DIV/0!</v>
      </c>
      <c r="G102" s="762" t="e">
        <f t="shared" si="22"/>
        <v>#DIV/0!</v>
      </c>
      <c r="H102" s="762" t="e">
        <f>E102*((D$6+'General Data'!E$30)*(D$6+'General Data'!E$30+1)/2)</f>
        <v>#DIV/0!</v>
      </c>
      <c r="I102" s="763" t="e">
        <f t="shared" si="23"/>
        <v>#DIV/0!</v>
      </c>
    </row>
    <row r="103" spans="1:17" ht="14.25" thickTop="1" thickBot="1" x14ac:dyDescent="0.25">
      <c r="B103" s="764"/>
      <c r="C103" s="726" t="s">
        <v>6</v>
      </c>
      <c r="D103" s="765">
        <f>SUM(D93:D102)</f>
        <v>0</v>
      </c>
      <c r="E103" s="740" t="e">
        <f>SUM(E93:E102)</f>
        <v>#DIV/0!</v>
      </c>
      <c r="F103" s="766" t="e">
        <f>SUM(F93:F102)</f>
        <v>#DIV/0!</v>
      </c>
      <c r="G103" s="727"/>
      <c r="H103" s="727"/>
      <c r="I103" s="718"/>
    </row>
    <row r="106" spans="1:17" ht="16.5" thickBot="1" x14ac:dyDescent="0.3">
      <c r="A106" s="2144" t="str">
        <f>'TRAD-Adults YEAR(1)'!B52</f>
        <v>Evolution des lignes thérapeutiques sur l'année</v>
      </c>
      <c r="B106" s="2144"/>
      <c r="C106" s="2144"/>
      <c r="D106" s="2144"/>
      <c r="E106" s="2144"/>
      <c r="F106" s="2144"/>
      <c r="G106" s="2144"/>
      <c r="H106" s="2144"/>
      <c r="I106" s="2144"/>
      <c r="J106" s="2144"/>
      <c r="K106" s="2144"/>
      <c r="L106" s="2144"/>
      <c r="M106" s="497"/>
      <c r="N106" s="497"/>
      <c r="O106" s="497"/>
      <c r="P106" s="497"/>
      <c r="Q106" s="497"/>
    </row>
    <row r="108" spans="1:17" ht="13.5" thickBot="1" x14ac:dyDescent="0.25">
      <c r="C108" s="497"/>
      <c r="D108" s="497"/>
    </row>
    <row r="109" spans="1:17" ht="77.25" thickBot="1" x14ac:dyDescent="0.25">
      <c r="B109" s="354"/>
      <c r="C109" s="691" t="str">
        <f>'TRAD-Adults YEAR(1)'!B7</f>
        <v>Schémas</v>
      </c>
      <c r="D109" s="691" t="str">
        <f>'TRAD-Adults YEAR(1)'!B53</f>
        <v>Données en début d'année</v>
      </c>
      <c r="E109" s="691" t="str">
        <f>'TRAD-Adults YEAR(1)'!B54</f>
        <v xml:space="preserve">Initiations première </v>
      </c>
      <c r="F109" s="691" t="str">
        <f>'TRAD-Adults YEAR(1)'!B55</f>
        <v>Passage en 2ème ligne et défalcation des 1ères lignes [1]</v>
      </c>
      <c r="G109" s="692" t="str">
        <f>'TRAD-Adults YEAR(1)'!B56</f>
        <v>Répartition en fin de période</v>
      </c>
    </row>
    <row r="110" spans="1:17" ht="13.5" thickBot="1" x14ac:dyDescent="0.25">
      <c r="B110" s="693" t="str">
        <f>'TRAD-Adults YEAR(1)'!B10</f>
        <v>1ères lignes</v>
      </c>
      <c r="C110" s="546" t="str">
        <f>C10</f>
        <v>AZT+3TC+NVP</v>
      </c>
      <c r="D110" s="767">
        <f t="shared" ref="D110:D114" si="24">D10</f>
        <v>9816.7021911932152</v>
      </c>
      <c r="E110" s="582">
        <f t="shared" ref="E110:E113" si="25">F39</f>
        <v>0</v>
      </c>
      <c r="F110" s="1145">
        <f t="shared" ref="F110:F119" si="26">-(SUM(D110:E110)/SUM(D$110:E$119))*C$80</f>
        <v>-239.90745220169603</v>
      </c>
      <c r="G110" s="1146">
        <f>D110+E110+F110</f>
        <v>9576.7947389915189</v>
      </c>
    </row>
    <row r="111" spans="1:17" x14ac:dyDescent="0.2">
      <c r="B111" s="696"/>
      <c r="C111" s="323" t="str">
        <f t="shared" ref="C111:D126" si="27">C11</f>
        <v>AZT+3TC+EFV</v>
      </c>
      <c r="D111" s="768">
        <f t="shared" si="24"/>
        <v>1267.8259239803904</v>
      </c>
      <c r="E111" s="585">
        <f t="shared" si="25"/>
        <v>0</v>
      </c>
      <c r="F111" s="769">
        <f t="shared" si="26"/>
        <v>-30.984019004902301</v>
      </c>
      <c r="G111" s="770">
        <f t="shared" ref="G111:G118" si="28">D111+E111+F111</f>
        <v>1236.841904975488</v>
      </c>
      <c r="I111" s="546"/>
    </row>
    <row r="112" spans="1:17" x14ac:dyDescent="0.2">
      <c r="B112" s="696"/>
      <c r="C112" s="323" t="str">
        <f t="shared" si="27"/>
        <v>AZT+3TC+ABC</v>
      </c>
      <c r="D112" s="768">
        <f t="shared" si="24"/>
        <v>71.533278323796864</v>
      </c>
      <c r="E112" s="585">
        <f t="shared" si="25"/>
        <v>0</v>
      </c>
      <c r="F112" s="769">
        <f t="shared" si="26"/>
        <v>-1.7481804190507853</v>
      </c>
      <c r="G112" s="770">
        <f t="shared" si="28"/>
        <v>69.785097904746081</v>
      </c>
      <c r="I112" s="323"/>
    </row>
    <row r="113" spans="2:9" x14ac:dyDescent="0.2">
      <c r="B113" s="696"/>
      <c r="C113" s="533" t="str">
        <f t="shared" si="27"/>
        <v>AZT+3TC+LPV/r</v>
      </c>
      <c r="D113" s="768">
        <f t="shared" si="24"/>
        <v>627.94714888698672</v>
      </c>
      <c r="E113" s="585">
        <f t="shared" si="25"/>
        <v>0</v>
      </c>
      <c r="F113" s="769">
        <f t="shared" si="26"/>
        <v>-15.346212778253259</v>
      </c>
      <c r="G113" s="770">
        <f t="shared" si="28"/>
        <v>612.60093610873344</v>
      </c>
      <c r="I113" s="323"/>
    </row>
    <row r="114" spans="2:9" x14ac:dyDescent="0.2">
      <c r="B114" s="696"/>
      <c r="C114" s="533" t="str">
        <f t="shared" si="27"/>
        <v>ABC+3TC+EFV</v>
      </c>
      <c r="D114" s="768">
        <f t="shared" si="24"/>
        <v>39.743847897370706</v>
      </c>
      <c r="E114" s="585">
        <f t="shared" ref="E114" si="29">F43</f>
        <v>0</v>
      </c>
      <c r="F114" s="769">
        <f t="shared" si="26"/>
        <v>-0.97128802565731942</v>
      </c>
      <c r="G114" s="770">
        <f t="shared" ref="G114" si="30">D114+E114+F114</f>
        <v>38.772559871713383</v>
      </c>
      <c r="I114" s="533"/>
    </row>
    <row r="115" spans="2:9" x14ac:dyDescent="0.2">
      <c r="B115" s="696"/>
      <c r="C115" s="323" t="str">
        <f t="shared" si="27"/>
        <v>TDF+FTC/3TC+EFV</v>
      </c>
      <c r="D115" s="768">
        <f t="shared" ref="D115:D123" si="31">D15</f>
        <v>5468.2338646629305</v>
      </c>
      <c r="E115" s="585">
        <f>F44</f>
        <v>0</v>
      </c>
      <c r="F115" s="769">
        <f t="shared" si="26"/>
        <v>-133.63653383426725</v>
      </c>
      <c r="G115" s="770">
        <f t="shared" si="28"/>
        <v>5334.597330828663</v>
      </c>
      <c r="I115" s="533"/>
    </row>
    <row r="116" spans="2:9" x14ac:dyDescent="0.2">
      <c r="B116" s="696"/>
      <c r="C116" s="323" t="str">
        <f t="shared" si="27"/>
        <v>TDF+FTC/3TC+LPV/r</v>
      </c>
      <c r="D116" s="768">
        <f t="shared" si="31"/>
        <v>0</v>
      </c>
      <c r="E116" s="585">
        <f>F45</f>
        <v>0</v>
      </c>
      <c r="F116" s="769">
        <f t="shared" si="26"/>
        <v>0</v>
      </c>
      <c r="G116" s="770">
        <f t="shared" si="28"/>
        <v>0</v>
      </c>
      <c r="I116" s="323"/>
    </row>
    <row r="117" spans="2:9" x14ac:dyDescent="0.2">
      <c r="B117" s="696"/>
      <c r="C117" s="323" t="str">
        <f t="shared" si="27"/>
        <v>ABC+3TC+LPV/r</v>
      </c>
      <c r="D117" s="768">
        <f t="shared" si="31"/>
        <v>22.518689862774849</v>
      </c>
      <c r="E117" s="585">
        <f>F46</f>
        <v>0</v>
      </c>
      <c r="F117" s="769">
        <f t="shared" si="26"/>
        <v>-0.55032753430628567</v>
      </c>
      <c r="G117" s="770">
        <f t="shared" si="28"/>
        <v>21.968362328468565</v>
      </c>
      <c r="I117" s="323"/>
    </row>
    <row r="118" spans="2:9" x14ac:dyDescent="0.2">
      <c r="B118" s="696"/>
      <c r="C118" s="323" t="str">
        <f t="shared" si="27"/>
        <v>TDF+3TC/FTC+ABC</v>
      </c>
      <c r="D118" s="768">
        <f t="shared" si="31"/>
        <v>49.014588461022001</v>
      </c>
      <c r="E118" s="585">
        <f>F46</f>
        <v>0</v>
      </c>
      <c r="F118" s="769">
        <f t="shared" si="26"/>
        <v>-1.1978528847444989</v>
      </c>
      <c r="G118" s="770">
        <f t="shared" si="28"/>
        <v>47.816735576277502</v>
      </c>
      <c r="I118" s="323"/>
    </row>
    <row r="119" spans="2:9" x14ac:dyDescent="0.2">
      <c r="B119" s="696"/>
      <c r="C119" s="705">
        <f t="shared" si="27"/>
        <v>0</v>
      </c>
      <c r="D119" s="1147">
        <f t="shared" si="31"/>
        <v>0</v>
      </c>
      <c r="E119" s="772">
        <f>F48</f>
        <v>0</v>
      </c>
      <c r="F119" s="773">
        <f t="shared" si="26"/>
        <v>0</v>
      </c>
      <c r="G119" s="774">
        <f>D119+E119+F119</f>
        <v>0</v>
      </c>
      <c r="I119" s="323"/>
    </row>
    <row r="120" spans="2:9" x14ac:dyDescent="0.2">
      <c r="B120" s="701" t="str">
        <f>'TRAD-Adults YEAR(1)'!B11</f>
        <v>2èmes lignes</v>
      </c>
      <c r="C120" s="702" t="str">
        <f t="shared" si="27"/>
        <v>TDF+FTC/3TC+LPV/r</v>
      </c>
      <c r="D120" s="775">
        <f t="shared" si="31"/>
        <v>2113.2972667315112</v>
      </c>
      <c r="E120" s="1148"/>
      <c r="F120" s="1149">
        <f>C73</f>
        <v>424.34186668287776</v>
      </c>
      <c r="G120" s="1150">
        <f>D120+F120</f>
        <v>2537.6391334143891</v>
      </c>
      <c r="I120" s="705"/>
    </row>
    <row r="121" spans="2:9" x14ac:dyDescent="0.2">
      <c r="B121" s="696"/>
      <c r="C121" s="533" t="str">
        <f t="shared" si="27"/>
        <v>TDF+FTC/3TC+ATV/r</v>
      </c>
      <c r="D121" s="768">
        <f t="shared" si="31"/>
        <v>34.903199999999998</v>
      </c>
      <c r="E121" s="585"/>
      <c r="F121" s="587">
        <f>C74</f>
        <v>0</v>
      </c>
      <c r="G121" s="770">
        <f>D121+F121</f>
        <v>34.903199999999998</v>
      </c>
      <c r="I121" s="702"/>
    </row>
    <row r="122" spans="2:9" x14ac:dyDescent="0.2">
      <c r="B122" s="696"/>
      <c r="C122" s="533" t="str">
        <f t="shared" si="27"/>
        <v>ABC+DDI+LPV/r</v>
      </c>
      <c r="D122" s="768">
        <f t="shared" si="31"/>
        <v>0</v>
      </c>
      <c r="E122" s="585"/>
      <c r="F122" s="587">
        <f>C75</f>
        <v>0</v>
      </c>
      <c r="G122" s="770">
        <f>D122+F122</f>
        <v>0</v>
      </c>
      <c r="I122" s="533"/>
    </row>
    <row r="123" spans="2:9" x14ac:dyDescent="0.2">
      <c r="B123" s="696"/>
      <c r="C123" s="533" t="str">
        <f t="shared" si="27"/>
        <v>TDF+3TC/FTC+ABC</v>
      </c>
      <c r="D123" s="585">
        <f t="shared" si="31"/>
        <v>0</v>
      </c>
      <c r="E123" s="585"/>
      <c r="F123" s="585">
        <f>C76</f>
        <v>0</v>
      </c>
      <c r="G123" s="770">
        <f>D123+F123</f>
        <v>0</v>
      </c>
      <c r="I123" s="533"/>
    </row>
    <row r="124" spans="2:9" x14ac:dyDescent="0.2">
      <c r="B124" s="696"/>
      <c r="C124" s="533" t="str">
        <f t="shared" si="27"/>
        <v>AZT+3TC+LPV/r</v>
      </c>
      <c r="D124" s="585">
        <f t="shared" si="27"/>
        <v>783.50412543869777</v>
      </c>
      <c r="E124" s="585"/>
      <c r="F124" s="585">
        <f t="shared" ref="F124:F126" si="32">C77</f>
        <v>195.87603135967444</v>
      </c>
      <c r="G124" s="770">
        <f t="shared" ref="G124:G126" si="33">D124+F124</f>
        <v>979.38015679837224</v>
      </c>
      <c r="I124" s="705"/>
    </row>
    <row r="125" spans="2:9" x14ac:dyDescent="0.2">
      <c r="B125" s="696"/>
      <c r="C125" s="533">
        <f t="shared" si="27"/>
        <v>0</v>
      </c>
      <c r="D125" s="585">
        <f t="shared" si="27"/>
        <v>0</v>
      </c>
      <c r="E125" s="585"/>
      <c r="F125" s="585">
        <f t="shared" si="32"/>
        <v>0</v>
      </c>
      <c r="G125" s="770">
        <f t="shared" si="33"/>
        <v>0</v>
      </c>
    </row>
    <row r="126" spans="2:9" x14ac:dyDescent="0.2">
      <c r="B126" s="696"/>
      <c r="C126" s="705">
        <f t="shared" si="27"/>
        <v>0</v>
      </c>
      <c r="D126" s="772">
        <f t="shared" si="27"/>
        <v>0</v>
      </c>
      <c r="E126" s="772"/>
      <c r="F126" s="772">
        <f t="shared" si="32"/>
        <v>0</v>
      </c>
      <c r="G126" s="774">
        <f t="shared" si="33"/>
        <v>0</v>
      </c>
    </row>
    <row r="127" spans="2:9" x14ac:dyDescent="0.2">
      <c r="B127" s="701" t="str">
        <f>'TRAD-Adults YEAR(1)'!B12</f>
        <v>3èmes lignes</v>
      </c>
      <c r="C127" s="533" t="str">
        <f>'TRAD-Adults YEAR(1)'!B57</f>
        <v>total divers 3èmes l</v>
      </c>
      <c r="D127" s="776">
        <f t="shared" ref="D127" si="34">D27</f>
        <v>0</v>
      </c>
      <c r="E127" s="1357"/>
      <c r="F127" s="1909">
        <f>H87</f>
        <v>0</v>
      </c>
      <c r="G127" s="1925">
        <f>D127+F127</f>
        <v>0</v>
      </c>
    </row>
    <row r="128" spans="2:9" ht="13.5" thickBot="1" x14ac:dyDescent="0.25">
      <c r="B128" s="696"/>
      <c r="C128" s="497"/>
      <c r="D128" s="776"/>
      <c r="E128" s="589"/>
      <c r="F128" s="589"/>
      <c r="G128" s="778"/>
    </row>
    <row r="129" spans="2:21" ht="14.25" thickTop="1" thickBot="1" x14ac:dyDescent="0.25">
      <c r="B129" s="706"/>
      <c r="C129" s="707" t="s">
        <v>6</v>
      </c>
      <c r="D129" s="779">
        <f>SUM(D110:D128)</f>
        <v>20295.224125438697</v>
      </c>
      <c r="E129" s="727"/>
      <c r="F129" s="727"/>
      <c r="G129" s="780">
        <f>SUM(G110:G123)</f>
        <v>19511.719999999998</v>
      </c>
    </row>
    <row r="131" spans="2:21" x14ac:dyDescent="0.2">
      <c r="B131" s="290" t="str">
        <f>'TRAD-Adults YEAR(1)'!B17</f>
        <v>Commentaire</v>
      </c>
      <c r="C131" s="291"/>
      <c r="D131" s="291"/>
      <c r="E131" s="291"/>
      <c r="F131" s="291"/>
      <c r="G131" s="291"/>
      <c r="H131" s="291"/>
      <c r="I131" s="291"/>
      <c r="J131" s="291"/>
    </row>
    <row r="132" spans="2:21" x14ac:dyDescent="0.2">
      <c r="B132" s="292" t="s">
        <v>240</v>
      </c>
      <c r="C132" s="293" t="str">
        <f>'TRAD-Adults YEAR(1)'!B58</f>
        <v>La défalcation sur les premières lignes est obtenue par le calcul suivant :</v>
      </c>
    </row>
    <row r="133" spans="2:21" x14ac:dyDescent="0.2">
      <c r="B133" s="292"/>
      <c r="C133" s="293" t="str">
        <f>'TRAD-Adults YEAR(1)'!B59</f>
        <v xml:space="preserve"> = - Proportion du schéma dans les 1ères lignes à la fin de l'année * nb de patients passant en 2èmes lignes</v>
      </c>
    </row>
    <row r="135" spans="2:21" ht="15" x14ac:dyDescent="0.2">
      <c r="B135" s="2143" t="str">
        <f>'TRAD-Adults YEAR(1)'!B60</f>
        <v>Synthèse de la situation envisagée en fin d'année</v>
      </c>
      <c r="C135" s="2143"/>
      <c r="D135" s="2143"/>
      <c r="E135" s="2143"/>
      <c r="F135" s="2143"/>
      <c r="G135" s="781"/>
      <c r="H135" s="781"/>
      <c r="I135" s="781"/>
      <c r="J135" s="781"/>
      <c r="K135" s="781"/>
      <c r="L135" s="2143"/>
      <c r="M135" s="2143"/>
      <c r="N135" s="961"/>
    </row>
    <row r="137" spans="2:21" ht="13.5" thickBot="1" x14ac:dyDescent="0.25">
      <c r="B137" s="497"/>
      <c r="C137" s="497"/>
    </row>
    <row r="138" spans="2:21" s="545" customFormat="1" ht="78.75" customHeight="1" thickBot="1" x14ac:dyDescent="0.25">
      <c r="B138" s="782"/>
      <c r="C138" s="782"/>
      <c r="D138" s="2147" t="str">
        <f>'TRAD-Adults YEAR(1)'!B61</f>
        <v>SANS DEFALCATION des passages en 2èmes lignes sur les 1ères lignes</v>
      </c>
      <c r="E138" s="2148"/>
      <c r="F138" s="2147" t="str">
        <f>'TRAD-Adults YEAR(1)'!B62</f>
        <v>AVEC DEFALCATION PROPORTIONNELLE à la répartition des patients en 1ère ligne</v>
      </c>
      <c r="G138" s="2148"/>
      <c r="H138" s="2147" t="str">
        <f>'TRAD-Adults YEAR(1)'!B63</f>
        <v>AVEC DEFALCATION SUR SCHEMA MAJORITAIRE 1ère ligne</v>
      </c>
      <c r="I138" s="2148"/>
      <c r="N138" s="962"/>
      <c r="U138" s="962"/>
    </row>
    <row r="139" spans="2:21" ht="51.75" thickBot="1" x14ac:dyDescent="0.25">
      <c r="B139" s="354"/>
      <c r="C139" s="439" t="str">
        <f>'TRAD-Adults YEAR(1)'!B7</f>
        <v>Schémas</v>
      </c>
      <c r="D139" s="405" t="str">
        <f>'TRAD-Adults YEAR(1)'!B65</f>
        <v>Nb de patients</v>
      </c>
      <c r="E139" s="439" t="s">
        <v>51</v>
      </c>
      <c r="F139" s="405" t="str">
        <f>'TRAD-Adults YEAR(1)'!B67</f>
        <v>Nb de patients en fin de période</v>
      </c>
      <c r="G139" s="439" t="s">
        <v>51</v>
      </c>
      <c r="H139" s="405" t="str">
        <f>'TRAD-Adults YEAR(1)'!B67</f>
        <v>Nb de patients en fin de période</v>
      </c>
      <c r="I139" s="439" t="s">
        <v>51</v>
      </c>
    </row>
    <row r="140" spans="2:21" x14ac:dyDescent="0.2">
      <c r="B140" s="693" t="str">
        <f>'TRAD-Adults YEAR(1)'!B10</f>
        <v>1ères lignes</v>
      </c>
      <c r="C140" s="546" t="str">
        <f>C10</f>
        <v>AZT+3TC+NVP</v>
      </c>
      <c r="D140" s="359">
        <f t="shared" ref="D140:D143" si="35">D110+E110</f>
        <v>9816.7021911932152</v>
      </c>
      <c r="E140" s="269">
        <f t="shared" ref="E140:E157" si="36">D140/D$159</f>
        <v>0.46935188747970263</v>
      </c>
      <c r="F140" s="783">
        <f t="shared" ref="F140:F143" si="37">G110</f>
        <v>9576.7947389915189</v>
      </c>
      <c r="G140" s="784">
        <f t="shared" ref="G140:G147" si="38">F140/F$159</f>
        <v>0.46736361960605655</v>
      </c>
      <c r="H140" s="359">
        <f>D110+E110-C80</f>
        <v>9392.3603245103368</v>
      </c>
      <c r="I140" s="269">
        <f t="shared" ref="I140:I147" si="39">H140/H$159</f>
        <v>0.45836291134393858</v>
      </c>
    </row>
    <row r="141" spans="2:21" x14ac:dyDescent="0.2">
      <c r="B141" s="696"/>
      <c r="C141" s="323" t="str">
        <f t="shared" ref="C141:C156" si="40">C11</f>
        <v>AZT+3TC+EFV</v>
      </c>
      <c r="D141" s="362">
        <f t="shared" si="35"/>
        <v>1267.8259239803904</v>
      </c>
      <c r="E141" s="273">
        <f t="shared" si="36"/>
        <v>6.0616740614758871E-2</v>
      </c>
      <c r="F141" s="785">
        <f t="shared" si="37"/>
        <v>1236.841904975488</v>
      </c>
      <c r="G141" s="786">
        <f t="shared" si="38"/>
        <v>6.0359956054635684E-2</v>
      </c>
      <c r="H141" s="362">
        <f t="shared" ref="H141:H143" si="41">D111+E111</f>
        <v>1267.8259239803904</v>
      </c>
      <c r="I141" s="273">
        <f t="shared" si="39"/>
        <v>6.1872028064816301E-2</v>
      </c>
    </row>
    <row r="142" spans="2:21" x14ac:dyDescent="0.2">
      <c r="B142" s="696"/>
      <c r="C142" s="323" t="str">
        <f t="shared" si="40"/>
        <v>AZT+3TC+ABC</v>
      </c>
      <c r="D142" s="362">
        <f t="shared" si="35"/>
        <v>71.533278323796864</v>
      </c>
      <c r="E142" s="273">
        <f t="shared" si="36"/>
        <v>3.4201179321712741E-3</v>
      </c>
      <c r="F142" s="785">
        <f t="shared" si="37"/>
        <v>69.785097904746081</v>
      </c>
      <c r="G142" s="786">
        <f t="shared" si="38"/>
        <v>3.4056296329015479E-3</v>
      </c>
      <c r="H142" s="362">
        <f t="shared" si="41"/>
        <v>71.533278323796864</v>
      </c>
      <c r="I142" s="273">
        <f t="shared" si="39"/>
        <v>3.4909437646794255E-3</v>
      </c>
    </row>
    <row r="143" spans="2:21" x14ac:dyDescent="0.2">
      <c r="B143" s="696"/>
      <c r="C143" s="533" t="str">
        <f t="shared" si="40"/>
        <v>AZT+3TC+LPV/r</v>
      </c>
      <c r="D143" s="362">
        <f t="shared" si="35"/>
        <v>627.94714888698672</v>
      </c>
      <c r="E143" s="273">
        <f t="shared" si="36"/>
        <v>3.0023135450926927E-2</v>
      </c>
      <c r="F143" s="785">
        <f t="shared" si="37"/>
        <v>612.60093610873344</v>
      </c>
      <c r="G143" s="786">
        <f t="shared" si="38"/>
        <v>2.9895951482404409E-2</v>
      </c>
      <c r="H143" s="362">
        <f t="shared" si="41"/>
        <v>627.94714888698672</v>
      </c>
      <c r="I143" s="273">
        <f t="shared" si="39"/>
        <v>3.0644872363217238E-2</v>
      </c>
    </row>
    <row r="144" spans="2:21" x14ac:dyDescent="0.2">
      <c r="B144" s="696"/>
      <c r="C144" s="533" t="str">
        <f t="shared" si="40"/>
        <v>ABC+3TC+EFV</v>
      </c>
      <c r="D144" s="362">
        <f t="shared" ref="D144" si="42">D114+E114</f>
        <v>39.743847897370706</v>
      </c>
      <c r="E144" s="273">
        <f t="shared" ref="E144" si="43">D144/D$159</f>
        <v>1.9002155370539753E-3</v>
      </c>
      <c r="F144" s="785">
        <f t="shared" ref="F144" si="44">G114</f>
        <v>38.772559871713383</v>
      </c>
      <c r="G144" s="786">
        <f t="shared" ref="G144" si="45">F144/F$159</f>
        <v>1.8921658463930617E-3</v>
      </c>
      <c r="H144" s="362">
        <f t="shared" ref="H144" si="46">D114+E114</f>
        <v>39.743847897370706</v>
      </c>
      <c r="I144" s="273">
        <f t="shared" ref="I144" si="47">H144/H$159</f>
        <v>1.9395663284669867E-3</v>
      </c>
    </row>
    <row r="145" spans="2:9" x14ac:dyDescent="0.2">
      <c r="B145" s="696"/>
      <c r="C145" s="323" t="str">
        <f t="shared" si="40"/>
        <v>TDF+FTC/3TC+EFV</v>
      </c>
      <c r="D145" s="362">
        <f>D115+E115</f>
        <v>5468.2338646629305</v>
      </c>
      <c r="E145" s="273">
        <f t="shared" si="36"/>
        <v>0.26144481472224584</v>
      </c>
      <c r="F145" s="785">
        <f t="shared" ref="F145:F153" si="48">G115</f>
        <v>5334.597330828663</v>
      </c>
      <c r="G145" s="786">
        <f t="shared" si="38"/>
        <v>0.26033728252793659</v>
      </c>
      <c r="H145" s="362">
        <f>D115+E115</f>
        <v>5468.2338646629305</v>
      </c>
      <c r="I145" s="273">
        <f t="shared" si="39"/>
        <v>0.26685896915343144</v>
      </c>
    </row>
    <row r="146" spans="2:9" x14ac:dyDescent="0.2">
      <c r="B146" s="696"/>
      <c r="C146" s="323" t="str">
        <f t="shared" si="40"/>
        <v>TDF+FTC/3TC+LPV/r</v>
      </c>
      <c r="D146" s="362">
        <f>D116+E116</f>
        <v>0</v>
      </c>
      <c r="E146" s="273">
        <f t="shared" si="36"/>
        <v>0</v>
      </c>
      <c r="F146" s="785">
        <f t="shared" si="48"/>
        <v>0</v>
      </c>
      <c r="G146" s="786">
        <f t="shared" si="38"/>
        <v>0</v>
      </c>
      <c r="H146" s="362">
        <f>D116+E116</f>
        <v>0</v>
      </c>
      <c r="I146" s="273">
        <f t="shared" si="39"/>
        <v>0</v>
      </c>
    </row>
    <row r="147" spans="2:9" x14ac:dyDescent="0.2">
      <c r="B147" s="696"/>
      <c r="C147" s="323" t="str">
        <f t="shared" si="40"/>
        <v>ABC+3TC+LPV/r</v>
      </c>
      <c r="D147" s="362">
        <f>D117+E117</f>
        <v>22.518689862774849</v>
      </c>
      <c r="E147" s="273">
        <f t="shared" si="36"/>
        <v>1.0766537870676447E-3</v>
      </c>
      <c r="F147" s="785">
        <f t="shared" si="48"/>
        <v>21.968362328468565</v>
      </c>
      <c r="G147" s="786">
        <f t="shared" si="38"/>
        <v>1.0720928676530861E-3</v>
      </c>
      <c r="H147" s="362">
        <f>D117+E117</f>
        <v>22.518689862774849</v>
      </c>
      <c r="I147" s="273">
        <f t="shared" si="39"/>
        <v>1.0989497728507165E-3</v>
      </c>
    </row>
    <row r="148" spans="2:9" x14ac:dyDescent="0.2">
      <c r="B148" s="696"/>
      <c r="C148" s="323" t="str">
        <f t="shared" si="40"/>
        <v>TDF+3TC/FTC+ABC</v>
      </c>
      <c r="D148" s="362">
        <f>D118+E118</f>
        <v>49.014588461022001</v>
      </c>
      <c r="E148" s="273">
        <f t="shared" si="36"/>
        <v>2.3434641451036287E-3</v>
      </c>
      <c r="F148" s="785">
        <f t="shared" si="48"/>
        <v>47.816735576277502</v>
      </c>
      <c r="G148" s="786">
        <f t="shared" ref="G148:G157" si="49">F148/F$159</f>
        <v>2.3335367652484612E-3</v>
      </c>
      <c r="H148" s="362">
        <f>D118+E118</f>
        <v>49.014588461022001</v>
      </c>
      <c r="I148" s="273">
        <f t="shared" ref="I148:I157" si="50">H148/H$159</f>
        <v>2.3919939918287084E-3</v>
      </c>
    </row>
    <row r="149" spans="2:9" x14ac:dyDescent="0.2">
      <c r="B149" s="696"/>
      <c r="C149" s="705">
        <f t="shared" si="40"/>
        <v>0</v>
      </c>
      <c r="D149" s="787">
        <f>D119+E119</f>
        <v>0</v>
      </c>
      <c r="E149" s="281">
        <f>D149/D$159</f>
        <v>0</v>
      </c>
      <c r="F149" s="788">
        <f t="shared" si="48"/>
        <v>0</v>
      </c>
      <c r="G149" s="789">
        <f t="shared" si="49"/>
        <v>0</v>
      </c>
      <c r="H149" s="787">
        <f>D119+E119</f>
        <v>0</v>
      </c>
      <c r="I149" s="281">
        <f t="shared" si="50"/>
        <v>0</v>
      </c>
    </row>
    <row r="150" spans="2:9" x14ac:dyDescent="0.2">
      <c r="B150" s="701" t="str">
        <f>'TRAD-Adults YEAR(1)'!B11</f>
        <v>2èmes lignes</v>
      </c>
      <c r="C150" s="702" t="str">
        <f t="shared" si="40"/>
        <v>TDF+FTC/3TC+LPV/r</v>
      </c>
      <c r="D150" s="1151">
        <f>D120+F120</f>
        <v>2537.6391334143891</v>
      </c>
      <c r="E150" s="1140">
        <f>D150/D$159</f>
        <v>0.12132849645565437</v>
      </c>
      <c r="F150" s="1152">
        <f t="shared" si="48"/>
        <v>2537.6391334143891</v>
      </c>
      <c r="G150" s="1141">
        <f t="shared" si="49"/>
        <v>0.12384103898747828</v>
      </c>
      <c r="H150" s="1151">
        <f>D120+F120</f>
        <v>2537.6391334143891</v>
      </c>
      <c r="I150" s="1140">
        <f t="shared" si="50"/>
        <v>0.12384103898747828</v>
      </c>
    </row>
    <row r="151" spans="2:9" x14ac:dyDescent="0.2">
      <c r="B151" s="696"/>
      <c r="C151" s="533" t="str">
        <f t="shared" si="40"/>
        <v>TDF+FTC/3TC+ATV/r</v>
      </c>
      <c r="D151" s="362">
        <f>D121+F121</f>
        <v>34.903199999999998</v>
      </c>
      <c r="E151" s="273">
        <f>D151/D$159</f>
        <v>1.6687765891256344E-3</v>
      </c>
      <c r="F151" s="785">
        <f t="shared" si="48"/>
        <v>34.903199999999998</v>
      </c>
      <c r="G151" s="786">
        <f t="shared" si="49"/>
        <v>1.7033346054101492E-3</v>
      </c>
      <c r="H151" s="362">
        <f>D121+F121</f>
        <v>34.903199999999998</v>
      </c>
      <c r="I151" s="273">
        <f t="shared" si="50"/>
        <v>1.7033346054101492E-3</v>
      </c>
    </row>
    <row r="152" spans="2:9" x14ac:dyDescent="0.2">
      <c r="B152" s="696"/>
      <c r="C152" s="533" t="str">
        <f t="shared" si="40"/>
        <v>ABC+DDI+LPV/r</v>
      </c>
      <c r="D152" s="362">
        <f>D122+F122</f>
        <v>0</v>
      </c>
      <c r="E152" s="273">
        <f>D152/D$159</f>
        <v>0</v>
      </c>
      <c r="F152" s="785">
        <f t="shared" si="48"/>
        <v>0</v>
      </c>
      <c r="G152" s="786">
        <f t="shared" si="49"/>
        <v>0</v>
      </c>
      <c r="H152" s="362">
        <f>D122+F122</f>
        <v>0</v>
      </c>
      <c r="I152" s="273">
        <f t="shared" si="50"/>
        <v>0</v>
      </c>
    </row>
    <row r="153" spans="2:9" x14ac:dyDescent="0.2">
      <c r="B153" s="696"/>
      <c r="C153" s="533" t="str">
        <f t="shared" si="40"/>
        <v>TDF+3TC/FTC+ABC</v>
      </c>
      <c r="D153" s="362">
        <f>D123+F123</f>
        <v>0</v>
      </c>
      <c r="E153" s="273">
        <f>D153/D$159</f>
        <v>0</v>
      </c>
      <c r="F153" s="785">
        <f t="shared" si="48"/>
        <v>0</v>
      </c>
      <c r="G153" s="786">
        <f t="shared" si="49"/>
        <v>0</v>
      </c>
      <c r="H153" s="362">
        <f>D123+F123</f>
        <v>0</v>
      </c>
      <c r="I153" s="273">
        <f t="shared" si="50"/>
        <v>0</v>
      </c>
    </row>
    <row r="154" spans="2:9" x14ac:dyDescent="0.2">
      <c r="B154" s="696"/>
      <c r="C154" s="533" t="str">
        <f t="shared" si="40"/>
        <v>AZT+3TC+LPV/r</v>
      </c>
      <c r="D154" s="362">
        <f t="shared" ref="D154:D156" si="51">D124+F124</f>
        <v>979.38015679837224</v>
      </c>
      <c r="E154" s="273">
        <f t="shared" ref="E154:E156" si="52">D154/D$159</f>
        <v>4.6825697286189141E-2</v>
      </c>
      <c r="F154" s="785">
        <f>G124</f>
        <v>979.38015679837224</v>
      </c>
      <c r="G154" s="786">
        <f>F154/F$159</f>
        <v>4.7795391623882209E-2</v>
      </c>
      <c r="H154" s="362">
        <f>D124+F124</f>
        <v>979.38015679837224</v>
      </c>
      <c r="I154" s="273">
        <f>H154/H$159</f>
        <v>4.7795391623882209E-2</v>
      </c>
    </row>
    <row r="155" spans="2:9" x14ac:dyDescent="0.2">
      <c r="B155" s="696"/>
      <c r="C155" s="533">
        <f t="shared" si="40"/>
        <v>0</v>
      </c>
      <c r="D155" s="362">
        <f t="shared" si="51"/>
        <v>0</v>
      </c>
      <c r="E155" s="273">
        <f t="shared" si="52"/>
        <v>0</v>
      </c>
      <c r="F155" s="785">
        <f t="shared" ref="F155:F156" si="53">G125</f>
        <v>0</v>
      </c>
      <c r="G155" s="786">
        <f t="shared" ref="G155:G156" si="54">F155/F$159</f>
        <v>0</v>
      </c>
      <c r="H155" s="362">
        <f t="shared" ref="H155:H156" si="55">D125+F125</f>
        <v>0</v>
      </c>
      <c r="I155" s="273">
        <f t="shared" ref="I155:I156" si="56">H155/H$159</f>
        <v>0</v>
      </c>
    </row>
    <row r="156" spans="2:9" x14ac:dyDescent="0.2">
      <c r="B156" s="696"/>
      <c r="C156" s="705">
        <f t="shared" si="40"/>
        <v>0</v>
      </c>
      <c r="D156" s="787">
        <f t="shared" si="51"/>
        <v>0</v>
      </c>
      <c r="E156" s="281">
        <f t="shared" si="52"/>
        <v>0</v>
      </c>
      <c r="F156" s="785">
        <f t="shared" si="53"/>
        <v>0</v>
      </c>
      <c r="G156" s="786">
        <f t="shared" si="54"/>
        <v>0</v>
      </c>
      <c r="H156" s="362">
        <f t="shared" si="55"/>
        <v>0</v>
      </c>
      <c r="I156" s="273">
        <f t="shared" si="56"/>
        <v>0</v>
      </c>
    </row>
    <row r="157" spans="2:9" ht="25.5" x14ac:dyDescent="0.2">
      <c r="B157" s="701" t="str">
        <f>'TRAD-Adults YEAR(1)'!B12</f>
        <v>3èmes lignes</v>
      </c>
      <c r="C157" s="790" t="str">
        <f>'TRAD-Adults YEAR(1)'!B16</f>
        <v>nb de patient total 3èmes lignes</v>
      </c>
      <c r="D157" s="791">
        <f>F127</f>
        <v>0</v>
      </c>
      <c r="E157" s="283">
        <f t="shared" si="36"/>
        <v>0</v>
      </c>
      <c r="F157" s="792">
        <f t="shared" ref="F157:F158" si="57">G127</f>
        <v>0</v>
      </c>
      <c r="G157" s="793">
        <f t="shared" si="49"/>
        <v>0</v>
      </c>
      <c r="H157" s="794">
        <f>K127</f>
        <v>0</v>
      </c>
      <c r="I157" s="283">
        <f t="shared" si="50"/>
        <v>0</v>
      </c>
    </row>
    <row r="158" spans="2:9" ht="13.5" thickBot="1" x14ac:dyDescent="0.25">
      <c r="B158" s="696"/>
      <c r="C158" s="285"/>
      <c r="D158" s="794">
        <f>G128</f>
        <v>0</v>
      </c>
      <c r="E158" s="283"/>
      <c r="F158" s="792">
        <f t="shared" si="57"/>
        <v>0</v>
      </c>
      <c r="G158" s="793"/>
      <c r="H158" s="794">
        <f>K128</f>
        <v>0</v>
      </c>
      <c r="I158" s="283"/>
    </row>
    <row r="159" spans="2:9" ht="14.25" thickTop="1" thickBot="1" x14ac:dyDescent="0.25">
      <c r="B159" s="795"/>
      <c r="C159" s="796" t="s">
        <v>6</v>
      </c>
      <c r="D159" s="797">
        <f>SUM(D140:D156)</f>
        <v>20915.44202348125</v>
      </c>
      <c r="E159" s="798">
        <f>SUM(E140:E158)</f>
        <v>1.0000000000000002</v>
      </c>
      <c r="F159" s="797">
        <f>SUM(F140:F156)</f>
        <v>20491.100156798369</v>
      </c>
      <c r="G159" s="799">
        <f>SUM(G140:G156)</f>
        <v>1.0000000000000002</v>
      </c>
      <c r="H159" s="797">
        <f>SUM(H140:H156)</f>
        <v>20491.100156798369</v>
      </c>
      <c r="I159" s="798">
        <f>SUM(I140:I158)</f>
        <v>1</v>
      </c>
    </row>
    <row r="160" spans="2:9" x14ac:dyDescent="0.2">
      <c r="C160" s="260" t="str">
        <f>'TRAD-Adults YEAR(1)'!B69</f>
        <v>Total 1ères lignes</v>
      </c>
      <c r="D160" s="800">
        <f>SUM(D140:D148)</f>
        <v>17363.519533268489</v>
      </c>
    </row>
    <row r="163" spans="1:32" x14ac:dyDescent="0.2">
      <c r="B163" s="290" t="str">
        <f>'TRAD-Adults YEAR(1)'!B17</f>
        <v>Commentaire</v>
      </c>
      <c r="C163" s="291"/>
      <c r="D163" s="291"/>
      <c r="E163" s="291"/>
      <c r="F163" s="291"/>
      <c r="G163" s="291"/>
      <c r="H163" s="291"/>
      <c r="I163" s="291"/>
      <c r="J163" s="291"/>
      <c r="K163" s="291"/>
      <c r="L163" s="291"/>
      <c r="M163" s="291"/>
      <c r="N163" s="497"/>
    </row>
    <row r="164" spans="1:32" x14ac:dyDescent="0.2">
      <c r="B164" s="801"/>
      <c r="C164" s="293" t="str">
        <f>'TRAD-Adults YEAR(1)'!B70</f>
        <v>Le nombre de patients en 3èmes lignes n'est volontairement pas pris en compte dans le total.</v>
      </c>
    </row>
    <row r="165" spans="1:32" x14ac:dyDescent="0.2">
      <c r="B165" s="293"/>
      <c r="C165" s="293" t="str">
        <f>'TRAD-Adults YEAR(1)'!B71</f>
        <v>Pour les années suivantes, nous avons pris en compte une défalcation proportionnelle à la répartition des initiations en premières lignes (données en rouge)</v>
      </c>
    </row>
    <row r="167" spans="1:32" ht="16.5" thickBot="1" x14ac:dyDescent="0.3">
      <c r="A167" s="802" t="str">
        <f>'TRAD-Adults YEAR (2)'!B16</f>
        <v>Quantification des besoins en ARV pour la prise en charge médicale pour la cinquième année selon la répartition envisagée</v>
      </c>
      <c r="B167" s="802"/>
      <c r="C167" s="802"/>
      <c r="D167" s="802"/>
      <c r="E167" s="802"/>
      <c r="F167" s="802"/>
      <c r="G167" s="802"/>
      <c r="H167" s="802"/>
      <c r="I167" s="802"/>
      <c r="J167" s="802"/>
      <c r="K167" s="802"/>
      <c r="L167" s="802"/>
    </row>
    <row r="169" spans="1:32" ht="15" x14ac:dyDescent="0.2">
      <c r="B169" s="2143"/>
      <c r="C169" s="2143"/>
      <c r="D169" s="2143"/>
      <c r="E169" s="2143"/>
      <c r="F169" s="2143"/>
      <c r="G169" s="1158"/>
      <c r="H169" s="1158"/>
      <c r="I169" s="1158"/>
      <c r="J169" s="1158"/>
      <c r="K169" s="1158"/>
      <c r="L169" s="2143"/>
      <c r="M169" s="2143"/>
      <c r="N169" s="1158"/>
    </row>
    <row r="172" spans="1:32" x14ac:dyDescent="0.2">
      <c r="C172" s="1162"/>
      <c r="D172" s="1163" t="s">
        <v>75</v>
      </c>
      <c r="E172" s="1163"/>
      <c r="F172" s="1163"/>
      <c r="G172" s="1164"/>
      <c r="H172" s="1164"/>
      <c r="I172" s="1164"/>
      <c r="J172" s="1164"/>
      <c r="K172" s="1164"/>
      <c r="L172" s="1163"/>
      <c r="M172" s="1163" t="s">
        <v>84</v>
      </c>
      <c r="N172" s="1163"/>
      <c r="O172" s="1163" t="s">
        <v>85</v>
      </c>
      <c r="P172" s="1163"/>
      <c r="Q172" s="1163"/>
      <c r="R172" s="1164"/>
      <c r="S172" s="1164"/>
      <c r="T172" s="1163"/>
      <c r="U172" s="1163" t="s">
        <v>87</v>
      </c>
      <c r="V172" s="1164"/>
      <c r="W172" s="1164"/>
      <c r="X172" s="1164"/>
      <c r="Y172" s="1164"/>
      <c r="Z172" s="1164"/>
      <c r="AA172" s="1163" t="s">
        <v>331</v>
      </c>
      <c r="AB172" s="1163" t="str">
        <f>'TRAD-Adults YEAR(1)'!B132</f>
        <v>NNRTI 3ème ligne</v>
      </c>
    </row>
    <row r="173" spans="1:32" ht="63.75" x14ac:dyDescent="0.2">
      <c r="C173" s="1165" t="str">
        <f>'TRAD-Adults YEAR(1)'!B73</f>
        <v>Composition</v>
      </c>
      <c r="D173" s="1166" t="s">
        <v>7</v>
      </c>
      <c r="E173" s="1166" t="s">
        <v>140</v>
      </c>
      <c r="F173" s="1166" t="s">
        <v>731</v>
      </c>
      <c r="G173" s="1166" t="s">
        <v>11</v>
      </c>
      <c r="H173" s="1166" t="s">
        <v>586</v>
      </c>
      <c r="I173" s="1166" t="s">
        <v>50</v>
      </c>
      <c r="J173" s="1166" t="s">
        <v>81</v>
      </c>
      <c r="K173" s="1166" t="s">
        <v>348</v>
      </c>
      <c r="L173" s="1166" t="s">
        <v>349</v>
      </c>
      <c r="M173" s="1166" t="s">
        <v>17</v>
      </c>
      <c r="N173" s="1166" t="s">
        <v>19</v>
      </c>
      <c r="O173" s="1166" t="s">
        <v>39</v>
      </c>
      <c r="P173" s="1166" t="s">
        <v>350</v>
      </c>
      <c r="Q173" s="1166" t="s">
        <v>25</v>
      </c>
      <c r="R173" s="1166" t="s">
        <v>28</v>
      </c>
      <c r="S173" s="1166" t="s">
        <v>28</v>
      </c>
      <c r="T173" s="1166" t="s">
        <v>22</v>
      </c>
      <c r="U173" s="1166" t="s">
        <v>33</v>
      </c>
      <c r="V173" s="1166" t="s">
        <v>69</v>
      </c>
      <c r="W173" s="1166" t="s">
        <v>335</v>
      </c>
      <c r="X173" s="1166" t="s">
        <v>68</v>
      </c>
      <c r="Y173" s="1166" t="s">
        <v>576</v>
      </c>
      <c r="Z173" s="1166" t="s">
        <v>343</v>
      </c>
      <c r="AA173" s="1166" t="s">
        <v>329</v>
      </c>
      <c r="AB173" s="1166" t="s">
        <v>330</v>
      </c>
      <c r="AC173" s="1167" t="str">
        <f>'TRAD-Adults YEAR(1)'!B133</f>
        <v>Patients sous traitement</v>
      </c>
      <c r="AD173" s="1167" t="str">
        <f>'TRAD-Adults YEAR(1)'!B134</f>
        <v>Patients initiés/swichés / mois</v>
      </c>
      <c r="AE173" s="1167" t="str">
        <f>'TRAD-Adults YEAR(1)'!B134</f>
        <v>Patients initiés/swichés / mois</v>
      </c>
      <c r="AF173" s="1167" t="str">
        <f>'TRAD-Adults YEAR(1)'!B135</f>
        <v>Défalcation (nb patients switchés/mois)</v>
      </c>
    </row>
    <row r="174" spans="1:32" ht="25.5" x14ac:dyDescent="0.2">
      <c r="C174" s="1165" t="str">
        <f>'TRAD-Adults YEAR(1)'!B74</f>
        <v>Nom du médicament</v>
      </c>
      <c r="D174" s="1166" t="s">
        <v>76</v>
      </c>
      <c r="E174" s="1166"/>
      <c r="F174" s="1166"/>
      <c r="G174" s="1166" t="s">
        <v>78</v>
      </c>
      <c r="H174" s="1166"/>
      <c r="I174" s="1166" t="s">
        <v>79</v>
      </c>
      <c r="J174" s="1166" t="s">
        <v>82</v>
      </c>
      <c r="K174" s="1166"/>
      <c r="L174" s="1166"/>
      <c r="M174" s="1166"/>
      <c r="N174" s="1166"/>
      <c r="O174" s="1166"/>
      <c r="P174" s="1166"/>
      <c r="Q174" s="1166"/>
      <c r="R174" s="1166"/>
      <c r="S174" s="1166"/>
      <c r="T174" s="1166"/>
      <c r="U174" s="1166"/>
      <c r="V174" s="1166"/>
      <c r="W174" s="1166"/>
      <c r="X174" s="1166"/>
      <c r="Y174" s="1166"/>
      <c r="Z174" s="1166"/>
      <c r="AA174" s="1166"/>
      <c r="AB174" s="1166"/>
      <c r="AC174" s="1168"/>
      <c r="AD174" s="1168"/>
      <c r="AE174" s="1168"/>
      <c r="AF174" s="1168"/>
    </row>
    <row r="175" spans="1:32" x14ac:dyDescent="0.2">
      <c r="C175" s="1165" t="str">
        <f>'TRAD-Adults YEAR(1)'!B75</f>
        <v>Forme galénique</v>
      </c>
      <c r="D175" s="1166" t="s">
        <v>521</v>
      </c>
      <c r="E175" s="1166" t="s">
        <v>521</v>
      </c>
      <c r="F175" s="1166" t="s">
        <v>521</v>
      </c>
      <c r="G175" s="1166" t="s">
        <v>521</v>
      </c>
      <c r="H175" s="1166" t="s">
        <v>521</v>
      </c>
      <c r="I175" s="1166" t="s">
        <v>521</v>
      </c>
      <c r="J175" s="1166" t="s">
        <v>521</v>
      </c>
      <c r="K175" s="1166" t="s">
        <v>521</v>
      </c>
      <c r="L175" s="1166" t="s">
        <v>521</v>
      </c>
      <c r="M175" s="1166" t="s">
        <v>521</v>
      </c>
      <c r="N175" s="1166" t="s">
        <v>521</v>
      </c>
      <c r="O175" s="1166" t="s">
        <v>521</v>
      </c>
      <c r="P175" s="1166" t="s">
        <v>521</v>
      </c>
      <c r="Q175" s="1166" t="s">
        <v>521</v>
      </c>
      <c r="R175" s="1166" t="s">
        <v>86</v>
      </c>
      <c r="S175" s="1166" t="s">
        <v>86</v>
      </c>
      <c r="T175" s="1166" t="s">
        <v>521</v>
      </c>
      <c r="U175" s="1166" t="s">
        <v>521</v>
      </c>
      <c r="V175" s="1166" t="s">
        <v>86</v>
      </c>
      <c r="W175" s="1166" t="s">
        <v>88</v>
      </c>
      <c r="X175" s="1166" t="s">
        <v>88</v>
      </c>
      <c r="Y175" s="1166" t="s">
        <v>599</v>
      </c>
      <c r="Z175" s="1166" t="s">
        <v>521</v>
      </c>
      <c r="AA175" s="1166" t="s">
        <v>521</v>
      </c>
      <c r="AB175" s="1166" t="s">
        <v>521</v>
      </c>
      <c r="AC175" s="1168"/>
      <c r="AD175" s="1168"/>
      <c r="AE175" s="1168"/>
      <c r="AF175" s="1168"/>
    </row>
    <row r="176" spans="1:32" x14ac:dyDescent="0.2">
      <c r="C176" s="1165" t="str">
        <f>'TRAD-Adults YEAR(1)'!B76</f>
        <v>Dosage</v>
      </c>
      <c r="D176" s="1173" t="s">
        <v>9</v>
      </c>
      <c r="E176" s="1173" t="s">
        <v>334</v>
      </c>
      <c r="F176" s="1173" t="s">
        <v>734</v>
      </c>
      <c r="G176" s="1173" t="s">
        <v>12</v>
      </c>
      <c r="H176" s="1173" t="s">
        <v>649</v>
      </c>
      <c r="I176" s="1173" t="s">
        <v>80</v>
      </c>
      <c r="J176" s="1173" t="s">
        <v>83</v>
      </c>
      <c r="K176" s="1173" t="s">
        <v>244</v>
      </c>
      <c r="L176" s="1173" t="s">
        <v>24</v>
      </c>
      <c r="M176" s="1173" t="s">
        <v>18</v>
      </c>
      <c r="N176" s="1173" t="s">
        <v>20</v>
      </c>
      <c r="O176" s="1173" t="s">
        <v>23</v>
      </c>
      <c r="P176" s="1173" t="s">
        <v>16</v>
      </c>
      <c r="Q176" s="1173" t="s">
        <v>23</v>
      </c>
      <c r="R176" s="1173" t="s">
        <v>29</v>
      </c>
      <c r="S176" s="1173" t="s">
        <v>32</v>
      </c>
      <c r="T176" s="1173" t="s">
        <v>23</v>
      </c>
      <c r="U176" s="1173" t="s">
        <v>34</v>
      </c>
      <c r="V176" s="1173" t="s">
        <v>32</v>
      </c>
      <c r="W176" s="1173" t="s">
        <v>89</v>
      </c>
      <c r="X176" s="1173" t="s">
        <v>20</v>
      </c>
      <c r="Y176" s="1173" t="s">
        <v>577</v>
      </c>
      <c r="Z176" s="1173" t="s">
        <v>18</v>
      </c>
      <c r="AA176" s="1173" t="s">
        <v>32</v>
      </c>
      <c r="AB176" s="1173" t="s">
        <v>89</v>
      </c>
      <c r="AC176" s="1169"/>
      <c r="AD176" s="1169"/>
      <c r="AE176" s="1169"/>
      <c r="AF176" s="1169"/>
    </row>
    <row r="177" spans="2:32" ht="27.75" customHeight="1" x14ac:dyDescent="0.2">
      <c r="C177" s="1165" t="str">
        <f>'TRAD-Adults YEAR(1)'!B77</f>
        <v>Nb cdt/mois/patient</v>
      </c>
      <c r="D177" s="1182">
        <f>'Data &amp; hypothesis Adults'!$K$228</f>
        <v>1</v>
      </c>
      <c r="E177" s="1182">
        <f>'Data &amp; hypothesis Adults'!$K$229</f>
        <v>1</v>
      </c>
      <c r="F177" s="1182">
        <f>'Data &amp; hypothesis Adults'!$K$230</f>
        <v>1</v>
      </c>
      <c r="G177" s="1182">
        <f>'Data &amp; hypothesis Adults'!$K$231</f>
        <v>1</v>
      </c>
      <c r="H177" s="1182">
        <f>'Data &amp; hypothesis Adults'!$K$232</f>
        <v>1</v>
      </c>
      <c r="I177" s="1182">
        <f>'Data &amp; hypothesis Adults'!$K$233</f>
        <v>1</v>
      </c>
      <c r="J177" s="1182">
        <f>'Data &amp; hypothesis Adults'!$K$234</f>
        <v>1</v>
      </c>
      <c r="K177" s="1182">
        <f>'Data &amp; hypothesis Adults'!$K$235</f>
        <v>1</v>
      </c>
      <c r="L177" s="1182">
        <f>'Data &amp; hypothesis Adults'!$K$236</f>
        <v>1</v>
      </c>
      <c r="M177" s="1182">
        <f>'Data &amp; hypothesis Adults'!$K$237</f>
        <v>1</v>
      </c>
      <c r="N177" s="1182">
        <f>'Data &amp; hypothesis Adults'!$K$238</f>
        <v>1</v>
      </c>
      <c r="O177" s="1182">
        <f>'Data &amp; hypothesis Adults'!$K$239</f>
        <v>1</v>
      </c>
      <c r="P177" s="1182">
        <f>'Data &amp; hypothesis Adults'!$K$240</f>
        <v>1</v>
      </c>
      <c r="Q177" s="1182">
        <f>'Data &amp; hypothesis Adults'!$K$241</f>
        <v>1</v>
      </c>
      <c r="R177" s="1182">
        <f>'Data &amp; hypothesis Adults'!$K$242</f>
        <v>1</v>
      </c>
      <c r="S177" s="1182">
        <f>'Data &amp; hypothesis Adults'!$K$243</f>
        <v>1</v>
      </c>
      <c r="T177" s="1182">
        <f>'Data &amp; hypothesis Adults'!$K$244</f>
        <v>1</v>
      </c>
      <c r="U177" s="1182">
        <f>'Data &amp; hypothesis Adults'!$K$245</f>
        <v>1</v>
      </c>
      <c r="V177" s="1182">
        <f>'Data &amp; hypothesis Adults'!$K$246</f>
        <v>0.66666666666666663</v>
      </c>
      <c r="W177" s="1182">
        <f>'Data &amp; hypothesis Adults'!$K$247</f>
        <v>0.7142857142857143</v>
      </c>
      <c r="X177" s="1182">
        <f>'Data &amp; hypothesis Adults'!$K$248</f>
        <v>1</v>
      </c>
      <c r="Y177" s="1182">
        <f>'Data &amp; hypothesis Adults'!$K$249</f>
        <v>1</v>
      </c>
      <c r="Z177" s="1182">
        <f>'Data &amp; hypothesis Adults'!$K$250</f>
        <v>1</v>
      </c>
      <c r="AA177" s="1182">
        <f>'Data &amp; hypothesis Adults'!$K$251</f>
        <v>1</v>
      </c>
      <c r="AB177" s="1182">
        <f>'Data &amp; hypothesis Adults'!$K$252</f>
        <v>1</v>
      </c>
      <c r="AC177" s="1169"/>
      <c r="AD177" s="1169"/>
      <c r="AE177" s="1169"/>
      <c r="AF177" s="1169"/>
    </row>
    <row r="178" spans="2:32" ht="38.25" x14ac:dyDescent="0.2">
      <c r="C178" s="1165" t="str">
        <f>'TRAD-Adults YEAR(1)'!B78</f>
        <v>Répartitions spécifiques (DDI, 3ème ligne)</v>
      </c>
      <c r="D178" s="1183"/>
      <c r="E178" s="1183"/>
      <c r="F178" s="1183"/>
      <c r="G178" s="1183"/>
      <c r="H178" s="1183"/>
      <c r="I178" s="1183"/>
      <c r="J178" s="1183"/>
      <c r="K178" s="1183"/>
      <c r="L178" s="1183"/>
      <c r="M178" s="1183"/>
      <c r="N178" s="1183"/>
      <c r="O178" s="1183"/>
      <c r="P178" s="1183"/>
      <c r="Q178" s="1183"/>
      <c r="R178" s="1184">
        <f>'Data &amp; hypothesis Adults'!D168</f>
        <v>0</v>
      </c>
      <c r="S178" s="1184">
        <f>'Data &amp; hypothesis Adults'!D169</f>
        <v>1</v>
      </c>
      <c r="T178" s="1183"/>
      <c r="U178" s="1183"/>
      <c r="V178" s="1185"/>
      <c r="W178" s="1185"/>
      <c r="X178" s="1185"/>
      <c r="Y178" s="1185"/>
      <c r="Z178" s="1185"/>
      <c r="AA178" s="1185"/>
      <c r="AB178" s="1185"/>
      <c r="AC178" s="1169"/>
      <c r="AD178" s="1169"/>
      <c r="AE178" s="1169"/>
      <c r="AF178" s="1169"/>
    </row>
    <row r="179" spans="2:32" ht="38.25" x14ac:dyDescent="0.2">
      <c r="C179" s="1165" t="str">
        <f>'TRAD-Adults YEAR(1)'!B79</f>
        <v>Répartitions spécifiques 3ème ligne</v>
      </c>
      <c r="D179" s="1183"/>
      <c r="E179" s="1183"/>
      <c r="F179" s="1183"/>
      <c r="G179" s="1183"/>
      <c r="H179" s="1183"/>
      <c r="I179" s="1183"/>
      <c r="J179" s="1183"/>
      <c r="K179" s="1183"/>
      <c r="L179" s="1183">
        <f>'Data &amp; hypothesis Adults'!D147</f>
        <v>0</v>
      </c>
      <c r="M179" s="1183"/>
      <c r="N179" s="1183"/>
      <c r="O179" s="1183"/>
      <c r="P179" s="1183">
        <f>'Data &amp; hypothesis Adults'!D146</f>
        <v>0</v>
      </c>
      <c r="Q179" s="1183">
        <f>'Data &amp; hypothesis Adults'!D144</f>
        <v>0</v>
      </c>
      <c r="R179" s="1184">
        <f>'Data &amp; hypothesis Adults'!D145</f>
        <v>0</v>
      </c>
      <c r="S179" s="1184">
        <f>'Data &amp; hypothesis Adults'!D145</f>
        <v>0</v>
      </c>
      <c r="T179" s="1183"/>
      <c r="U179" s="1183"/>
      <c r="V179" s="1183">
        <f>'Data &amp; hypothesis Adults'!D148</f>
        <v>0</v>
      </c>
      <c r="W179" s="1183">
        <f>V179+X179+Z179</f>
        <v>0</v>
      </c>
      <c r="X179" s="1183">
        <f>'Data &amp; hypothesis Adults'!D149</f>
        <v>0</v>
      </c>
      <c r="Y179" s="1183">
        <f>'Data &amp; hypothesis Adults'!D150</f>
        <v>0</v>
      </c>
      <c r="Z179" s="1183">
        <f>'Data &amp; hypothesis Adults'!D151</f>
        <v>0</v>
      </c>
      <c r="AA179" s="1183">
        <f>'Data &amp; hypothesis Adults'!D152</f>
        <v>0</v>
      </c>
      <c r="AB179" s="1183">
        <f>'Data &amp; hypothesis Adults'!D153</f>
        <v>0</v>
      </c>
      <c r="AC179" s="1169"/>
      <c r="AD179" s="1169"/>
      <c r="AE179" s="1169"/>
      <c r="AF179" s="1169"/>
    </row>
    <row r="180" spans="2:32" x14ac:dyDescent="0.2">
      <c r="B180" s="1172"/>
      <c r="C180" s="1171" t="str">
        <f>'TRAD-Adults YEAR(1)'!B7</f>
        <v>Schémas</v>
      </c>
      <c r="D180" s="1172"/>
      <c r="E180" s="1172"/>
      <c r="F180" s="1172"/>
      <c r="G180" s="1172"/>
      <c r="H180" s="1172"/>
      <c r="I180" s="1172"/>
      <c r="J180" s="1172"/>
      <c r="K180" s="1172"/>
      <c r="L180" s="1172"/>
      <c r="M180" s="1172"/>
      <c r="N180" s="1172"/>
      <c r="O180" s="1172"/>
      <c r="P180" s="1172"/>
      <c r="Q180" s="1172"/>
      <c r="R180" s="1179"/>
      <c r="S180" s="1179"/>
      <c r="T180" s="1172"/>
      <c r="U180" s="1172"/>
      <c r="V180" s="1172"/>
      <c r="W180" s="1172"/>
      <c r="X180" s="1172"/>
      <c r="Y180" s="1172"/>
      <c r="Z180" s="1172"/>
      <c r="AA180" s="1172"/>
      <c r="AB180" s="1172"/>
      <c r="AC180" s="1172"/>
      <c r="AD180" s="1172"/>
      <c r="AE180" s="1172"/>
      <c r="AF180" s="1172"/>
    </row>
    <row r="181" spans="2:32" ht="15" x14ac:dyDescent="0.25">
      <c r="B181" s="1174" t="str">
        <f>'TRAD-Adults YEAR(1)'!B10</f>
        <v>1ères lignes</v>
      </c>
      <c r="C181" s="1166" t="str">
        <f>C10</f>
        <v>AZT+3TC+NVP</v>
      </c>
      <c r="D181" s="1175" t="str">
        <f>'Data &amp; hypothesis Adults'!E200</f>
        <v>X</v>
      </c>
      <c r="E181" s="1175">
        <f>'Data &amp; hypothesis Adults'!F200</f>
        <v>0</v>
      </c>
      <c r="F181" s="1175">
        <f>'Data &amp; hypothesis Adults'!G200</f>
        <v>0</v>
      </c>
      <c r="G181" s="1175">
        <f>'Data &amp; hypothesis Adults'!H200</f>
        <v>0</v>
      </c>
      <c r="H181" s="1175">
        <f>'Data &amp; hypothesis Adults'!I200</f>
        <v>0</v>
      </c>
      <c r="I181" s="1175">
        <f>'Data &amp; hypothesis Adults'!J200</f>
        <v>0</v>
      </c>
      <c r="J181" s="1175">
        <f>'Data &amp; hypothesis Adults'!K200</f>
        <v>0</v>
      </c>
      <c r="K181" s="1175">
        <f>'Data &amp; hypothesis Adults'!L200</f>
        <v>0</v>
      </c>
      <c r="L181" s="1175">
        <f>'Data &amp; hypothesis Adults'!M200</f>
        <v>0</v>
      </c>
      <c r="M181" s="1175">
        <f>'Data &amp; hypothesis Adults'!N200</f>
        <v>0</v>
      </c>
      <c r="N181" s="1175">
        <f>'Data &amp; hypothesis Adults'!O200</f>
        <v>0</v>
      </c>
      <c r="O181" s="1175">
        <f>'Data &amp; hypothesis Adults'!P200</f>
        <v>0</v>
      </c>
      <c r="P181" s="1175">
        <f>'Data &amp; hypothesis Adults'!Q200</f>
        <v>0</v>
      </c>
      <c r="Q181" s="1175">
        <f>'Data &amp; hypothesis Adults'!R200</f>
        <v>0</v>
      </c>
      <c r="R181" s="1175">
        <f>'Data &amp; hypothesis Adults'!S200</f>
        <v>0</v>
      </c>
      <c r="S181" s="1175">
        <f>'Data &amp; hypothesis Adults'!T200</f>
        <v>0</v>
      </c>
      <c r="T181" s="1175">
        <f>'Data &amp; hypothesis Adults'!U200</f>
        <v>0</v>
      </c>
      <c r="U181" s="1175">
        <f>'Data &amp; hypothesis Adults'!V200</f>
        <v>0</v>
      </c>
      <c r="V181" s="1175">
        <f>'Data &amp; hypothesis Adults'!W200</f>
        <v>0</v>
      </c>
      <c r="W181" s="1175">
        <f>'Data &amp; hypothesis Adults'!X200</f>
        <v>0</v>
      </c>
      <c r="X181" s="1175">
        <f>'Data &amp; hypothesis Adults'!Y200</f>
        <v>0</v>
      </c>
      <c r="Y181" s="1175">
        <f>'Data &amp; hypothesis Adults'!Z200</f>
        <v>0</v>
      </c>
      <c r="Z181" s="1175">
        <f>'Data &amp; hypothesis Adults'!AA200</f>
        <v>0</v>
      </c>
      <c r="AA181" s="1175">
        <f>'Data &amp; hypothesis Adults'!AB200</f>
        <v>0</v>
      </c>
      <c r="AB181" s="1175">
        <f>'Data &amp; hypothesis Adults'!AC200</f>
        <v>0</v>
      </c>
      <c r="AC181" s="1177">
        <f t="shared" ref="AC181:AC194" si="58">D10</f>
        <v>9816.7021911932152</v>
      </c>
      <c r="AD181" s="1172">
        <f>E39</f>
        <v>0</v>
      </c>
      <c r="AE181" s="1192"/>
      <c r="AF181" s="1199" t="e">
        <f>-F110/$D$6</f>
        <v>#DIV/0!</v>
      </c>
    </row>
    <row r="182" spans="2:32" ht="15" x14ac:dyDescent="0.25">
      <c r="B182" s="1174"/>
      <c r="C182" s="1166" t="str">
        <f t="shared" ref="C182:C197" si="59">C11</f>
        <v>AZT+3TC+EFV</v>
      </c>
      <c r="D182" s="1175">
        <f>'Data &amp; hypothesis Adults'!E201</f>
        <v>0</v>
      </c>
      <c r="E182" s="1175">
        <f>'Data &amp; hypothesis Adults'!F201</f>
        <v>0</v>
      </c>
      <c r="F182" s="1175">
        <f>'Data &amp; hypothesis Adults'!G201</f>
        <v>0</v>
      </c>
      <c r="G182" s="1175" t="str">
        <f>'Data &amp; hypothesis Adults'!H201</f>
        <v>X</v>
      </c>
      <c r="H182" s="1175">
        <f>'Data &amp; hypothesis Adults'!I201</f>
        <v>0</v>
      </c>
      <c r="I182" s="1175">
        <f>'Data &amp; hypothesis Adults'!J201</f>
        <v>0</v>
      </c>
      <c r="J182" s="1175">
        <f>'Data &amp; hypothesis Adults'!K201</f>
        <v>0</v>
      </c>
      <c r="K182" s="1175">
        <f>'Data &amp; hypothesis Adults'!L201</f>
        <v>0</v>
      </c>
      <c r="L182" s="1175">
        <f>'Data &amp; hypothesis Adults'!M201</f>
        <v>0</v>
      </c>
      <c r="M182" s="1175" t="str">
        <f>'Data &amp; hypothesis Adults'!N201</f>
        <v>X</v>
      </c>
      <c r="N182" s="1175">
        <f>'Data &amp; hypothesis Adults'!O201</f>
        <v>0</v>
      </c>
      <c r="O182" s="1175">
        <f>'Data &amp; hypothesis Adults'!P201</f>
        <v>0</v>
      </c>
      <c r="P182" s="1175">
        <f>'Data &amp; hypothesis Adults'!Q201</f>
        <v>0</v>
      </c>
      <c r="Q182" s="1175">
        <f>'Data &amp; hypothesis Adults'!R201</f>
        <v>0</v>
      </c>
      <c r="R182" s="1175">
        <f>'Data &amp; hypothesis Adults'!S201</f>
        <v>0</v>
      </c>
      <c r="S182" s="1175">
        <f>'Data &amp; hypothesis Adults'!T201</f>
        <v>0</v>
      </c>
      <c r="T182" s="1175">
        <f>'Data &amp; hypothesis Adults'!U201</f>
        <v>0</v>
      </c>
      <c r="U182" s="1175">
        <f>'Data &amp; hypothesis Adults'!V201</f>
        <v>0</v>
      </c>
      <c r="V182" s="1175">
        <f>'Data &amp; hypothesis Adults'!W201</f>
        <v>0</v>
      </c>
      <c r="W182" s="1175">
        <f>'Data &amp; hypothesis Adults'!X201</f>
        <v>0</v>
      </c>
      <c r="X182" s="1175">
        <f>'Data &amp; hypothesis Adults'!Y201</f>
        <v>0</v>
      </c>
      <c r="Y182" s="1175">
        <f>'Data &amp; hypothesis Adults'!Z201</f>
        <v>0</v>
      </c>
      <c r="Z182" s="1175">
        <f>'Data &amp; hypothesis Adults'!AA201</f>
        <v>0</v>
      </c>
      <c r="AA182" s="1175">
        <f>'Data &amp; hypothesis Adults'!AB201</f>
        <v>0</v>
      </c>
      <c r="AB182" s="1175">
        <f>'Data &amp; hypothesis Adults'!AC201</f>
        <v>0</v>
      </c>
      <c r="AC182" s="1172">
        <f t="shared" si="58"/>
        <v>1267.8259239803904</v>
      </c>
      <c r="AD182" s="1172">
        <f>E40</f>
        <v>0</v>
      </c>
      <c r="AE182" s="1192"/>
      <c r="AF182" s="1199" t="e">
        <f>-F111/$D$6</f>
        <v>#DIV/0!</v>
      </c>
    </row>
    <row r="183" spans="2:32" ht="15" x14ac:dyDescent="0.25">
      <c r="B183" s="1174"/>
      <c r="C183" s="1166" t="str">
        <f t="shared" si="59"/>
        <v>AZT+3TC+ABC</v>
      </c>
      <c r="D183" s="1175">
        <f>'Data &amp; hypothesis Adults'!E202</f>
        <v>0</v>
      </c>
      <c r="E183" s="1175" t="str">
        <f>'Data &amp; hypothesis Adults'!F202</f>
        <v>X</v>
      </c>
      <c r="F183" s="1175">
        <f>'Data &amp; hypothesis Adults'!G202</f>
        <v>0</v>
      </c>
      <c r="G183" s="1175">
        <f>'Data &amp; hypothesis Adults'!H202</f>
        <v>0</v>
      </c>
      <c r="H183" s="1175">
        <f>'Data &amp; hypothesis Adults'!I202</f>
        <v>0</v>
      </c>
      <c r="I183" s="1175">
        <f>'Data &amp; hypothesis Adults'!J202</f>
        <v>0</v>
      </c>
      <c r="J183" s="1175">
        <f>'Data &amp; hypothesis Adults'!K202</f>
        <v>0</v>
      </c>
      <c r="K183" s="1175">
        <f>'Data &amp; hypothesis Adults'!L202</f>
        <v>0</v>
      </c>
      <c r="L183" s="1175">
        <f>'Data &amp; hypothesis Adults'!M202</f>
        <v>0</v>
      </c>
      <c r="M183" s="1175">
        <f>'Data &amp; hypothesis Adults'!N202</f>
        <v>0</v>
      </c>
      <c r="N183" s="1175">
        <f>'Data &amp; hypothesis Adults'!O202</f>
        <v>0</v>
      </c>
      <c r="O183" s="1175">
        <f>'Data &amp; hypothesis Adults'!P202</f>
        <v>0</v>
      </c>
      <c r="P183" s="1175">
        <f>'Data &amp; hypothesis Adults'!Q202</f>
        <v>0</v>
      </c>
      <c r="Q183" s="1175">
        <f>'Data &amp; hypothesis Adults'!R202</f>
        <v>0</v>
      </c>
      <c r="R183" s="1175">
        <f>'Data &amp; hypothesis Adults'!S202</f>
        <v>0</v>
      </c>
      <c r="S183" s="1175">
        <f>'Data &amp; hypothesis Adults'!T202</f>
        <v>0</v>
      </c>
      <c r="T183" s="1175">
        <f>'Data &amp; hypothesis Adults'!U202</f>
        <v>0</v>
      </c>
      <c r="U183" s="1175">
        <f>'Data &amp; hypothesis Adults'!V202</f>
        <v>0</v>
      </c>
      <c r="V183" s="1175">
        <f>'Data &amp; hypothesis Adults'!W202</f>
        <v>0</v>
      </c>
      <c r="W183" s="1175">
        <f>'Data &amp; hypothesis Adults'!X202</f>
        <v>0</v>
      </c>
      <c r="X183" s="1175">
        <f>'Data &amp; hypothesis Adults'!Y202</f>
        <v>0</v>
      </c>
      <c r="Y183" s="1175">
        <f>'Data &amp; hypothesis Adults'!Z202</f>
        <v>0</v>
      </c>
      <c r="Z183" s="1175">
        <f>'Data &amp; hypothesis Adults'!AA202</f>
        <v>0</v>
      </c>
      <c r="AA183" s="1175">
        <f>'Data &amp; hypothesis Adults'!AB202</f>
        <v>0</v>
      </c>
      <c r="AB183" s="1175">
        <f>'Data &amp; hypothesis Adults'!AC202</f>
        <v>0</v>
      </c>
      <c r="AC183" s="1172">
        <f t="shared" si="58"/>
        <v>71.533278323796864</v>
      </c>
      <c r="AD183" s="1172">
        <f>E41</f>
        <v>0</v>
      </c>
      <c r="AE183" s="1192"/>
      <c r="AF183" s="1199" t="e">
        <f>-F112/$D$6</f>
        <v>#DIV/0!</v>
      </c>
    </row>
    <row r="184" spans="2:32" ht="15" x14ac:dyDescent="0.25">
      <c r="B184" s="1174"/>
      <c r="C184" s="1166" t="str">
        <f t="shared" si="59"/>
        <v>AZT+3TC+LPV/r</v>
      </c>
      <c r="D184" s="1175">
        <f>'Data &amp; hypothesis Adults'!E203</f>
        <v>0</v>
      </c>
      <c r="E184" s="1175">
        <f>'Data &amp; hypothesis Adults'!F203</f>
        <v>0</v>
      </c>
      <c r="F184" s="1175">
        <f>'Data &amp; hypothesis Adults'!G203</f>
        <v>0</v>
      </c>
      <c r="G184" s="1175" t="str">
        <f>'Data &amp; hypothesis Adults'!H203</f>
        <v>X</v>
      </c>
      <c r="H184" s="1175">
        <f>'Data &amp; hypothesis Adults'!I203</f>
        <v>0</v>
      </c>
      <c r="I184" s="1175">
        <f>'Data &amp; hypothesis Adults'!J203</f>
        <v>0</v>
      </c>
      <c r="J184" s="1175">
        <f>'Data &amp; hypothesis Adults'!K203</f>
        <v>0</v>
      </c>
      <c r="K184" s="1175">
        <f>'Data &amp; hypothesis Adults'!L203</f>
        <v>0</v>
      </c>
      <c r="L184" s="1175">
        <f>'Data &amp; hypothesis Adults'!M203</f>
        <v>0</v>
      </c>
      <c r="M184" s="1175">
        <f>'Data &amp; hypothesis Adults'!N203</f>
        <v>0</v>
      </c>
      <c r="N184" s="1175">
        <f>'Data &amp; hypothesis Adults'!O203</f>
        <v>0</v>
      </c>
      <c r="O184" s="1175">
        <f>'Data &amp; hypothesis Adults'!P203</f>
        <v>0</v>
      </c>
      <c r="P184" s="1175">
        <f>'Data &amp; hypothesis Adults'!Q203</f>
        <v>0</v>
      </c>
      <c r="Q184" s="1175">
        <f>'Data &amp; hypothesis Adults'!R203</f>
        <v>0</v>
      </c>
      <c r="R184" s="1175">
        <f>'Data &amp; hypothesis Adults'!S203</f>
        <v>0</v>
      </c>
      <c r="S184" s="1175">
        <f>'Data &amp; hypothesis Adults'!T203</f>
        <v>0</v>
      </c>
      <c r="T184" s="1175">
        <f>'Data &amp; hypothesis Adults'!U203</f>
        <v>0</v>
      </c>
      <c r="U184" s="1175" t="str">
        <f>'Data &amp; hypothesis Adults'!V203</f>
        <v>X</v>
      </c>
      <c r="V184" s="1175">
        <f>'Data &amp; hypothesis Adults'!W203</f>
        <v>0</v>
      </c>
      <c r="W184" s="1175">
        <f>'Data &amp; hypothesis Adults'!X203</f>
        <v>0</v>
      </c>
      <c r="X184" s="1175">
        <f>'Data &amp; hypothesis Adults'!Y203</f>
        <v>0</v>
      </c>
      <c r="Y184" s="1175">
        <f>'Data &amp; hypothesis Adults'!Z203</f>
        <v>0</v>
      </c>
      <c r="Z184" s="1175">
        <f>'Data &amp; hypothesis Adults'!AA203</f>
        <v>0</v>
      </c>
      <c r="AA184" s="1175">
        <f>'Data &amp; hypothesis Adults'!AB203</f>
        <v>0</v>
      </c>
      <c r="AB184" s="1175">
        <f>'Data &amp; hypothesis Adults'!AC203</f>
        <v>0</v>
      </c>
      <c r="AC184" s="1172">
        <f t="shared" si="58"/>
        <v>627.94714888698672</v>
      </c>
      <c r="AD184" s="1172">
        <f>E42</f>
        <v>0</v>
      </c>
      <c r="AE184" s="1192"/>
      <c r="AF184" s="1199" t="e">
        <f>-F113/$D$6</f>
        <v>#DIV/0!</v>
      </c>
    </row>
    <row r="185" spans="2:32" ht="15" x14ac:dyDescent="0.25">
      <c r="B185" s="1174"/>
      <c r="C185" s="1166" t="str">
        <f t="shared" si="59"/>
        <v>ABC+3TC+EFV</v>
      </c>
      <c r="D185" s="1175">
        <f>'Data &amp; hypothesis Adults'!E204</f>
        <v>0</v>
      </c>
      <c r="E185" s="1175">
        <f>'Data &amp; hypothesis Adults'!F204</f>
        <v>0</v>
      </c>
      <c r="F185" s="1175">
        <f>'Data &amp; hypothesis Adults'!G204</f>
        <v>0</v>
      </c>
      <c r="G185" s="1175">
        <f>'Data &amp; hypothesis Adults'!H204</f>
        <v>0</v>
      </c>
      <c r="H185" s="1175" t="str">
        <f>'Data &amp; hypothesis Adults'!I204</f>
        <v>X</v>
      </c>
      <c r="I185" s="1175">
        <f>'Data &amp; hypothesis Adults'!J204</f>
        <v>0</v>
      </c>
      <c r="J185" s="1175">
        <f>'Data &amp; hypothesis Adults'!K204</f>
        <v>0</v>
      </c>
      <c r="K185" s="1175">
        <f>'Data &amp; hypothesis Adults'!L204</f>
        <v>0</v>
      </c>
      <c r="L185" s="1175">
        <f>'Data &amp; hypothesis Adults'!M204</f>
        <v>0</v>
      </c>
      <c r="M185" s="1175" t="str">
        <f>'Data &amp; hypothesis Adults'!N204</f>
        <v>X</v>
      </c>
      <c r="N185" s="1175">
        <f>'Data &amp; hypothesis Adults'!O204</f>
        <v>0</v>
      </c>
      <c r="O185" s="1175">
        <f>'Data &amp; hypothesis Adults'!P204</f>
        <v>0</v>
      </c>
      <c r="P185" s="1175">
        <f>'Data &amp; hypothesis Adults'!Q204</f>
        <v>0</v>
      </c>
      <c r="Q185" s="1175">
        <f>'Data &amp; hypothesis Adults'!R204</f>
        <v>0</v>
      </c>
      <c r="R185" s="1175">
        <f>'Data &amp; hypothesis Adults'!S204</f>
        <v>0</v>
      </c>
      <c r="S185" s="1175">
        <f>'Data &amp; hypothesis Adults'!T204</f>
        <v>0</v>
      </c>
      <c r="T185" s="1175">
        <f>'Data &amp; hypothesis Adults'!U204</f>
        <v>0</v>
      </c>
      <c r="U185" s="1175">
        <f>'Data &amp; hypothesis Adults'!V204</f>
        <v>0</v>
      </c>
      <c r="V185" s="1175">
        <f>'Data &amp; hypothesis Adults'!W204</f>
        <v>0</v>
      </c>
      <c r="W185" s="1175">
        <f>'Data &amp; hypothesis Adults'!X204</f>
        <v>0</v>
      </c>
      <c r="X185" s="1175">
        <f>'Data &amp; hypothesis Adults'!Y204</f>
        <v>0</v>
      </c>
      <c r="Y185" s="1175">
        <f>'Data &amp; hypothesis Adults'!Z204</f>
        <v>0</v>
      </c>
      <c r="Z185" s="1175">
        <f>'Data &amp; hypothesis Adults'!AA204</f>
        <v>0</v>
      </c>
      <c r="AA185" s="1175">
        <f>'Data &amp; hypothesis Adults'!AB204</f>
        <v>0</v>
      </c>
      <c r="AB185" s="1175">
        <f>'Data &amp; hypothesis Adults'!AC204</f>
        <v>0</v>
      </c>
      <c r="AC185" s="1172">
        <f t="shared" si="58"/>
        <v>39.743847897370706</v>
      </c>
      <c r="AD185" s="1172">
        <f>E43</f>
        <v>0</v>
      </c>
      <c r="AE185" s="1192"/>
      <c r="AF185" s="1199" t="e">
        <f>-F114/$D$6</f>
        <v>#DIV/0!</v>
      </c>
    </row>
    <row r="186" spans="2:32" ht="15" x14ac:dyDescent="0.25">
      <c r="B186" s="1174"/>
      <c r="C186" s="1166" t="str">
        <f t="shared" si="59"/>
        <v>TDF+FTC/3TC+EFV</v>
      </c>
      <c r="D186" s="1175">
        <f>'Data &amp; hypothesis Adults'!E205</f>
        <v>0</v>
      </c>
      <c r="E186" s="1175">
        <f>'Data &amp; hypothesis Adults'!F205</f>
        <v>0</v>
      </c>
      <c r="F186" s="1175">
        <f>'Data &amp; hypothesis Adults'!G205</f>
        <v>0</v>
      </c>
      <c r="G186" s="1175">
        <f>'Data &amp; hypothesis Adults'!H205</f>
        <v>0</v>
      </c>
      <c r="H186" s="1175">
        <f>'Data &amp; hypothesis Adults'!I205</f>
        <v>0</v>
      </c>
      <c r="I186" s="1175">
        <f>'Data &amp; hypothesis Adults'!J205</f>
        <v>0</v>
      </c>
      <c r="J186" s="1175">
        <f>'Data &amp; hypothesis Adults'!K205</f>
        <v>0</v>
      </c>
      <c r="K186" s="1175" t="str">
        <f>'Data &amp; hypothesis Adults'!L205</f>
        <v>X</v>
      </c>
      <c r="L186" s="1175">
        <f>'Data &amp; hypothesis Adults'!M205</f>
        <v>0</v>
      </c>
      <c r="M186" s="1175">
        <f>'Data &amp; hypothesis Adults'!N205</f>
        <v>0</v>
      </c>
      <c r="N186" s="1175">
        <f>'Data &amp; hypothesis Adults'!O205</f>
        <v>0</v>
      </c>
      <c r="O186" s="1175">
        <f>'Data &amp; hypothesis Adults'!P205</f>
        <v>0</v>
      </c>
      <c r="P186" s="1175">
        <f>'Data &amp; hypothesis Adults'!Q205</f>
        <v>0</v>
      </c>
      <c r="Q186" s="1175">
        <f>'Data &amp; hypothesis Adults'!R205</f>
        <v>0</v>
      </c>
      <c r="R186" s="1175">
        <f>'Data &amp; hypothesis Adults'!S205</f>
        <v>0</v>
      </c>
      <c r="S186" s="1175">
        <f>'Data &amp; hypothesis Adults'!T205</f>
        <v>0</v>
      </c>
      <c r="T186" s="1175">
        <f>'Data &amp; hypothesis Adults'!U205</f>
        <v>0</v>
      </c>
      <c r="U186" s="1175">
        <f>'Data &amp; hypothesis Adults'!V205</f>
        <v>0</v>
      </c>
      <c r="V186" s="1175">
        <f>'Data &amp; hypothesis Adults'!W205</f>
        <v>0</v>
      </c>
      <c r="W186" s="1175">
        <f>'Data &amp; hypothesis Adults'!X205</f>
        <v>0</v>
      </c>
      <c r="X186" s="1175">
        <f>'Data &amp; hypothesis Adults'!Y205</f>
        <v>0</v>
      </c>
      <c r="Y186" s="1175">
        <f>'Data &amp; hypothesis Adults'!Z205</f>
        <v>0</v>
      </c>
      <c r="Z186" s="1175">
        <f>'Data &amp; hypothesis Adults'!AA205</f>
        <v>0</v>
      </c>
      <c r="AA186" s="1175">
        <f>'Data &amp; hypothesis Adults'!AB205</f>
        <v>0</v>
      </c>
      <c r="AB186" s="1175">
        <f>'Data &amp; hypothesis Adults'!AC205</f>
        <v>0</v>
      </c>
      <c r="AC186" s="1172">
        <f t="shared" si="58"/>
        <v>5468.2338646629305</v>
      </c>
      <c r="AD186" s="1172">
        <f t="shared" ref="AD186:AD187" si="60">E44</f>
        <v>0</v>
      </c>
      <c r="AE186" s="1192"/>
      <c r="AF186" s="1199" t="e">
        <f t="shared" ref="AF186:AF190" si="61">-F115/$D$6</f>
        <v>#DIV/0!</v>
      </c>
    </row>
    <row r="187" spans="2:32" ht="15" x14ac:dyDescent="0.25">
      <c r="B187" s="1174"/>
      <c r="C187" s="1166" t="str">
        <f t="shared" si="59"/>
        <v>TDF+FTC/3TC+LPV/r</v>
      </c>
      <c r="D187" s="1175">
        <f>'Data &amp; hypothesis Adults'!E206</f>
        <v>0</v>
      </c>
      <c r="E187" s="1175">
        <f>'Data &amp; hypothesis Adults'!F206</f>
        <v>0</v>
      </c>
      <c r="F187" s="1175">
        <f>'Data &amp; hypothesis Adults'!G206</f>
        <v>0</v>
      </c>
      <c r="G187" s="1175">
        <f>'Data &amp; hypothesis Adults'!H206</f>
        <v>0</v>
      </c>
      <c r="H187" s="1175">
        <f>'Data &amp; hypothesis Adults'!I206</f>
        <v>0</v>
      </c>
      <c r="I187" s="1175">
        <f>'Data &amp; hypothesis Adults'!J206</f>
        <v>0</v>
      </c>
      <c r="J187" s="1175">
        <f>'Data &amp; hypothesis Adults'!K206</f>
        <v>0</v>
      </c>
      <c r="K187" s="1175">
        <f>'Data &amp; hypothesis Adults'!L206</f>
        <v>0</v>
      </c>
      <c r="L187" s="1175" t="str">
        <f>'Data &amp; hypothesis Adults'!M206</f>
        <v>X</v>
      </c>
      <c r="M187" s="1175">
        <f>'Data &amp; hypothesis Adults'!N206</f>
        <v>0</v>
      </c>
      <c r="N187" s="1175">
        <f>'Data &amp; hypothesis Adults'!O206</f>
        <v>0</v>
      </c>
      <c r="O187" s="1175">
        <f>'Data &amp; hypothesis Adults'!P206</f>
        <v>0</v>
      </c>
      <c r="P187" s="1175">
        <f>'Data &amp; hypothesis Adults'!Q206</f>
        <v>0</v>
      </c>
      <c r="Q187" s="1175">
        <f>'Data &amp; hypothesis Adults'!R206</f>
        <v>0</v>
      </c>
      <c r="R187" s="1175">
        <f>'Data &amp; hypothesis Adults'!S206</f>
        <v>0</v>
      </c>
      <c r="S187" s="1175">
        <f>'Data &amp; hypothesis Adults'!T206</f>
        <v>0</v>
      </c>
      <c r="T187" s="1175">
        <f>'Data &amp; hypothesis Adults'!U206</f>
        <v>0</v>
      </c>
      <c r="U187" s="1175" t="str">
        <f>'Data &amp; hypothesis Adults'!V206</f>
        <v>X</v>
      </c>
      <c r="V187" s="1175">
        <f>'Data &amp; hypothesis Adults'!W206</f>
        <v>0</v>
      </c>
      <c r="W187" s="1175">
        <f>'Data &amp; hypothesis Adults'!X206</f>
        <v>0</v>
      </c>
      <c r="X187" s="1175">
        <f>'Data &amp; hypothesis Adults'!Y206</f>
        <v>0</v>
      </c>
      <c r="Y187" s="1175">
        <f>'Data &amp; hypothesis Adults'!Z206</f>
        <v>0</v>
      </c>
      <c r="Z187" s="1175">
        <f>'Data &amp; hypothesis Adults'!AA206</f>
        <v>0</v>
      </c>
      <c r="AA187" s="1175">
        <f>'Data &amp; hypothesis Adults'!AB206</f>
        <v>0</v>
      </c>
      <c r="AB187" s="1175">
        <f>'Data &amp; hypothesis Adults'!AC206</f>
        <v>0</v>
      </c>
      <c r="AC187" s="1172">
        <f t="shared" si="58"/>
        <v>0</v>
      </c>
      <c r="AD187" s="1172">
        <f t="shared" si="60"/>
        <v>0</v>
      </c>
      <c r="AE187" s="1192"/>
      <c r="AF187" s="1199" t="e">
        <f t="shared" si="61"/>
        <v>#DIV/0!</v>
      </c>
    </row>
    <row r="188" spans="2:32" ht="15" x14ac:dyDescent="0.25">
      <c r="B188" s="1174"/>
      <c r="C188" s="1166" t="str">
        <f t="shared" si="59"/>
        <v>ABC+3TC+LPV/r</v>
      </c>
      <c r="D188" s="1175">
        <f>'Data &amp; hypothesis Adults'!E207</f>
        <v>0</v>
      </c>
      <c r="E188" s="1175">
        <f>'Data &amp; hypothesis Adults'!F207</f>
        <v>0</v>
      </c>
      <c r="F188" s="1175">
        <f>'Data &amp; hypothesis Adults'!G207</f>
        <v>0</v>
      </c>
      <c r="G188" s="1175">
        <f>'Data &amp; hypothesis Adults'!H207</f>
        <v>0</v>
      </c>
      <c r="H188" s="1175" t="str">
        <f>'Data &amp; hypothesis Adults'!I207</f>
        <v>X</v>
      </c>
      <c r="I188" s="1175">
        <f>'Data &amp; hypothesis Adults'!J207</f>
        <v>0</v>
      </c>
      <c r="J188" s="1175">
        <f>'Data &amp; hypothesis Adults'!K207</f>
        <v>0</v>
      </c>
      <c r="K188" s="1175">
        <f>'Data &amp; hypothesis Adults'!L207</f>
        <v>0</v>
      </c>
      <c r="L188" s="1175">
        <f>'Data &amp; hypothesis Adults'!M207</f>
        <v>0</v>
      </c>
      <c r="M188" s="1175">
        <f>'Data &amp; hypothesis Adults'!N207</f>
        <v>0</v>
      </c>
      <c r="N188" s="1175">
        <f>'Data &amp; hypothesis Adults'!O207</f>
        <v>0</v>
      </c>
      <c r="O188" s="1175">
        <f>'Data &amp; hypothesis Adults'!P207</f>
        <v>0</v>
      </c>
      <c r="P188" s="1175">
        <f>'Data &amp; hypothesis Adults'!Q207</f>
        <v>0</v>
      </c>
      <c r="Q188" s="1175">
        <f>'Data &amp; hypothesis Adults'!R207</f>
        <v>0</v>
      </c>
      <c r="R188" s="1175">
        <f>'Data &amp; hypothesis Adults'!S207</f>
        <v>0</v>
      </c>
      <c r="S188" s="1175">
        <f>'Data &amp; hypothesis Adults'!T207</f>
        <v>0</v>
      </c>
      <c r="T188" s="1175">
        <f>'Data &amp; hypothesis Adults'!U207</f>
        <v>0</v>
      </c>
      <c r="U188" s="1175" t="str">
        <f>'Data &amp; hypothesis Adults'!V207</f>
        <v>X</v>
      </c>
      <c r="V188" s="1175">
        <f>'Data &amp; hypothesis Adults'!W207</f>
        <v>0</v>
      </c>
      <c r="W188" s="1175">
        <f>'Data &amp; hypothesis Adults'!X207</f>
        <v>0</v>
      </c>
      <c r="X188" s="1175">
        <f>'Data &amp; hypothesis Adults'!Y207</f>
        <v>0</v>
      </c>
      <c r="Y188" s="1175">
        <f>'Data &amp; hypothesis Adults'!Z207</f>
        <v>0</v>
      </c>
      <c r="Z188" s="1175">
        <f>'Data &amp; hypothesis Adults'!AA207</f>
        <v>0</v>
      </c>
      <c r="AA188" s="1175">
        <f>'Data &amp; hypothesis Adults'!AB207</f>
        <v>0</v>
      </c>
      <c r="AB188" s="1175">
        <f>'Data &amp; hypothesis Adults'!AC207</f>
        <v>0</v>
      </c>
      <c r="AC188" s="1172">
        <f t="shared" si="58"/>
        <v>22.518689862774849</v>
      </c>
      <c r="AD188" s="1192"/>
      <c r="AE188" s="1192"/>
      <c r="AF188" s="1199" t="e">
        <f t="shared" si="61"/>
        <v>#DIV/0!</v>
      </c>
    </row>
    <row r="189" spans="2:32" ht="15" x14ac:dyDescent="0.25">
      <c r="B189" s="1174"/>
      <c r="C189" s="1166" t="str">
        <f t="shared" si="59"/>
        <v>TDF+3TC/FTC+ABC</v>
      </c>
      <c r="D189" s="1175">
        <f>'Data &amp; hypothesis Adults'!E208</f>
        <v>0</v>
      </c>
      <c r="E189" s="1175">
        <f>'Data &amp; hypothesis Adults'!F208</f>
        <v>0</v>
      </c>
      <c r="F189" s="1175">
        <f>'Data &amp; hypothesis Adults'!G208</f>
        <v>0</v>
      </c>
      <c r="G189" s="1175">
        <f>'Data &amp; hypothesis Adults'!H208</f>
        <v>0</v>
      </c>
      <c r="H189" s="1175">
        <f>'Data &amp; hypothesis Adults'!I208</f>
        <v>0</v>
      </c>
      <c r="I189" s="1175">
        <f>'Data &amp; hypothesis Adults'!J208</f>
        <v>0</v>
      </c>
      <c r="J189" s="1175">
        <f>'Data &amp; hypothesis Adults'!K208</f>
        <v>0</v>
      </c>
      <c r="K189" s="1175">
        <f>'Data &amp; hypothesis Adults'!L208</f>
        <v>0</v>
      </c>
      <c r="L189" s="1175">
        <f>'Data &amp; hypothesis Adults'!M208</f>
        <v>0</v>
      </c>
      <c r="M189" s="1175">
        <f>'Data &amp; hypothesis Adults'!N208</f>
        <v>0</v>
      </c>
      <c r="N189" s="1175">
        <f>'Data &amp; hypothesis Adults'!O208</f>
        <v>0</v>
      </c>
      <c r="O189" s="1175">
        <f>'Data &amp; hypothesis Adults'!P208</f>
        <v>0</v>
      </c>
      <c r="P189" s="1175">
        <f>'Data &amp; hypothesis Adults'!Q208</f>
        <v>0</v>
      </c>
      <c r="Q189" s="1175">
        <f>'Data &amp; hypothesis Adults'!R208</f>
        <v>0</v>
      </c>
      <c r="R189" s="1175">
        <f>'Data &amp; hypothesis Adults'!S208</f>
        <v>0</v>
      </c>
      <c r="S189" s="1175">
        <f>'Data &amp; hypothesis Adults'!T208</f>
        <v>0</v>
      </c>
      <c r="T189" s="1175">
        <f>'Data &amp; hypothesis Adults'!U208</f>
        <v>0</v>
      </c>
      <c r="U189" s="1175">
        <f>'Data &amp; hypothesis Adults'!V208</f>
        <v>0</v>
      </c>
      <c r="V189" s="1175">
        <f>'Data &amp; hypothesis Adults'!W208</f>
        <v>0</v>
      </c>
      <c r="W189" s="1175">
        <f>'Data &amp; hypothesis Adults'!X208</f>
        <v>0</v>
      </c>
      <c r="X189" s="1175">
        <f>'Data &amp; hypothesis Adults'!Y208</f>
        <v>0</v>
      </c>
      <c r="Y189" s="1175">
        <f>'Data &amp; hypothesis Adults'!Z208</f>
        <v>0</v>
      </c>
      <c r="Z189" s="1175">
        <f>'Data &amp; hypothesis Adults'!AA208</f>
        <v>0</v>
      </c>
      <c r="AA189" s="1175">
        <f>'Data &amp; hypothesis Adults'!AB208</f>
        <v>0</v>
      </c>
      <c r="AB189" s="1175">
        <f>'Data &amp; hypothesis Adults'!AC208</f>
        <v>0</v>
      </c>
      <c r="AC189" s="1172">
        <f t="shared" si="58"/>
        <v>49.014588461022001</v>
      </c>
      <c r="AD189" s="1172">
        <f>E46</f>
        <v>0</v>
      </c>
      <c r="AE189" s="1192"/>
      <c r="AF189" s="1199" t="e">
        <f t="shared" si="61"/>
        <v>#DIV/0!</v>
      </c>
    </row>
    <row r="190" spans="2:32" ht="15" x14ac:dyDescent="0.25">
      <c r="B190" s="1174"/>
      <c r="C190" s="1166">
        <f t="shared" si="59"/>
        <v>0</v>
      </c>
      <c r="D190" s="1175">
        <f>'Data &amp; hypothesis Adults'!E209</f>
        <v>0</v>
      </c>
      <c r="E190" s="1175">
        <f>'Data &amp; hypothesis Adults'!F209</f>
        <v>0</v>
      </c>
      <c r="F190" s="1175">
        <f>'Data &amp; hypothesis Adults'!G209</f>
        <v>0</v>
      </c>
      <c r="G190" s="1175">
        <f>'Data &amp; hypothesis Adults'!H209</f>
        <v>0</v>
      </c>
      <c r="H190" s="1175">
        <f>'Data &amp; hypothesis Adults'!I209</f>
        <v>0</v>
      </c>
      <c r="I190" s="1175">
        <f>'Data &amp; hypothesis Adults'!J209</f>
        <v>0</v>
      </c>
      <c r="J190" s="1175">
        <f>'Data &amp; hypothesis Adults'!K209</f>
        <v>0</v>
      </c>
      <c r="K190" s="1175">
        <f>'Data &amp; hypothesis Adults'!L209</f>
        <v>0</v>
      </c>
      <c r="L190" s="1175">
        <f>'Data &amp; hypothesis Adults'!M209</f>
        <v>0</v>
      </c>
      <c r="M190" s="1175">
        <f>'Data &amp; hypothesis Adults'!N209</f>
        <v>0</v>
      </c>
      <c r="N190" s="1175">
        <f>'Data &amp; hypothesis Adults'!O209</f>
        <v>0</v>
      </c>
      <c r="O190" s="1175">
        <f>'Data &amp; hypothesis Adults'!P209</f>
        <v>0</v>
      </c>
      <c r="P190" s="1175">
        <f>'Data &amp; hypothesis Adults'!Q209</f>
        <v>0</v>
      </c>
      <c r="Q190" s="1175">
        <f>'Data &amp; hypothesis Adults'!R209</f>
        <v>0</v>
      </c>
      <c r="R190" s="1175">
        <f>'Data &amp; hypothesis Adults'!S209</f>
        <v>0</v>
      </c>
      <c r="S190" s="1175">
        <f>'Data &amp; hypothesis Adults'!T209</f>
        <v>0</v>
      </c>
      <c r="T190" s="1175">
        <f>'Data &amp; hypothesis Adults'!U209</f>
        <v>0</v>
      </c>
      <c r="U190" s="1175">
        <f>'Data &amp; hypothesis Adults'!V209</f>
        <v>0</v>
      </c>
      <c r="V190" s="1175">
        <f>'Data &amp; hypothesis Adults'!W209</f>
        <v>0</v>
      </c>
      <c r="W190" s="1175">
        <f>'Data &amp; hypothesis Adults'!X209</f>
        <v>0</v>
      </c>
      <c r="X190" s="1175">
        <f>'Data &amp; hypothesis Adults'!Y209</f>
        <v>0</v>
      </c>
      <c r="Y190" s="1175">
        <f>'Data &amp; hypothesis Adults'!Z209</f>
        <v>0</v>
      </c>
      <c r="Z190" s="1175">
        <f>'Data &amp; hypothesis Adults'!AA209</f>
        <v>0</v>
      </c>
      <c r="AA190" s="1175">
        <f>'Data &amp; hypothesis Adults'!AB209</f>
        <v>0</v>
      </c>
      <c r="AB190" s="1175">
        <f>'Data &amp; hypothesis Adults'!AC209</f>
        <v>0</v>
      </c>
      <c r="AC190" s="1172">
        <f t="shared" si="58"/>
        <v>0</v>
      </c>
      <c r="AD190" s="1172">
        <f>E48</f>
        <v>0</v>
      </c>
      <c r="AE190" s="1192"/>
      <c r="AF190" s="1199" t="e">
        <f t="shared" si="61"/>
        <v>#DIV/0!</v>
      </c>
    </row>
    <row r="191" spans="2:32" ht="15" x14ac:dyDescent="0.25">
      <c r="B191" s="1174" t="str">
        <f>'TRAD-Adults YEAR(1)'!B11</f>
        <v>2èmes lignes</v>
      </c>
      <c r="C191" s="1166" t="str">
        <f t="shared" si="59"/>
        <v>TDF+FTC/3TC+LPV/r</v>
      </c>
      <c r="D191" s="1175">
        <f>'Data &amp; hypothesis Adults'!E210</f>
        <v>0</v>
      </c>
      <c r="E191" s="1175">
        <f>'Data &amp; hypothesis Adults'!F210</f>
        <v>0</v>
      </c>
      <c r="F191" s="1175">
        <f>'Data &amp; hypothesis Adults'!G210</f>
        <v>0</v>
      </c>
      <c r="G191" s="1175">
        <f>'Data &amp; hypothesis Adults'!H210</f>
        <v>0</v>
      </c>
      <c r="H191" s="1175">
        <f>'Data &amp; hypothesis Adults'!I210</f>
        <v>0</v>
      </c>
      <c r="I191" s="1175">
        <f>'Data &amp; hypothesis Adults'!J210</f>
        <v>0</v>
      </c>
      <c r="J191" s="1175">
        <f>'Data &amp; hypothesis Adults'!K210</f>
        <v>0</v>
      </c>
      <c r="K191" s="1175">
        <f>'Data &amp; hypothesis Adults'!L210</f>
        <v>0</v>
      </c>
      <c r="L191" s="1175" t="str">
        <f>'Data &amp; hypothesis Adults'!M210</f>
        <v>X</v>
      </c>
      <c r="M191" s="1175">
        <f>'Data &amp; hypothesis Adults'!N210</f>
        <v>0</v>
      </c>
      <c r="N191" s="1175">
        <f>'Data &amp; hypothesis Adults'!O210</f>
        <v>0</v>
      </c>
      <c r="O191" s="1175">
        <f>'Data &amp; hypothesis Adults'!P210</f>
        <v>0</v>
      </c>
      <c r="P191" s="1175">
        <f>'Data &amp; hypothesis Adults'!Q210</f>
        <v>0</v>
      </c>
      <c r="Q191" s="1175">
        <f>'Data &amp; hypothesis Adults'!R210</f>
        <v>0</v>
      </c>
      <c r="R191" s="1175">
        <f>'Data &amp; hypothesis Adults'!S210</f>
        <v>0</v>
      </c>
      <c r="S191" s="1175">
        <f>'Data &amp; hypothesis Adults'!T210</f>
        <v>0</v>
      </c>
      <c r="T191" s="1175">
        <f>'Data &amp; hypothesis Adults'!U210</f>
        <v>0</v>
      </c>
      <c r="U191" s="1175" t="str">
        <f>'Data &amp; hypothesis Adults'!V210</f>
        <v>X</v>
      </c>
      <c r="V191" s="1175">
        <f>'Data &amp; hypothesis Adults'!W210</f>
        <v>0</v>
      </c>
      <c r="W191" s="1175">
        <f>'Data &amp; hypothesis Adults'!X210</f>
        <v>0</v>
      </c>
      <c r="X191" s="1175">
        <f>'Data &amp; hypothesis Adults'!Y210</f>
        <v>0</v>
      </c>
      <c r="Y191" s="1175">
        <f>'Data &amp; hypothesis Adults'!Z210</f>
        <v>0</v>
      </c>
      <c r="Z191" s="1175">
        <f>'Data &amp; hypothesis Adults'!AA210</f>
        <v>0</v>
      </c>
      <c r="AA191" s="1175">
        <f>'Data &amp; hypothesis Adults'!AB210</f>
        <v>0</v>
      </c>
      <c r="AB191" s="1175">
        <f>'Data &amp; hypothesis Adults'!AC210</f>
        <v>0</v>
      </c>
      <c r="AC191" s="1172">
        <f t="shared" si="58"/>
        <v>2113.2972667315112</v>
      </c>
      <c r="AD191" s="1192"/>
      <c r="AE191" s="1178" t="e">
        <f>D73</f>
        <v>#DIV/0!</v>
      </c>
      <c r="AF191" s="1200"/>
    </row>
    <row r="192" spans="2:32" ht="15" x14ac:dyDescent="0.25">
      <c r="B192" s="1174"/>
      <c r="C192" s="1166" t="str">
        <f t="shared" si="59"/>
        <v>TDF+FTC/3TC+ATV/r</v>
      </c>
      <c r="D192" s="1175">
        <f>'Data &amp; hypothesis Adults'!E211</f>
        <v>0</v>
      </c>
      <c r="E192" s="1175">
        <f>'Data &amp; hypothesis Adults'!F211</f>
        <v>0</v>
      </c>
      <c r="F192" s="1175">
        <f>'Data &amp; hypothesis Adults'!G211</f>
        <v>0</v>
      </c>
      <c r="G192" s="1175">
        <f>'Data &amp; hypothesis Adults'!H211</f>
        <v>0</v>
      </c>
      <c r="H192" s="1175">
        <f>'Data &amp; hypothesis Adults'!I211</f>
        <v>0</v>
      </c>
      <c r="I192" s="1175">
        <f>'Data &amp; hypothesis Adults'!J211</f>
        <v>0</v>
      </c>
      <c r="J192" s="1175">
        <f>'Data &amp; hypothesis Adults'!K211</f>
        <v>0</v>
      </c>
      <c r="K192" s="1175">
        <f>'Data &amp; hypothesis Adults'!L211</f>
        <v>0</v>
      </c>
      <c r="L192" s="1175" t="str">
        <f>'Data &amp; hypothesis Adults'!M211</f>
        <v>X</v>
      </c>
      <c r="M192" s="1175">
        <f>'Data &amp; hypothesis Adults'!N211</f>
        <v>0</v>
      </c>
      <c r="N192" s="1175">
        <f>'Data &amp; hypothesis Adults'!O211</f>
        <v>0</v>
      </c>
      <c r="O192" s="1175">
        <f>'Data &amp; hypothesis Adults'!P211</f>
        <v>0</v>
      </c>
      <c r="P192" s="1175">
        <f>'Data &amp; hypothesis Adults'!Q211</f>
        <v>0</v>
      </c>
      <c r="Q192" s="1175">
        <f>'Data &amp; hypothesis Adults'!R211</f>
        <v>0</v>
      </c>
      <c r="R192" s="1175">
        <f>'Data &amp; hypothesis Adults'!S211</f>
        <v>0</v>
      </c>
      <c r="S192" s="1175">
        <f>'Data &amp; hypothesis Adults'!T211</f>
        <v>0</v>
      </c>
      <c r="T192" s="1175">
        <f>'Data &amp; hypothesis Adults'!U211</f>
        <v>0</v>
      </c>
      <c r="U192" s="1175">
        <f>'Data &amp; hypothesis Adults'!V211</f>
        <v>0</v>
      </c>
      <c r="V192" s="1175">
        <f>'Data &amp; hypothesis Adults'!W211</f>
        <v>0</v>
      </c>
      <c r="W192" s="1175">
        <f>'Data &amp; hypothesis Adults'!X211</f>
        <v>0</v>
      </c>
      <c r="X192" s="1175">
        <f>'Data &amp; hypothesis Adults'!Y211</f>
        <v>0</v>
      </c>
      <c r="Y192" s="1175" t="str">
        <f>'Data &amp; hypothesis Adults'!Z211</f>
        <v>X</v>
      </c>
      <c r="Z192" s="1175">
        <f>'Data &amp; hypothesis Adults'!AA211</f>
        <v>0</v>
      </c>
      <c r="AA192" s="1175">
        <f>'Data &amp; hypothesis Adults'!AB211</f>
        <v>0</v>
      </c>
      <c r="AB192" s="1175">
        <f>'Data &amp; hypothesis Adults'!AC211</f>
        <v>0</v>
      </c>
      <c r="AC192" s="1172">
        <f t="shared" si="58"/>
        <v>34.903199999999998</v>
      </c>
      <c r="AD192" s="1192"/>
      <c r="AE192" s="1178" t="e">
        <f t="shared" ref="AE192:AE197" si="62">D74</f>
        <v>#DIV/0!</v>
      </c>
      <c r="AF192" s="1200"/>
    </row>
    <row r="193" spans="1:32" ht="15" x14ac:dyDescent="0.25">
      <c r="B193" s="1174"/>
      <c r="C193" s="1166" t="str">
        <f t="shared" si="59"/>
        <v>ABC+DDI+LPV/r</v>
      </c>
      <c r="D193" s="1175">
        <f>'Data &amp; hypothesis Adults'!E212</f>
        <v>0</v>
      </c>
      <c r="E193" s="1175">
        <f>'Data &amp; hypothesis Adults'!F212</f>
        <v>0</v>
      </c>
      <c r="F193" s="1175">
        <f>'Data &amp; hypothesis Adults'!G212</f>
        <v>0</v>
      </c>
      <c r="G193" s="1175">
        <f>'Data &amp; hypothesis Adults'!H212</f>
        <v>0</v>
      </c>
      <c r="H193" s="1175">
        <f>'Data &amp; hypothesis Adults'!I212</f>
        <v>0</v>
      </c>
      <c r="I193" s="1175">
        <f>'Data &amp; hypothesis Adults'!J212</f>
        <v>0</v>
      </c>
      <c r="J193" s="1175">
        <f>'Data &amp; hypothesis Adults'!K212</f>
        <v>0</v>
      </c>
      <c r="K193" s="1175">
        <f>'Data &amp; hypothesis Adults'!L212</f>
        <v>0</v>
      </c>
      <c r="L193" s="1175">
        <f>'Data &amp; hypothesis Adults'!M212</f>
        <v>0</v>
      </c>
      <c r="M193" s="1175">
        <f>'Data &amp; hypothesis Adults'!N212</f>
        <v>0</v>
      </c>
      <c r="N193" s="1175">
        <f>'Data &amp; hypothesis Adults'!O212</f>
        <v>0</v>
      </c>
      <c r="O193" s="1175">
        <f>'Data &amp; hypothesis Adults'!P212</f>
        <v>0</v>
      </c>
      <c r="P193" s="1175">
        <f>'Data &amp; hypothesis Adults'!Q212</f>
        <v>0</v>
      </c>
      <c r="Q193" s="1175">
        <f>'Data &amp; hypothesis Adults'!R212</f>
        <v>0</v>
      </c>
      <c r="R193" s="1175">
        <f>'Data &amp; hypothesis Adults'!S212</f>
        <v>0</v>
      </c>
      <c r="S193" s="1175">
        <f>'Data &amp; hypothesis Adults'!T212</f>
        <v>0</v>
      </c>
      <c r="T193" s="1175">
        <f>'Data &amp; hypothesis Adults'!U212</f>
        <v>0</v>
      </c>
      <c r="U193" s="1175">
        <f>'Data &amp; hypothesis Adults'!V212</f>
        <v>0</v>
      </c>
      <c r="V193" s="1175">
        <f>'Data &amp; hypothesis Adults'!W212</f>
        <v>0</v>
      </c>
      <c r="W193" s="1175">
        <f>'Data &amp; hypothesis Adults'!X212</f>
        <v>0</v>
      </c>
      <c r="X193" s="1175">
        <f>'Data &amp; hypothesis Adults'!Y212</f>
        <v>0</v>
      </c>
      <c r="Y193" s="1175">
        <f>'Data &amp; hypothesis Adults'!Z212</f>
        <v>0</v>
      </c>
      <c r="Z193" s="1175">
        <f>'Data &amp; hypothesis Adults'!AA212</f>
        <v>0</v>
      </c>
      <c r="AA193" s="1175">
        <f>'Data &amp; hypothesis Adults'!AB212</f>
        <v>0</v>
      </c>
      <c r="AB193" s="1175">
        <f>'Data &amp; hypothesis Adults'!AC212</f>
        <v>0</v>
      </c>
      <c r="AC193" s="1172">
        <f t="shared" si="58"/>
        <v>0</v>
      </c>
      <c r="AD193" s="1192"/>
      <c r="AE193" s="1178" t="e">
        <f t="shared" si="62"/>
        <v>#DIV/0!</v>
      </c>
      <c r="AF193" s="1200"/>
    </row>
    <row r="194" spans="1:32" ht="15" x14ac:dyDescent="0.25">
      <c r="B194" s="1174"/>
      <c r="C194" s="1166" t="str">
        <f t="shared" si="59"/>
        <v>TDF+3TC/FTC+ABC</v>
      </c>
      <c r="D194" s="1175">
        <f>'Data &amp; hypothesis Adults'!E213</f>
        <v>0</v>
      </c>
      <c r="E194" s="1175">
        <f>'Data &amp; hypothesis Adults'!F213</f>
        <v>0</v>
      </c>
      <c r="F194" s="1175">
        <f>'Data &amp; hypothesis Adults'!G213</f>
        <v>0</v>
      </c>
      <c r="G194" s="1175">
        <f>'Data &amp; hypothesis Adults'!H213</f>
        <v>0</v>
      </c>
      <c r="H194" s="1175">
        <f>'Data &amp; hypothesis Adults'!I213</f>
        <v>0</v>
      </c>
      <c r="I194" s="1175">
        <f>'Data &amp; hypothesis Adults'!J213</f>
        <v>0</v>
      </c>
      <c r="J194" s="1175">
        <f>'Data &amp; hypothesis Adults'!K213</f>
        <v>0</v>
      </c>
      <c r="K194" s="1175">
        <f>'Data &amp; hypothesis Adults'!L213</f>
        <v>0</v>
      </c>
      <c r="L194" s="1175" t="str">
        <f>'Data &amp; hypothesis Adults'!M213</f>
        <v>X</v>
      </c>
      <c r="M194" s="1175">
        <f>'Data &amp; hypothesis Adults'!N213</f>
        <v>0</v>
      </c>
      <c r="N194" s="1175">
        <f>'Data &amp; hypothesis Adults'!O213</f>
        <v>0</v>
      </c>
      <c r="O194" s="1175">
        <f>'Data &amp; hypothesis Adults'!P213</f>
        <v>0</v>
      </c>
      <c r="P194" s="1175">
        <f>'Data &amp; hypothesis Adults'!Q213</f>
        <v>0</v>
      </c>
      <c r="Q194" s="1175" t="str">
        <f>'Data &amp; hypothesis Adults'!R213</f>
        <v>X</v>
      </c>
      <c r="R194" s="1175">
        <f>'Data &amp; hypothesis Adults'!S213</f>
        <v>0</v>
      </c>
      <c r="S194" s="1175">
        <f>'Data &amp; hypothesis Adults'!T213</f>
        <v>0</v>
      </c>
      <c r="T194" s="1175">
        <f>'Data &amp; hypothesis Adults'!U213</f>
        <v>0</v>
      </c>
      <c r="U194" s="1175">
        <f>'Data &amp; hypothesis Adults'!V213</f>
        <v>0</v>
      </c>
      <c r="V194" s="1175">
        <f>'Data &amp; hypothesis Adults'!W213</f>
        <v>0</v>
      </c>
      <c r="W194" s="1175">
        <f>'Data &amp; hypothesis Adults'!X213</f>
        <v>0</v>
      </c>
      <c r="X194" s="1175">
        <f>'Data &amp; hypothesis Adults'!Y213</f>
        <v>0</v>
      </c>
      <c r="Y194" s="1175">
        <f>'Data &amp; hypothesis Adults'!Z213</f>
        <v>0</v>
      </c>
      <c r="Z194" s="1175">
        <f>'Data &amp; hypothesis Adults'!AA213</f>
        <v>0</v>
      </c>
      <c r="AA194" s="1175">
        <f>'Data &amp; hypothesis Adults'!AB213</f>
        <v>0</v>
      </c>
      <c r="AB194" s="1175">
        <f>'Data &amp; hypothesis Adults'!AC213</f>
        <v>0</v>
      </c>
      <c r="AC194" s="1172">
        <f t="shared" si="58"/>
        <v>0</v>
      </c>
      <c r="AD194" s="1192"/>
      <c r="AE194" s="1178" t="e">
        <f t="shared" si="62"/>
        <v>#DIV/0!</v>
      </c>
      <c r="AF194" s="1200"/>
    </row>
    <row r="195" spans="1:32" ht="15" x14ac:dyDescent="0.25">
      <c r="B195" s="1187"/>
      <c r="C195" s="1166" t="str">
        <f t="shared" si="59"/>
        <v>AZT+3TC+LPV/r</v>
      </c>
      <c r="D195" s="1175">
        <f>'Data &amp; hypothesis Adults'!E214</f>
        <v>0</v>
      </c>
      <c r="E195" s="1175">
        <f>'Data &amp; hypothesis Adults'!F214</f>
        <v>0</v>
      </c>
      <c r="F195" s="1175">
        <f>'Data &amp; hypothesis Adults'!G214</f>
        <v>0</v>
      </c>
      <c r="G195" s="1175">
        <f>'Data &amp; hypothesis Adults'!H214</f>
        <v>0</v>
      </c>
      <c r="H195" s="1175">
        <f>'Data &amp; hypothesis Adults'!I214</f>
        <v>0</v>
      </c>
      <c r="I195" s="1175">
        <f>'Data &amp; hypothesis Adults'!J214</f>
        <v>0</v>
      </c>
      <c r="J195" s="1175">
        <f>'Data &amp; hypothesis Adults'!K214</f>
        <v>0</v>
      </c>
      <c r="K195" s="1175">
        <f>'Data &amp; hypothesis Adults'!L214</f>
        <v>0</v>
      </c>
      <c r="L195" s="1175">
        <f>'Data &amp; hypothesis Adults'!M214</f>
        <v>0</v>
      </c>
      <c r="M195" s="1175">
        <f>'Data &amp; hypothesis Adults'!N214</f>
        <v>0</v>
      </c>
      <c r="N195" s="1175">
        <f>'Data &amp; hypothesis Adults'!O214</f>
        <v>0</v>
      </c>
      <c r="O195" s="1175">
        <f>'Data &amp; hypothesis Adults'!P214</f>
        <v>0</v>
      </c>
      <c r="P195" s="1175">
        <f>'Data &amp; hypothesis Adults'!Q214</f>
        <v>0</v>
      </c>
      <c r="Q195" s="1175">
        <f>'Data &amp; hypothesis Adults'!R214</f>
        <v>0</v>
      </c>
      <c r="R195" s="1175">
        <f>'Data &amp; hypothesis Adults'!S214</f>
        <v>0</v>
      </c>
      <c r="S195" s="1175">
        <f>'Data &amp; hypothesis Adults'!T214</f>
        <v>0</v>
      </c>
      <c r="T195" s="1175">
        <f>'Data &amp; hypothesis Adults'!U214</f>
        <v>0</v>
      </c>
      <c r="U195" s="1175">
        <f>'Data &amp; hypothesis Adults'!V214</f>
        <v>0</v>
      </c>
      <c r="V195" s="1175">
        <f>'Data &amp; hypothesis Adults'!W214</f>
        <v>0</v>
      </c>
      <c r="W195" s="1175">
        <f>'Data &amp; hypothesis Adults'!X214</f>
        <v>0</v>
      </c>
      <c r="X195" s="1175">
        <f>'Data &amp; hypothesis Adults'!Y214</f>
        <v>0</v>
      </c>
      <c r="Y195" s="1175">
        <f>'Data &amp; hypothesis Adults'!Z214</f>
        <v>0</v>
      </c>
      <c r="Z195" s="1175">
        <f>'Data &amp; hypothesis Adults'!AA214</f>
        <v>0</v>
      </c>
      <c r="AA195" s="1175">
        <f>'Data &amp; hypothesis Adults'!AB214</f>
        <v>0</v>
      </c>
      <c r="AB195" s="1175">
        <f>'Data &amp; hypothesis Adults'!AC214</f>
        <v>0</v>
      </c>
      <c r="AC195" s="1172">
        <f t="shared" ref="AC195:AC197" si="63">D24</f>
        <v>783.50412543869777</v>
      </c>
      <c r="AD195" s="1192"/>
      <c r="AE195" s="1178" t="e">
        <f t="shared" si="62"/>
        <v>#DIV/0!</v>
      </c>
      <c r="AF195" s="1200"/>
    </row>
    <row r="196" spans="1:32" ht="15" x14ac:dyDescent="0.25">
      <c r="B196" s="1187"/>
      <c r="C196" s="1166">
        <f t="shared" si="59"/>
        <v>0</v>
      </c>
      <c r="D196" s="1175">
        <f>'Data &amp; hypothesis Adults'!E215</f>
        <v>0</v>
      </c>
      <c r="E196" s="1175">
        <f>'Data &amp; hypothesis Adults'!F215</f>
        <v>0</v>
      </c>
      <c r="F196" s="1175">
        <f>'Data &amp; hypothesis Adults'!G215</f>
        <v>0</v>
      </c>
      <c r="G196" s="1175">
        <f>'Data &amp; hypothesis Adults'!H215</f>
        <v>0</v>
      </c>
      <c r="H196" s="1175">
        <f>'Data &amp; hypothesis Adults'!I215</f>
        <v>0</v>
      </c>
      <c r="I196" s="1175">
        <f>'Data &amp; hypothesis Adults'!J215</f>
        <v>0</v>
      </c>
      <c r="J196" s="1175">
        <f>'Data &amp; hypothesis Adults'!K215</f>
        <v>0</v>
      </c>
      <c r="K196" s="1175">
        <f>'Data &amp; hypothesis Adults'!L215</f>
        <v>0</v>
      </c>
      <c r="L196" s="1175">
        <f>'Data &amp; hypothesis Adults'!M215</f>
        <v>0</v>
      </c>
      <c r="M196" s="1175">
        <f>'Data &amp; hypothesis Adults'!N215</f>
        <v>0</v>
      </c>
      <c r="N196" s="1175">
        <f>'Data &amp; hypothesis Adults'!O215</f>
        <v>0</v>
      </c>
      <c r="O196" s="1175">
        <f>'Data &amp; hypothesis Adults'!P215</f>
        <v>0</v>
      </c>
      <c r="P196" s="1175">
        <f>'Data &amp; hypothesis Adults'!Q215</f>
        <v>0</v>
      </c>
      <c r="Q196" s="1175">
        <f>'Data &amp; hypothesis Adults'!R215</f>
        <v>0</v>
      </c>
      <c r="R196" s="1175">
        <f>'Data &amp; hypothesis Adults'!S215</f>
        <v>0</v>
      </c>
      <c r="S196" s="1175">
        <f>'Data &amp; hypothesis Adults'!T215</f>
        <v>0</v>
      </c>
      <c r="T196" s="1175">
        <f>'Data &amp; hypothesis Adults'!U215</f>
        <v>0</v>
      </c>
      <c r="U196" s="1175">
        <f>'Data &amp; hypothesis Adults'!V215</f>
        <v>0</v>
      </c>
      <c r="V196" s="1175">
        <f>'Data &amp; hypothesis Adults'!W215</f>
        <v>0</v>
      </c>
      <c r="W196" s="1175">
        <f>'Data &amp; hypothesis Adults'!X215</f>
        <v>0</v>
      </c>
      <c r="X196" s="1175">
        <f>'Data &amp; hypothesis Adults'!Y215</f>
        <v>0</v>
      </c>
      <c r="Y196" s="1175">
        <f>'Data &amp; hypothesis Adults'!Z215</f>
        <v>0</v>
      </c>
      <c r="Z196" s="1175">
        <f>'Data &amp; hypothesis Adults'!AA215</f>
        <v>0</v>
      </c>
      <c r="AA196" s="1175">
        <f>'Data &amp; hypothesis Adults'!AB215</f>
        <v>0</v>
      </c>
      <c r="AB196" s="1175">
        <f>'Data &amp; hypothesis Adults'!AC215</f>
        <v>0</v>
      </c>
      <c r="AC196" s="1172">
        <f t="shared" si="63"/>
        <v>0</v>
      </c>
      <c r="AD196" s="1192"/>
      <c r="AE196" s="1178" t="e">
        <f t="shared" si="62"/>
        <v>#DIV/0!</v>
      </c>
      <c r="AF196" s="1200"/>
    </row>
    <row r="197" spans="1:32" ht="15" x14ac:dyDescent="0.25">
      <c r="B197" s="1187"/>
      <c r="C197" s="1166">
        <f t="shared" si="59"/>
        <v>0</v>
      </c>
      <c r="D197" s="1175">
        <f>'Data &amp; hypothesis Adults'!E216</f>
        <v>0</v>
      </c>
      <c r="E197" s="1175">
        <f>'Data &amp; hypothesis Adults'!F216</f>
        <v>0</v>
      </c>
      <c r="F197" s="1175">
        <f>'Data &amp; hypothesis Adults'!G216</f>
        <v>0</v>
      </c>
      <c r="G197" s="1175">
        <f>'Data &amp; hypothesis Adults'!H216</f>
        <v>0</v>
      </c>
      <c r="H197" s="1175">
        <f>'Data &amp; hypothesis Adults'!I216</f>
        <v>0</v>
      </c>
      <c r="I197" s="1175">
        <f>'Data &amp; hypothesis Adults'!J216</f>
        <v>0</v>
      </c>
      <c r="J197" s="1175">
        <f>'Data &amp; hypothesis Adults'!K216</f>
        <v>0</v>
      </c>
      <c r="K197" s="1175">
        <f>'Data &amp; hypothesis Adults'!L216</f>
        <v>0</v>
      </c>
      <c r="L197" s="1175">
        <f>'Data &amp; hypothesis Adults'!M216</f>
        <v>0</v>
      </c>
      <c r="M197" s="1175">
        <f>'Data &amp; hypothesis Adults'!N216</f>
        <v>0</v>
      </c>
      <c r="N197" s="1175">
        <f>'Data &amp; hypothesis Adults'!O216</f>
        <v>0</v>
      </c>
      <c r="O197" s="1175">
        <f>'Data &amp; hypothesis Adults'!P216</f>
        <v>0</v>
      </c>
      <c r="P197" s="1175">
        <f>'Data &amp; hypothesis Adults'!Q216</f>
        <v>0</v>
      </c>
      <c r="Q197" s="1175">
        <f>'Data &amp; hypothesis Adults'!R216</f>
        <v>0</v>
      </c>
      <c r="R197" s="1175">
        <f>'Data &amp; hypothesis Adults'!S216</f>
        <v>0</v>
      </c>
      <c r="S197" s="1175">
        <f>'Data &amp; hypothesis Adults'!T216</f>
        <v>0</v>
      </c>
      <c r="T197" s="1175">
        <f>'Data &amp; hypothesis Adults'!U216</f>
        <v>0</v>
      </c>
      <c r="U197" s="1175">
        <f>'Data &amp; hypothesis Adults'!V216</f>
        <v>0</v>
      </c>
      <c r="V197" s="1175">
        <f>'Data &amp; hypothesis Adults'!W216</f>
        <v>0</v>
      </c>
      <c r="W197" s="1175">
        <f>'Data &amp; hypothesis Adults'!X216</f>
        <v>0</v>
      </c>
      <c r="X197" s="1175">
        <f>'Data &amp; hypothesis Adults'!Y216</f>
        <v>0</v>
      </c>
      <c r="Y197" s="1175">
        <f>'Data &amp; hypothesis Adults'!Z216</f>
        <v>0</v>
      </c>
      <c r="Z197" s="1175">
        <f>'Data &amp; hypothesis Adults'!AA216</f>
        <v>0</v>
      </c>
      <c r="AA197" s="1175">
        <f>'Data &amp; hypothesis Adults'!AB216</f>
        <v>0</v>
      </c>
      <c r="AB197" s="1175">
        <f>'Data &amp; hypothesis Adults'!AC216</f>
        <v>0</v>
      </c>
      <c r="AC197" s="1172">
        <f t="shared" si="63"/>
        <v>0</v>
      </c>
      <c r="AD197" s="1192"/>
      <c r="AE197" s="1178" t="e">
        <f t="shared" si="62"/>
        <v>#DIV/0!</v>
      </c>
      <c r="AF197" s="1200"/>
    </row>
    <row r="198" spans="1:32" ht="15.75" thickBot="1" x14ac:dyDescent="0.3">
      <c r="B198" s="1187" t="str">
        <f>'TRAD-Adults YEAR(1)'!B12</f>
        <v>3èmes lignes</v>
      </c>
      <c r="C198" s="1188" t="s">
        <v>197</v>
      </c>
      <c r="D198" s="1198"/>
      <c r="E198" s="1198"/>
      <c r="F198" s="1198"/>
      <c r="G198" s="1198"/>
      <c r="H198" s="1198"/>
      <c r="I198" s="1198"/>
      <c r="J198" s="1198"/>
      <c r="K198" s="1198"/>
      <c r="L198" s="1198" t="s">
        <v>225</v>
      </c>
      <c r="M198" s="1198"/>
      <c r="N198" s="1198"/>
      <c r="O198" s="1198"/>
      <c r="P198" s="1198" t="s">
        <v>225</v>
      </c>
      <c r="Q198" s="1198" t="s">
        <v>225</v>
      </c>
      <c r="R198" s="1198" t="s">
        <v>623</v>
      </c>
      <c r="S198" s="1198" t="s">
        <v>623</v>
      </c>
      <c r="T198" s="1198" t="s">
        <v>225</v>
      </c>
      <c r="U198" s="1198"/>
      <c r="V198" s="1198" t="s">
        <v>225</v>
      </c>
      <c r="W198" s="1198" t="s">
        <v>225</v>
      </c>
      <c r="X198" s="1198" t="s">
        <v>225</v>
      </c>
      <c r="Y198" s="1198" t="s">
        <v>225</v>
      </c>
      <c r="Z198" s="1198" t="s">
        <v>225</v>
      </c>
      <c r="AA198" s="1198" t="s">
        <v>225</v>
      </c>
      <c r="AB198" s="1198" t="s">
        <v>225</v>
      </c>
      <c r="AC198" s="1172">
        <f t="shared" ref="AC198" si="64">D27</f>
        <v>0</v>
      </c>
      <c r="AD198" s="1192"/>
      <c r="AE198" s="1178" t="e">
        <f>L87</f>
        <v>#DIV/0!</v>
      </c>
      <c r="AF198" s="1200"/>
    </row>
    <row r="199" spans="1:32" ht="39" thickBot="1" x14ac:dyDescent="0.25">
      <c r="A199" s="696"/>
      <c r="B199" s="2149" t="str">
        <f>'TRAD-Adults YEAR(1)'!B130</f>
        <v>Patients suivis</v>
      </c>
      <c r="C199" s="1189" t="str">
        <f>'TRAD-Adults YEAR(1)'!B81</f>
        <v>Nb de patients suivis recevant l'ARV</v>
      </c>
      <c r="D199" s="1203">
        <f t="shared" ref="D199:U199" si="65">SUMIF(D181:D198, "X", $AC181:$AC198)+SUMIF(D181:D198, "A", $AC181:$AC198)*D178</f>
        <v>9816.7021911932152</v>
      </c>
      <c r="E199" s="1203">
        <f t="shared" si="65"/>
        <v>71.533278323796864</v>
      </c>
      <c r="F199" s="1203">
        <f t="shared" si="65"/>
        <v>0</v>
      </c>
      <c r="G199" s="1203">
        <f t="shared" si="65"/>
        <v>1895.7730728673771</v>
      </c>
      <c r="H199" s="1203">
        <f t="shared" si="65"/>
        <v>62.262537760145555</v>
      </c>
      <c r="I199" s="1203">
        <f t="shared" si="65"/>
        <v>0</v>
      </c>
      <c r="J199" s="1203">
        <f t="shared" si="65"/>
        <v>0</v>
      </c>
      <c r="K199" s="1203">
        <f t="shared" si="65"/>
        <v>5468.2338646629305</v>
      </c>
      <c r="L199" s="1203">
        <f t="shared" si="65"/>
        <v>2148.2004667315114</v>
      </c>
      <c r="M199" s="1203">
        <f t="shared" si="65"/>
        <v>1307.569771877761</v>
      </c>
      <c r="N199" s="1203">
        <f t="shared" si="65"/>
        <v>0</v>
      </c>
      <c r="O199" s="1203">
        <f t="shared" si="65"/>
        <v>0</v>
      </c>
      <c r="P199" s="1203">
        <f t="shared" si="65"/>
        <v>0</v>
      </c>
      <c r="Q199" s="1203">
        <f t="shared" si="65"/>
        <v>0</v>
      </c>
      <c r="R199" s="1203">
        <f t="shared" si="65"/>
        <v>0</v>
      </c>
      <c r="S199" s="1203">
        <f t="shared" si="65"/>
        <v>0</v>
      </c>
      <c r="T199" s="1203">
        <f t="shared" si="65"/>
        <v>0</v>
      </c>
      <c r="U199" s="1203">
        <f t="shared" si="65"/>
        <v>2763.7631054812728</v>
      </c>
      <c r="V199" s="1203">
        <f t="shared" ref="V199:AB199" si="66">SUMIF(V181:V198, "X", $AC181:$AC198)+SUMIF(V181:V198, "A", $AC181:$AC198)*V179</f>
        <v>0</v>
      </c>
      <c r="W199" s="1203">
        <f t="shared" si="66"/>
        <v>0</v>
      </c>
      <c r="X199" s="1203">
        <f t="shared" si="66"/>
        <v>0</v>
      </c>
      <c r="Y199" s="1203">
        <f t="shared" si="66"/>
        <v>34.903199999999998</v>
      </c>
      <c r="Z199" s="1203">
        <f t="shared" si="66"/>
        <v>0</v>
      </c>
      <c r="AA199" s="1203">
        <f t="shared" si="66"/>
        <v>0</v>
      </c>
      <c r="AB199" s="1204">
        <f t="shared" si="66"/>
        <v>0</v>
      </c>
      <c r="AC199" s="1186"/>
      <c r="AD199" s="1172"/>
    </row>
    <row r="200" spans="1:32" ht="77.25" thickBot="1" x14ac:dyDescent="0.25">
      <c r="B200" s="2150"/>
      <c r="C200" s="1189" t="str">
        <f>'TRAD-Adults YEAR(1)'!B82</f>
        <v>Quantités de conditionnements nécessaires pour l'ensemble des patients suivis pour 1 mois</v>
      </c>
      <c r="D200" s="1205">
        <f>D199*D177</f>
        <v>9816.7021911932152</v>
      </c>
      <c r="E200" s="1205">
        <f t="shared" ref="E200:AB200" si="67">E199*E177</f>
        <v>71.533278323796864</v>
      </c>
      <c r="F200" s="1205">
        <f t="shared" ref="F200" si="68">F199*F177</f>
        <v>0</v>
      </c>
      <c r="G200" s="1205">
        <f t="shared" si="67"/>
        <v>1895.7730728673771</v>
      </c>
      <c r="H200" s="1205">
        <f t="shared" ref="H200" si="69">H199*H177</f>
        <v>62.262537760145555</v>
      </c>
      <c r="I200" s="1205">
        <f t="shared" si="67"/>
        <v>0</v>
      </c>
      <c r="J200" s="1205">
        <f t="shared" si="67"/>
        <v>0</v>
      </c>
      <c r="K200" s="1205">
        <f t="shared" si="67"/>
        <v>5468.2338646629305</v>
      </c>
      <c r="L200" s="1205">
        <f t="shared" si="67"/>
        <v>2148.2004667315114</v>
      </c>
      <c r="M200" s="1205">
        <f t="shared" si="67"/>
        <v>1307.569771877761</v>
      </c>
      <c r="N200" s="1205">
        <f t="shared" si="67"/>
        <v>0</v>
      </c>
      <c r="O200" s="1205">
        <f t="shared" si="67"/>
        <v>0</v>
      </c>
      <c r="P200" s="1205">
        <f t="shared" si="67"/>
        <v>0</v>
      </c>
      <c r="Q200" s="1205">
        <f t="shared" si="67"/>
        <v>0</v>
      </c>
      <c r="R200" s="1205">
        <f t="shared" si="67"/>
        <v>0</v>
      </c>
      <c r="S200" s="1205">
        <f t="shared" si="67"/>
        <v>0</v>
      </c>
      <c r="T200" s="1205">
        <f t="shared" si="67"/>
        <v>0</v>
      </c>
      <c r="U200" s="1205">
        <f t="shared" si="67"/>
        <v>2763.7631054812728</v>
      </c>
      <c r="V200" s="1205">
        <f t="shared" si="67"/>
        <v>0</v>
      </c>
      <c r="W200" s="1205">
        <f t="shared" si="67"/>
        <v>0</v>
      </c>
      <c r="X200" s="1205">
        <f t="shared" si="67"/>
        <v>0</v>
      </c>
      <c r="Y200" s="1205">
        <f t="shared" si="67"/>
        <v>34.903199999999998</v>
      </c>
      <c r="Z200" s="1205">
        <f t="shared" si="67"/>
        <v>0</v>
      </c>
      <c r="AA200" s="1205">
        <f t="shared" si="67"/>
        <v>0</v>
      </c>
      <c r="AB200" s="1206">
        <f t="shared" si="67"/>
        <v>0</v>
      </c>
      <c r="AC200" s="1186"/>
      <c r="AD200" s="1172"/>
    </row>
    <row r="201" spans="1:32" ht="77.25" thickBot="1" x14ac:dyDescent="0.25">
      <c r="B201" s="2150"/>
      <c r="C201" s="1189" t="str">
        <f>'TRAD-Adults YEAR(1)'!B83</f>
        <v>Qtés conditionnements pour l'ensemble des patients sur toute la période hors SS</v>
      </c>
      <c r="D201" s="1205">
        <f>D200*$D$6</f>
        <v>0</v>
      </c>
      <c r="E201" s="1205">
        <f t="shared" ref="E201:AB201" si="70">E200*$D$6</f>
        <v>0</v>
      </c>
      <c r="F201" s="1205">
        <f t="shared" ref="F201" si="71">F200*$D$6</f>
        <v>0</v>
      </c>
      <c r="G201" s="1205">
        <f t="shared" si="70"/>
        <v>0</v>
      </c>
      <c r="H201" s="1205">
        <f t="shared" ref="H201" si="72">H200*$D$6</f>
        <v>0</v>
      </c>
      <c r="I201" s="1205">
        <f t="shared" si="70"/>
        <v>0</v>
      </c>
      <c r="J201" s="1205">
        <f t="shared" si="70"/>
        <v>0</v>
      </c>
      <c r="K201" s="1205">
        <f t="shared" si="70"/>
        <v>0</v>
      </c>
      <c r="L201" s="1205">
        <f t="shared" si="70"/>
        <v>0</v>
      </c>
      <c r="M201" s="1205">
        <f t="shared" si="70"/>
        <v>0</v>
      </c>
      <c r="N201" s="1205">
        <f t="shared" si="70"/>
        <v>0</v>
      </c>
      <c r="O201" s="1205">
        <f t="shared" si="70"/>
        <v>0</v>
      </c>
      <c r="P201" s="1205">
        <f t="shared" si="70"/>
        <v>0</v>
      </c>
      <c r="Q201" s="1205">
        <f t="shared" si="70"/>
        <v>0</v>
      </c>
      <c r="R201" s="1205">
        <f t="shared" si="70"/>
        <v>0</v>
      </c>
      <c r="S201" s="1205">
        <f t="shared" si="70"/>
        <v>0</v>
      </c>
      <c r="T201" s="1205">
        <f t="shared" si="70"/>
        <v>0</v>
      </c>
      <c r="U201" s="1205">
        <f t="shared" si="70"/>
        <v>0</v>
      </c>
      <c r="V201" s="1205">
        <f t="shared" si="70"/>
        <v>0</v>
      </c>
      <c r="W201" s="1205">
        <f t="shared" si="70"/>
        <v>0</v>
      </c>
      <c r="X201" s="1205">
        <f t="shared" si="70"/>
        <v>0</v>
      </c>
      <c r="Y201" s="1205">
        <f t="shared" si="70"/>
        <v>0</v>
      </c>
      <c r="Z201" s="1205">
        <f t="shared" si="70"/>
        <v>0</v>
      </c>
      <c r="AA201" s="1205">
        <f t="shared" si="70"/>
        <v>0</v>
      </c>
      <c r="AB201" s="1206">
        <f t="shared" si="70"/>
        <v>0</v>
      </c>
      <c r="AC201" s="1186"/>
      <c r="AD201" s="1172"/>
    </row>
    <row r="202" spans="1:32" ht="77.25" thickBot="1" x14ac:dyDescent="0.25">
      <c r="B202" s="2151"/>
      <c r="C202" s="1189" t="str">
        <f>'TRAD-Adults YEAR(1)'!B84</f>
        <v>Qtés conditionnements pour l'ensemble des patients sur toute la période avec SS</v>
      </c>
      <c r="D202" s="1207">
        <f>(D200*$D$7)</f>
        <v>29450.106573579644</v>
      </c>
      <c r="E202" s="1207">
        <f t="shared" ref="E202:AB202" si="73">(E200*$D$7)</f>
        <v>214.59983497139058</v>
      </c>
      <c r="F202" s="1207">
        <f t="shared" ref="F202" si="74">(F200*$D$7)</f>
        <v>0</v>
      </c>
      <c r="G202" s="1207">
        <f t="shared" si="73"/>
        <v>5687.3192186021315</v>
      </c>
      <c r="H202" s="1207">
        <f t="shared" ref="H202" si="75">(H200*$D$7)</f>
        <v>186.78761328043666</v>
      </c>
      <c r="I202" s="1207">
        <f t="shared" si="73"/>
        <v>0</v>
      </c>
      <c r="J202" s="1207">
        <f t="shared" si="73"/>
        <v>0</v>
      </c>
      <c r="K202" s="1207">
        <f t="shared" si="73"/>
        <v>16404.701593988793</v>
      </c>
      <c r="L202" s="1207">
        <f t="shared" si="73"/>
        <v>6444.6014001945341</v>
      </c>
      <c r="M202" s="1207">
        <f t="shared" si="73"/>
        <v>3922.709315633283</v>
      </c>
      <c r="N202" s="1207">
        <f t="shared" si="73"/>
        <v>0</v>
      </c>
      <c r="O202" s="1207">
        <f t="shared" si="73"/>
        <v>0</v>
      </c>
      <c r="P202" s="1207">
        <f t="shared" si="73"/>
        <v>0</v>
      </c>
      <c r="Q202" s="1207">
        <f t="shared" si="73"/>
        <v>0</v>
      </c>
      <c r="R202" s="1207">
        <f t="shared" si="73"/>
        <v>0</v>
      </c>
      <c r="S202" s="1207">
        <f t="shared" si="73"/>
        <v>0</v>
      </c>
      <c r="T202" s="1207">
        <f t="shared" si="73"/>
        <v>0</v>
      </c>
      <c r="U202" s="1207">
        <f t="shared" si="73"/>
        <v>8291.2893164438174</v>
      </c>
      <c r="V202" s="1207">
        <f t="shared" si="73"/>
        <v>0</v>
      </c>
      <c r="W202" s="1207">
        <f t="shared" si="73"/>
        <v>0</v>
      </c>
      <c r="X202" s="1207">
        <f t="shared" si="73"/>
        <v>0</v>
      </c>
      <c r="Y202" s="1207">
        <f t="shared" si="73"/>
        <v>104.70959999999999</v>
      </c>
      <c r="Z202" s="1207">
        <f t="shared" si="73"/>
        <v>0</v>
      </c>
      <c r="AA202" s="1207">
        <f t="shared" si="73"/>
        <v>0</v>
      </c>
      <c r="AB202" s="1208">
        <f t="shared" si="73"/>
        <v>0</v>
      </c>
      <c r="AC202" s="1186"/>
      <c r="AD202" s="1172"/>
    </row>
    <row r="203" spans="1:32" ht="39" thickBot="1" x14ac:dyDescent="0.25">
      <c r="B203" s="2149" t="str">
        <f>'TRAD-Adults YEAR(1)'!B90</f>
        <v>Patients initiés</v>
      </c>
      <c r="C203" s="1189" t="str">
        <f>'TRAD-Adults YEAR(1)'!B85</f>
        <v>Nb de patients initiés par mois recevant l'ARV</v>
      </c>
      <c r="D203" s="1203">
        <f t="shared" ref="D203:AB203" si="76">SUMIF(D181:D198, "X", $AD181:$AD198)+SUMIF(D181:D198, "A", $AD181:$AD198)*D178</f>
        <v>0</v>
      </c>
      <c r="E203" s="1203">
        <f t="shared" si="76"/>
        <v>0</v>
      </c>
      <c r="F203" s="1203">
        <f t="shared" si="76"/>
        <v>0</v>
      </c>
      <c r="G203" s="1203">
        <f t="shared" si="76"/>
        <v>0</v>
      </c>
      <c r="H203" s="1203">
        <f t="shared" si="76"/>
        <v>0</v>
      </c>
      <c r="I203" s="1203">
        <f t="shared" si="76"/>
        <v>0</v>
      </c>
      <c r="J203" s="1203">
        <f t="shared" si="76"/>
        <v>0</v>
      </c>
      <c r="K203" s="1203">
        <f t="shared" si="76"/>
        <v>0</v>
      </c>
      <c r="L203" s="1203">
        <f t="shared" si="76"/>
        <v>0</v>
      </c>
      <c r="M203" s="1203">
        <f t="shared" si="76"/>
        <v>0</v>
      </c>
      <c r="N203" s="1203">
        <f t="shared" si="76"/>
        <v>0</v>
      </c>
      <c r="O203" s="1203">
        <f t="shared" si="76"/>
        <v>0</v>
      </c>
      <c r="P203" s="1203">
        <f t="shared" si="76"/>
        <v>0</v>
      </c>
      <c r="Q203" s="1203">
        <f t="shared" si="76"/>
        <v>0</v>
      </c>
      <c r="R203" s="1203">
        <f t="shared" si="76"/>
        <v>0</v>
      </c>
      <c r="S203" s="1203">
        <f t="shared" si="76"/>
        <v>0</v>
      </c>
      <c r="T203" s="1203">
        <f t="shared" si="76"/>
        <v>0</v>
      </c>
      <c r="U203" s="1203">
        <f t="shared" si="76"/>
        <v>0</v>
      </c>
      <c r="V203" s="1203">
        <f t="shared" si="76"/>
        <v>0</v>
      </c>
      <c r="W203" s="1203">
        <f t="shared" si="76"/>
        <v>0</v>
      </c>
      <c r="X203" s="1203">
        <f t="shared" si="76"/>
        <v>0</v>
      </c>
      <c r="Y203" s="1203">
        <f t="shared" si="76"/>
        <v>0</v>
      </c>
      <c r="Z203" s="1203">
        <f t="shared" si="76"/>
        <v>0</v>
      </c>
      <c r="AA203" s="1203">
        <f t="shared" si="76"/>
        <v>0</v>
      </c>
      <c r="AB203" s="1204">
        <f t="shared" si="76"/>
        <v>0</v>
      </c>
      <c r="AC203" s="1186"/>
      <c r="AD203" s="1172"/>
    </row>
    <row r="204" spans="1:32" ht="77.25" thickBot="1" x14ac:dyDescent="0.25">
      <c r="B204" s="2150"/>
      <c r="C204" s="1189" t="str">
        <f>'TRAD-Adults YEAR(1)'!B86</f>
        <v>Quantités de conditionnements nécessaires pour l'ensemble des patients initiés sur 1 mois</v>
      </c>
      <c r="D204" s="1205">
        <f t="shared" ref="D204:AB204" si="77">D203*D177</f>
        <v>0</v>
      </c>
      <c r="E204" s="1205">
        <f t="shared" si="77"/>
        <v>0</v>
      </c>
      <c r="F204" s="1205">
        <f t="shared" ref="F204" si="78">F203*F177</f>
        <v>0</v>
      </c>
      <c r="G204" s="1205">
        <f t="shared" si="77"/>
        <v>0</v>
      </c>
      <c r="H204" s="1205">
        <f t="shared" ref="H204" si="79">H203*H177</f>
        <v>0</v>
      </c>
      <c r="I204" s="1205">
        <f t="shared" si="77"/>
        <v>0</v>
      </c>
      <c r="J204" s="1205">
        <f t="shared" si="77"/>
        <v>0</v>
      </c>
      <c r="K204" s="1205">
        <f t="shared" si="77"/>
        <v>0</v>
      </c>
      <c r="L204" s="1205">
        <f t="shared" si="77"/>
        <v>0</v>
      </c>
      <c r="M204" s="1205">
        <f t="shared" si="77"/>
        <v>0</v>
      </c>
      <c r="N204" s="1205">
        <f t="shared" si="77"/>
        <v>0</v>
      </c>
      <c r="O204" s="1205">
        <f t="shared" si="77"/>
        <v>0</v>
      </c>
      <c r="P204" s="1205">
        <f t="shared" si="77"/>
        <v>0</v>
      </c>
      <c r="Q204" s="1205">
        <f t="shared" si="77"/>
        <v>0</v>
      </c>
      <c r="R204" s="1205">
        <f t="shared" si="77"/>
        <v>0</v>
      </c>
      <c r="S204" s="1205">
        <f t="shared" si="77"/>
        <v>0</v>
      </c>
      <c r="T204" s="1205">
        <f t="shared" si="77"/>
        <v>0</v>
      </c>
      <c r="U204" s="1205">
        <f t="shared" si="77"/>
        <v>0</v>
      </c>
      <c r="V204" s="1205">
        <f t="shared" si="77"/>
        <v>0</v>
      </c>
      <c r="W204" s="1205">
        <f t="shared" si="77"/>
        <v>0</v>
      </c>
      <c r="X204" s="1205">
        <f t="shared" si="77"/>
        <v>0</v>
      </c>
      <c r="Y204" s="1205">
        <f t="shared" si="77"/>
        <v>0</v>
      </c>
      <c r="Z204" s="1205">
        <f t="shared" si="77"/>
        <v>0</v>
      </c>
      <c r="AA204" s="1205">
        <f t="shared" si="77"/>
        <v>0</v>
      </c>
      <c r="AB204" s="1206">
        <f t="shared" si="77"/>
        <v>0</v>
      </c>
      <c r="AC204" s="1186"/>
      <c r="AD204" s="1172"/>
    </row>
    <row r="205" spans="1:32" ht="64.5" thickBot="1" x14ac:dyDescent="0.25">
      <c r="B205" s="2150"/>
      <c r="C205" s="1189" t="str">
        <f>'TRAD-Adults YEAR(1)'!B87</f>
        <v>Quantités conditionnements nécessaires Spécificités 3èmes lignes pour 1 mois</v>
      </c>
      <c r="D205" s="1205">
        <f t="shared" ref="D205:AB205" si="80">(IF(D198="X", $AE$198*D179, "0")+IF(D198="A", $AE$198*D178*D179, "0"))*D177</f>
        <v>0</v>
      </c>
      <c r="E205" s="1205">
        <f t="shared" si="80"/>
        <v>0</v>
      </c>
      <c r="F205" s="1205">
        <f t="shared" si="80"/>
        <v>0</v>
      </c>
      <c r="G205" s="1205">
        <f t="shared" si="80"/>
        <v>0</v>
      </c>
      <c r="H205" s="1205">
        <f t="shared" si="80"/>
        <v>0</v>
      </c>
      <c r="I205" s="1205">
        <f t="shared" si="80"/>
        <v>0</v>
      </c>
      <c r="J205" s="1205">
        <f t="shared" si="80"/>
        <v>0</v>
      </c>
      <c r="K205" s="1205">
        <f t="shared" si="80"/>
        <v>0</v>
      </c>
      <c r="L205" s="1205" t="e">
        <f t="shared" si="80"/>
        <v>#DIV/0!</v>
      </c>
      <c r="M205" s="1205">
        <f t="shared" si="80"/>
        <v>0</v>
      </c>
      <c r="N205" s="1205">
        <f t="shared" si="80"/>
        <v>0</v>
      </c>
      <c r="O205" s="1205">
        <f t="shared" si="80"/>
        <v>0</v>
      </c>
      <c r="P205" s="1205" t="e">
        <f t="shared" si="80"/>
        <v>#DIV/0!</v>
      </c>
      <c r="Q205" s="1205" t="e">
        <f t="shared" si="80"/>
        <v>#DIV/0!</v>
      </c>
      <c r="R205" s="1205" t="e">
        <f t="shared" si="80"/>
        <v>#DIV/0!</v>
      </c>
      <c r="S205" s="1205" t="e">
        <f t="shared" si="80"/>
        <v>#DIV/0!</v>
      </c>
      <c r="T205" s="1205" t="e">
        <f t="shared" si="80"/>
        <v>#DIV/0!</v>
      </c>
      <c r="U205" s="1205">
        <f t="shared" si="80"/>
        <v>0</v>
      </c>
      <c r="V205" s="1205" t="e">
        <f t="shared" si="80"/>
        <v>#DIV/0!</v>
      </c>
      <c r="W205" s="1205" t="e">
        <f t="shared" si="80"/>
        <v>#DIV/0!</v>
      </c>
      <c r="X205" s="1205" t="e">
        <f t="shared" si="80"/>
        <v>#DIV/0!</v>
      </c>
      <c r="Y205" s="1205" t="e">
        <f t="shared" si="80"/>
        <v>#DIV/0!</v>
      </c>
      <c r="Z205" s="1205" t="e">
        <f t="shared" si="80"/>
        <v>#DIV/0!</v>
      </c>
      <c r="AA205" s="1205" t="e">
        <f t="shared" si="80"/>
        <v>#DIV/0!</v>
      </c>
      <c r="AB205" s="1206" t="e">
        <f t="shared" si="80"/>
        <v>#DIV/0!</v>
      </c>
      <c r="AC205" s="1186"/>
      <c r="AD205" s="1172"/>
    </row>
    <row r="206" spans="1:32" ht="77.25" thickBot="1" x14ac:dyDescent="0.25">
      <c r="B206" s="2150"/>
      <c r="C206" s="1189" t="str">
        <f>'TRAD-Adults YEAR(1)'!B88</f>
        <v>Qtés conditionnements pour l'ensemble des patients initiés sur toute la période sans SS</v>
      </c>
      <c r="D206" s="1205">
        <f>(D204+D205)*$I$6</f>
        <v>0</v>
      </c>
      <c r="E206" s="1205">
        <f t="shared" ref="E206:AB206" si="81">(E204+E205)*$I$6</f>
        <v>0</v>
      </c>
      <c r="F206" s="1205">
        <f t="shared" ref="F206" si="82">(F204+F205)*$I$6</f>
        <v>0</v>
      </c>
      <c r="G206" s="1205">
        <f t="shared" si="81"/>
        <v>0</v>
      </c>
      <c r="H206" s="1205">
        <f t="shared" ref="H206" si="83">(H204+H205)*$I$6</f>
        <v>0</v>
      </c>
      <c r="I206" s="1205">
        <f t="shared" si="81"/>
        <v>0</v>
      </c>
      <c r="J206" s="1205">
        <f t="shared" si="81"/>
        <v>0</v>
      </c>
      <c r="K206" s="1205">
        <f t="shared" si="81"/>
        <v>0</v>
      </c>
      <c r="L206" s="1205" t="e">
        <f>(L204+L205)*$I$6</f>
        <v>#DIV/0!</v>
      </c>
      <c r="M206" s="1205">
        <f t="shared" si="81"/>
        <v>0</v>
      </c>
      <c r="N206" s="1205">
        <f>(N204+N205)*$I$6</f>
        <v>0</v>
      </c>
      <c r="O206" s="1205">
        <f t="shared" si="81"/>
        <v>0</v>
      </c>
      <c r="P206" s="1205" t="e">
        <f t="shared" si="81"/>
        <v>#DIV/0!</v>
      </c>
      <c r="Q206" s="1205" t="e">
        <f>(Q204+Q205)*$I$6</f>
        <v>#DIV/0!</v>
      </c>
      <c r="R206" s="1205" t="e">
        <f t="shared" si="81"/>
        <v>#DIV/0!</v>
      </c>
      <c r="S206" s="1205" t="e">
        <f t="shared" si="81"/>
        <v>#DIV/0!</v>
      </c>
      <c r="T206" s="1205" t="e">
        <f t="shared" si="81"/>
        <v>#DIV/0!</v>
      </c>
      <c r="U206" s="1205">
        <f t="shared" si="81"/>
        <v>0</v>
      </c>
      <c r="V206" s="1205" t="e">
        <f t="shared" si="81"/>
        <v>#DIV/0!</v>
      </c>
      <c r="W206" s="1205" t="e">
        <f t="shared" si="81"/>
        <v>#DIV/0!</v>
      </c>
      <c r="X206" s="1205" t="e">
        <f t="shared" si="81"/>
        <v>#DIV/0!</v>
      </c>
      <c r="Y206" s="1205" t="e">
        <f t="shared" si="81"/>
        <v>#DIV/0!</v>
      </c>
      <c r="Z206" s="1205" t="e">
        <f t="shared" si="81"/>
        <v>#DIV/0!</v>
      </c>
      <c r="AA206" s="1205" t="e">
        <f t="shared" si="81"/>
        <v>#DIV/0!</v>
      </c>
      <c r="AB206" s="1206" t="e">
        <f t="shared" si="81"/>
        <v>#DIV/0!</v>
      </c>
      <c r="AC206" s="1186"/>
      <c r="AD206" s="1172"/>
    </row>
    <row r="207" spans="1:32" ht="77.25" thickBot="1" x14ac:dyDescent="0.25">
      <c r="B207" s="2151"/>
      <c r="C207" s="1189" t="str">
        <f>'TRAD-Adults YEAR(1)'!B89</f>
        <v>Qtés conditionnements pour l'ensemble des patients initiés sur toute la période avec SS</v>
      </c>
      <c r="D207" s="1207">
        <f>(D204+D205)*$I$7</f>
        <v>0</v>
      </c>
      <c r="E207" s="1207">
        <f t="shared" ref="E207:AB207" si="84">(E204+E205)*$I$7</f>
        <v>0</v>
      </c>
      <c r="F207" s="1207">
        <f t="shared" ref="F207" si="85">(F204+F205)*$I$7</f>
        <v>0</v>
      </c>
      <c r="G207" s="1207">
        <f t="shared" si="84"/>
        <v>0</v>
      </c>
      <c r="H207" s="1207">
        <f t="shared" ref="H207" si="86">(H204+H205)*$I$7</f>
        <v>0</v>
      </c>
      <c r="I207" s="1207">
        <f t="shared" si="84"/>
        <v>0</v>
      </c>
      <c r="J207" s="1207">
        <f t="shared" si="84"/>
        <v>0</v>
      </c>
      <c r="K207" s="1207">
        <f t="shared" si="84"/>
        <v>0</v>
      </c>
      <c r="L207" s="1207" t="e">
        <f t="shared" si="84"/>
        <v>#DIV/0!</v>
      </c>
      <c r="M207" s="1207">
        <f t="shared" si="84"/>
        <v>0</v>
      </c>
      <c r="N207" s="1207">
        <f t="shared" si="84"/>
        <v>0</v>
      </c>
      <c r="O207" s="1207">
        <f t="shared" si="84"/>
        <v>0</v>
      </c>
      <c r="P207" s="1207" t="e">
        <f t="shared" si="84"/>
        <v>#DIV/0!</v>
      </c>
      <c r="Q207" s="1207" t="e">
        <f t="shared" si="84"/>
        <v>#DIV/0!</v>
      </c>
      <c r="R207" s="1207" t="e">
        <f t="shared" si="84"/>
        <v>#DIV/0!</v>
      </c>
      <c r="S207" s="1207" t="e">
        <f t="shared" si="84"/>
        <v>#DIV/0!</v>
      </c>
      <c r="T207" s="1207" t="e">
        <f t="shared" si="84"/>
        <v>#DIV/0!</v>
      </c>
      <c r="U207" s="1207">
        <f t="shared" si="84"/>
        <v>0</v>
      </c>
      <c r="V207" s="1207" t="e">
        <f t="shared" si="84"/>
        <v>#DIV/0!</v>
      </c>
      <c r="W207" s="1207" t="e">
        <f t="shared" si="84"/>
        <v>#DIV/0!</v>
      </c>
      <c r="X207" s="1207" t="e">
        <f t="shared" si="84"/>
        <v>#DIV/0!</v>
      </c>
      <c r="Y207" s="1207" t="e">
        <f t="shared" si="84"/>
        <v>#DIV/0!</v>
      </c>
      <c r="Z207" s="1207" t="e">
        <f t="shared" si="84"/>
        <v>#DIV/0!</v>
      </c>
      <c r="AA207" s="1207" t="e">
        <f t="shared" si="84"/>
        <v>#DIV/0!</v>
      </c>
      <c r="AB207" s="1208" t="e">
        <f t="shared" si="84"/>
        <v>#DIV/0!</v>
      </c>
      <c r="AC207" s="1186"/>
      <c r="AD207" s="1172"/>
    </row>
    <row r="208" spans="1:32" ht="39" thickBot="1" x14ac:dyDescent="0.25">
      <c r="B208" s="2149" t="str">
        <f>'TRAD-Adults YEAR(1)'!B93</f>
        <v>Patients switchés</v>
      </c>
      <c r="C208" s="1189" t="str">
        <f>'TRAD-Adults YEAR(1)'!B85</f>
        <v>Nb de patients initiés par mois recevant l'ARV</v>
      </c>
      <c r="D208" s="1203">
        <f t="shared" ref="D208:AB208" si="87">SUMIF(D181:D198, "X", $AE181:$AE198)+SUMIF(D181:D198, "A", $AE181:$AE198)*D178</f>
        <v>0</v>
      </c>
      <c r="E208" s="1203">
        <f t="shared" si="87"/>
        <v>0</v>
      </c>
      <c r="F208" s="1203">
        <f t="shared" si="87"/>
        <v>0</v>
      </c>
      <c r="G208" s="1203">
        <f t="shared" si="87"/>
        <v>0</v>
      </c>
      <c r="H208" s="1203">
        <f t="shared" si="87"/>
        <v>0</v>
      </c>
      <c r="I208" s="1203">
        <f t="shared" si="87"/>
        <v>0</v>
      </c>
      <c r="J208" s="1203">
        <f t="shared" si="87"/>
        <v>0</v>
      </c>
      <c r="K208" s="1203">
        <f t="shared" si="87"/>
        <v>0</v>
      </c>
      <c r="L208" s="1203" t="e">
        <f t="shared" si="87"/>
        <v>#DIV/0!</v>
      </c>
      <c r="M208" s="1203">
        <f t="shared" si="87"/>
        <v>0</v>
      </c>
      <c r="N208" s="1203">
        <f t="shared" si="87"/>
        <v>0</v>
      </c>
      <c r="O208" s="1203">
        <f t="shared" si="87"/>
        <v>0</v>
      </c>
      <c r="P208" s="1203" t="e">
        <f t="shared" si="87"/>
        <v>#DIV/0!</v>
      </c>
      <c r="Q208" s="1203" t="e">
        <f t="shared" si="87"/>
        <v>#DIV/0!</v>
      </c>
      <c r="R208" s="1203" t="e">
        <f t="shared" si="87"/>
        <v>#DIV/0!</v>
      </c>
      <c r="S208" s="1203" t="e">
        <f t="shared" si="87"/>
        <v>#DIV/0!</v>
      </c>
      <c r="T208" s="1203" t="e">
        <f t="shared" si="87"/>
        <v>#DIV/0!</v>
      </c>
      <c r="U208" s="1203" t="e">
        <f t="shared" si="87"/>
        <v>#DIV/0!</v>
      </c>
      <c r="V208" s="1203" t="e">
        <f t="shared" si="87"/>
        <v>#DIV/0!</v>
      </c>
      <c r="W208" s="1203" t="e">
        <f t="shared" si="87"/>
        <v>#DIV/0!</v>
      </c>
      <c r="X208" s="1203" t="e">
        <f t="shared" si="87"/>
        <v>#DIV/0!</v>
      </c>
      <c r="Y208" s="1203" t="e">
        <f t="shared" si="87"/>
        <v>#DIV/0!</v>
      </c>
      <c r="Z208" s="1203" t="e">
        <f t="shared" si="87"/>
        <v>#DIV/0!</v>
      </c>
      <c r="AA208" s="1203" t="e">
        <f t="shared" si="87"/>
        <v>#DIV/0!</v>
      </c>
      <c r="AB208" s="1204" t="e">
        <f t="shared" si="87"/>
        <v>#DIV/0!</v>
      </c>
      <c r="AC208" s="1186"/>
      <c r="AD208" s="1172"/>
    </row>
    <row r="209" spans="2:30" ht="77.25" thickBot="1" x14ac:dyDescent="0.25">
      <c r="B209" s="2150"/>
      <c r="C209" s="1189" t="str">
        <f>'TRAD-Adults YEAR(1)'!B86</f>
        <v>Quantités de conditionnements nécessaires pour l'ensemble des patients initiés sur 1 mois</v>
      </c>
      <c r="D209" s="1205">
        <f>D208*D177</f>
        <v>0</v>
      </c>
      <c r="E209" s="1205">
        <f t="shared" ref="E209:AB209" si="88">E208*E177</f>
        <v>0</v>
      </c>
      <c r="F209" s="1205">
        <f t="shared" ref="F209" si="89">F208*F177</f>
        <v>0</v>
      </c>
      <c r="G209" s="1205">
        <f t="shared" si="88"/>
        <v>0</v>
      </c>
      <c r="H209" s="1205">
        <f t="shared" ref="H209" si="90">H208*H177</f>
        <v>0</v>
      </c>
      <c r="I209" s="1205">
        <f t="shared" si="88"/>
        <v>0</v>
      </c>
      <c r="J209" s="1205">
        <f t="shared" si="88"/>
        <v>0</v>
      </c>
      <c r="K209" s="1205">
        <f t="shared" si="88"/>
        <v>0</v>
      </c>
      <c r="L209" s="1205" t="e">
        <f t="shared" si="88"/>
        <v>#DIV/0!</v>
      </c>
      <c r="M209" s="1205">
        <f t="shared" si="88"/>
        <v>0</v>
      </c>
      <c r="N209" s="1205">
        <f t="shared" si="88"/>
        <v>0</v>
      </c>
      <c r="O209" s="1205">
        <f t="shared" si="88"/>
        <v>0</v>
      </c>
      <c r="P209" s="1205" t="e">
        <f t="shared" si="88"/>
        <v>#DIV/0!</v>
      </c>
      <c r="Q209" s="1205" t="e">
        <f t="shared" si="88"/>
        <v>#DIV/0!</v>
      </c>
      <c r="R209" s="1205" t="e">
        <f t="shared" si="88"/>
        <v>#DIV/0!</v>
      </c>
      <c r="S209" s="1205" t="e">
        <f t="shared" si="88"/>
        <v>#DIV/0!</v>
      </c>
      <c r="T209" s="1205" t="e">
        <f t="shared" si="88"/>
        <v>#DIV/0!</v>
      </c>
      <c r="U209" s="1205" t="e">
        <f t="shared" si="88"/>
        <v>#DIV/0!</v>
      </c>
      <c r="V209" s="1205" t="e">
        <f t="shared" si="88"/>
        <v>#DIV/0!</v>
      </c>
      <c r="W209" s="1205" t="e">
        <f t="shared" si="88"/>
        <v>#DIV/0!</v>
      </c>
      <c r="X209" s="1205" t="e">
        <f t="shared" si="88"/>
        <v>#DIV/0!</v>
      </c>
      <c r="Y209" s="1205" t="e">
        <f t="shared" si="88"/>
        <v>#DIV/0!</v>
      </c>
      <c r="Z209" s="1205" t="e">
        <f t="shared" si="88"/>
        <v>#DIV/0!</v>
      </c>
      <c r="AA209" s="1205" t="e">
        <f t="shared" si="88"/>
        <v>#DIV/0!</v>
      </c>
      <c r="AB209" s="1206" t="e">
        <f t="shared" si="88"/>
        <v>#DIV/0!</v>
      </c>
      <c r="AC209" s="1186"/>
      <c r="AD209" s="1172"/>
    </row>
    <row r="210" spans="2:30" ht="64.5" thickBot="1" x14ac:dyDescent="0.25">
      <c r="B210" s="2150"/>
      <c r="C210" s="1189" t="str">
        <f>'TRAD-Adults YEAR(1)'!B87</f>
        <v>Quantités conditionnements nécessaires Spécificités 3èmes lignes pour 1 mois</v>
      </c>
      <c r="D210" s="1205">
        <f t="shared" ref="D210:AB210" si="91">(IF(D198="X", $AE$198*D179, "0")+IF(D198="A", $AE$198*D178*D179, "0"))*D177</f>
        <v>0</v>
      </c>
      <c r="E210" s="1205">
        <f t="shared" si="91"/>
        <v>0</v>
      </c>
      <c r="F210" s="1205">
        <f t="shared" si="91"/>
        <v>0</v>
      </c>
      <c r="G210" s="1205">
        <f t="shared" si="91"/>
        <v>0</v>
      </c>
      <c r="H210" s="1205">
        <f t="shared" si="91"/>
        <v>0</v>
      </c>
      <c r="I210" s="1205">
        <f t="shared" si="91"/>
        <v>0</v>
      </c>
      <c r="J210" s="1205">
        <f t="shared" si="91"/>
        <v>0</v>
      </c>
      <c r="K210" s="1205">
        <f t="shared" si="91"/>
        <v>0</v>
      </c>
      <c r="L210" s="1205" t="e">
        <f t="shared" si="91"/>
        <v>#DIV/0!</v>
      </c>
      <c r="M210" s="1205">
        <f t="shared" si="91"/>
        <v>0</v>
      </c>
      <c r="N210" s="1205">
        <f t="shared" si="91"/>
        <v>0</v>
      </c>
      <c r="O210" s="1205">
        <f t="shared" si="91"/>
        <v>0</v>
      </c>
      <c r="P210" s="1205" t="e">
        <f t="shared" si="91"/>
        <v>#DIV/0!</v>
      </c>
      <c r="Q210" s="1205" t="e">
        <f t="shared" si="91"/>
        <v>#DIV/0!</v>
      </c>
      <c r="R210" s="1205" t="e">
        <f t="shared" si="91"/>
        <v>#DIV/0!</v>
      </c>
      <c r="S210" s="1205" t="e">
        <f t="shared" si="91"/>
        <v>#DIV/0!</v>
      </c>
      <c r="T210" s="1205" t="e">
        <f t="shared" si="91"/>
        <v>#DIV/0!</v>
      </c>
      <c r="U210" s="1205">
        <f t="shared" si="91"/>
        <v>0</v>
      </c>
      <c r="V210" s="1205" t="e">
        <f t="shared" si="91"/>
        <v>#DIV/0!</v>
      </c>
      <c r="W210" s="1205" t="e">
        <f t="shared" si="91"/>
        <v>#DIV/0!</v>
      </c>
      <c r="X210" s="1205" t="e">
        <f t="shared" si="91"/>
        <v>#DIV/0!</v>
      </c>
      <c r="Y210" s="1205" t="e">
        <f t="shared" si="91"/>
        <v>#DIV/0!</v>
      </c>
      <c r="Z210" s="1205" t="e">
        <f t="shared" si="91"/>
        <v>#DIV/0!</v>
      </c>
      <c r="AA210" s="1205" t="e">
        <f t="shared" si="91"/>
        <v>#DIV/0!</v>
      </c>
      <c r="AB210" s="1206" t="e">
        <f t="shared" si="91"/>
        <v>#DIV/0!</v>
      </c>
      <c r="AC210" s="1186"/>
      <c r="AD210" s="1172"/>
    </row>
    <row r="211" spans="2:30" ht="77.25" thickBot="1" x14ac:dyDescent="0.25">
      <c r="B211" s="2150"/>
      <c r="C211" s="1189" t="str">
        <f>'TRAD-Adults YEAR(1)'!B88</f>
        <v>Qtés conditionnements pour l'ensemble des patients initiés sur toute la période sans SS</v>
      </c>
      <c r="D211" s="1205">
        <f>(D209+D210)*$I$6</f>
        <v>0</v>
      </c>
      <c r="E211" s="1205">
        <f t="shared" ref="E211:AB211" si="92">(E209+E210)*$I$6</f>
        <v>0</v>
      </c>
      <c r="F211" s="1205">
        <f t="shared" ref="F211" si="93">(F209+F210)*$I$6</f>
        <v>0</v>
      </c>
      <c r="G211" s="1205">
        <f t="shared" si="92"/>
        <v>0</v>
      </c>
      <c r="H211" s="1205">
        <f t="shared" ref="H211" si="94">(H209+H210)*$I$6</f>
        <v>0</v>
      </c>
      <c r="I211" s="1205">
        <f t="shared" si="92"/>
        <v>0</v>
      </c>
      <c r="J211" s="1205">
        <f t="shared" si="92"/>
        <v>0</v>
      </c>
      <c r="K211" s="1205">
        <f t="shared" si="92"/>
        <v>0</v>
      </c>
      <c r="L211" s="1205" t="e">
        <f t="shared" si="92"/>
        <v>#DIV/0!</v>
      </c>
      <c r="M211" s="1205">
        <f t="shared" si="92"/>
        <v>0</v>
      </c>
      <c r="N211" s="1205">
        <f t="shared" si="92"/>
        <v>0</v>
      </c>
      <c r="O211" s="1205">
        <f t="shared" si="92"/>
        <v>0</v>
      </c>
      <c r="P211" s="1205" t="e">
        <f t="shared" si="92"/>
        <v>#DIV/0!</v>
      </c>
      <c r="Q211" s="1205" t="e">
        <f t="shared" si="92"/>
        <v>#DIV/0!</v>
      </c>
      <c r="R211" s="1205" t="e">
        <f t="shared" si="92"/>
        <v>#DIV/0!</v>
      </c>
      <c r="S211" s="1205" t="e">
        <f t="shared" si="92"/>
        <v>#DIV/0!</v>
      </c>
      <c r="T211" s="1205" t="e">
        <f t="shared" si="92"/>
        <v>#DIV/0!</v>
      </c>
      <c r="U211" s="1205" t="e">
        <f t="shared" si="92"/>
        <v>#DIV/0!</v>
      </c>
      <c r="V211" s="1205" t="e">
        <f t="shared" si="92"/>
        <v>#DIV/0!</v>
      </c>
      <c r="W211" s="1205" t="e">
        <f t="shared" si="92"/>
        <v>#DIV/0!</v>
      </c>
      <c r="X211" s="1205" t="e">
        <f t="shared" si="92"/>
        <v>#DIV/0!</v>
      </c>
      <c r="Y211" s="1205" t="e">
        <f t="shared" si="92"/>
        <v>#DIV/0!</v>
      </c>
      <c r="Z211" s="1205" t="e">
        <f t="shared" si="92"/>
        <v>#DIV/0!</v>
      </c>
      <c r="AA211" s="1205" t="e">
        <f t="shared" si="92"/>
        <v>#DIV/0!</v>
      </c>
      <c r="AB211" s="1206" t="e">
        <f t="shared" si="92"/>
        <v>#DIV/0!</v>
      </c>
      <c r="AC211" s="1186"/>
      <c r="AD211" s="1172"/>
    </row>
    <row r="212" spans="2:30" ht="77.25" thickBot="1" x14ac:dyDescent="0.25">
      <c r="B212" s="2151"/>
      <c r="C212" s="1189" t="str">
        <f>'TRAD-Adults YEAR(1)'!B89</f>
        <v>Qtés conditionnements pour l'ensemble des patients initiés sur toute la période avec SS</v>
      </c>
      <c r="D212" s="1207">
        <f>(D209+D210)*$I$7</f>
        <v>0</v>
      </c>
      <c r="E212" s="1207">
        <f t="shared" ref="E212:AB212" si="95">(E209+E210)*$I$7</f>
        <v>0</v>
      </c>
      <c r="F212" s="1207">
        <f t="shared" ref="F212" si="96">(F209+F210)*$I$7</f>
        <v>0</v>
      </c>
      <c r="G212" s="1207">
        <f t="shared" si="95"/>
        <v>0</v>
      </c>
      <c r="H212" s="1207">
        <f t="shared" ref="H212" si="97">(H209+H210)*$I$7</f>
        <v>0</v>
      </c>
      <c r="I212" s="1207">
        <f t="shared" si="95"/>
        <v>0</v>
      </c>
      <c r="J212" s="1207">
        <f t="shared" si="95"/>
        <v>0</v>
      </c>
      <c r="K212" s="1207">
        <f t="shared" si="95"/>
        <v>0</v>
      </c>
      <c r="L212" s="1207" t="e">
        <f t="shared" si="95"/>
        <v>#DIV/0!</v>
      </c>
      <c r="M212" s="1207">
        <f t="shared" si="95"/>
        <v>0</v>
      </c>
      <c r="N212" s="1207">
        <f t="shared" si="95"/>
        <v>0</v>
      </c>
      <c r="O212" s="1207">
        <f t="shared" si="95"/>
        <v>0</v>
      </c>
      <c r="P212" s="1207" t="e">
        <f t="shared" si="95"/>
        <v>#DIV/0!</v>
      </c>
      <c r="Q212" s="1207" t="e">
        <f t="shared" si="95"/>
        <v>#DIV/0!</v>
      </c>
      <c r="R212" s="1207" t="e">
        <f t="shared" si="95"/>
        <v>#DIV/0!</v>
      </c>
      <c r="S212" s="1207" t="e">
        <f t="shared" si="95"/>
        <v>#DIV/0!</v>
      </c>
      <c r="T212" s="1207" t="e">
        <f t="shared" si="95"/>
        <v>#DIV/0!</v>
      </c>
      <c r="U212" s="1207" t="e">
        <f t="shared" si="95"/>
        <v>#DIV/0!</v>
      </c>
      <c r="V212" s="1207" t="e">
        <f t="shared" si="95"/>
        <v>#DIV/0!</v>
      </c>
      <c r="W212" s="1207" t="e">
        <f t="shared" si="95"/>
        <v>#DIV/0!</v>
      </c>
      <c r="X212" s="1207" t="e">
        <f t="shared" si="95"/>
        <v>#DIV/0!</v>
      </c>
      <c r="Y212" s="1207" t="e">
        <f t="shared" si="95"/>
        <v>#DIV/0!</v>
      </c>
      <c r="Z212" s="1207" t="e">
        <f t="shared" si="95"/>
        <v>#DIV/0!</v>
      </c>
      <c r="AA212" s="1207" t="e">
        <f t="shared" si="95"/>
        <v>#DIV/0!</v>
      </c>
      <c r="AB212" s="1208" t="e">
        <f t="shared" si="95"/>
        <v>#DIV/0!</v>
      </c>
      <c r="AC212" s="1186"/>
      <c r="AD212" s="1172"/>
    </row>
    <row r="213" spans="2:30" ht="39" thickBot="1" x14ac:dyDescent="0.25">
      <c r="B213" s="2152" t="str">
        <f>'TRAD-Adults YEAR(1)'!B96</f>
        <v>Initiation NVP</v>
      </c>
      <c r="C213" s="1189" t="str">
        <f>'TRAD-Adults YEAR(1)'!B98</f>
        <v>Besoins pour initiation NVP sans SS</v>
      </c>
      <c r="D213" s="1203">
        <f>IF('Data &amp; hypothesis Adults'!D184="X", 'Adults YEAR1'!AD181*0.25, "0")*$D$6</f>
        <v>0</v>
      </c>
      <c r="E213" s="1203"/>
      <c r="F213" s="1582"/>
      <c r="G213" s="1203">
        <f>IF('Data &amp; hypothesis Adults'!D184="X", 'Adults YEAR1'!AD181*0.25, IF('Data &amp; hypothesis Adults'!D185="X", 'Adults YEAR1'!AD181*0.5, "0"))*$D$6</f>
        <v>0</v>
      </c>
      <c r="H213" s="1582"/>
      <c r="I213" s="1203">
        <f>IF('Data &amp; hypothesis Adults'!D186="X", 'Adults YEAR1'!AD186*0.25, "0")*$D$6</f>
        <v>0</v>
      </c>
      <c r="J213" s="1203">
        <f>IF('Data &amp; hypothesis Adults'!D186="X", 'Adults YEAR1'!AD186*0.25, IF('Data &amp; hypothesis Adults'!D187="X", 'Adults YEAR1'!AD186*0.5, "0"))*$D$6</f>
        <v>0</v>
      </c>
      <c r="K213" s="1203"/>
      <c r="L213" s="1203"/>
      <c r="M213" s="1203"/>
      <c r="N213" s="1203">
        <f>(IF('Data &amp; hypothesis Adults'!D185="X",'Adults YEAR1'!AD181*0.25,"0")+IF('Data &amp; hypothesis Adults'!D187="X",'Adults YEAR1'!AD186*0.25,"0"))*$D$6</f>
        <v>0</v>
      </c>
      <c r="O213" s="1203"/>
      <c r="P213" s="1203"/>
      <c r="Q213" s="1203"/>
      <c r="R213" s="1203"/>
      <c r="S213" s="1203"/>
      <c r="T213" s="1203"/>
      <c r="U213" s="1203"/>
      <c r="V213" s="1203"/>
      <c r="W213" s="1203"/>
      <c r="X213" s="1203"/>
      <c r="Y213" s="1203"/>
      <c r="Z213" s="1203"/>
      <c r="AA213" s="1203"/>
      <c r="AB213" s="1204"/>
      <c r="AC213" s="1186"/>
      <c r="AD213" s="1172"/>
    </row>
    <row r="214" spans="2:30" ht="39" thickBot="1" x14ac:dyDescent="0.25">
      <c r="B214" s="2153"/>
      <c r="C214" s="1189" t="str">
        <f>'TRAD-Adults YEAR(1)'!B99</f>
        <v>Besoins pour initiation NVP avec SS</v>
      </c>
      <c r="D214" s="1209">
        <f>IF('Data &amp; hypothesis Adults'!D184="X", 'Adults YEAR1'!AD181*0.25, "0")*$D$7</f>
        <v>15.450000000000001</v>
      </c>
      <c r="E214" s="1209"/>
      <c r="F214" s="1209"/>
      <c r="G214" s="1209">
        <f>IF('Data &amp; hypothesis Adults'!D184="X", 'Adults YEAR1'!AD181*0.25, IF('Data &amp; hypothesis Adults'!D185="X", 'Adults YEAR1'!AD181*0.5, "0"))*$D$7</f>
        <v>15.450000000000001</v>
      </c>
      <c r="H214" s="1209"/>
      <c r="I214" s="1209">
        <f>IF('Data &amp; hypothesis Adults'!D186="X", 'Adults YEAR1'!AD186*0.25, "0")*$D$7</f>
        <v>0</v>
      </c>
      <c r="J214" s="1209">
        <f>IF('Data &amp; hypothesis Adults'!D186="X", 'Adults YEAR1'!AD186*0.25, IF('Data &amp; hypothesis Adults'!D187="X", 'Adults YEAR1'!AD186*0.5, "0"))*$D$7</f>
        <v>0</v>
      </c>
      <c r="K214" s="1209"/>
      <c r="L214" s="1209"/>
      <c r="M214" s="1209"/>
      <c r="N214" s="1209">
        <f>(IF('Data &amp; hypothesis Adults'!D185="X",'Adults YEAR1'!AD181*0.25,"0")+IF('Data &amp; hypothesis Adults'!D187="X",'Adults YEAR1'!AD186*0.25,"0"))*$D$7</f>
        <v>0</v>
      </c>
      <c r="O214" s="1209"/>
      <c r="P214" s="1209"/>
      <c r="Q214" s="1209"/>
      <c r="R214" s="1209"/>
      <c r="S214" s="1209"/>
      <c r="T214" s="1209"/>
      <c r="U214" s="1209"/>
      <c r="V214" s="1209"/>
      <c r="W214" s="1209"/>
      <c r="X214" s="1209"/>
      <c r="Y214" s="1209"/>
      <c r="Z214" s="1209"/>
      <c r="AA214" s="1209"/>
      <c r="AB214" s="1210"/>
      <c r="AC214" s="1186"/>
      <c r="AD214" s="1172"/>
    </row>
    <row r="215" spans="2:30" ht="75.75" thickBot="1" x14ac:dyDescent="0.3">
      <c r="B215" s="1201" t="str">
        <f>'TRAD-Adults YEAR(1)'!B97</f>
        <v>Défalcation retrait du passage en 2ème sur les 1ères lignes (ATTENTION négatif)</v>
      </c>
      <c r="C215" s="1189" t="str">
        <f>'TRAD-Adults YEAR(1)'!B100</f>
        <v>Défalcation sans SS</v>
      </c>
      <c r="D215" s="1203" t="str">
        <f>IF('Data &amp; hypothesis Adults'!$G$124="X", SUMIF(D181:D198, "X", $AF181:$AF198)*$I$6*'Data &amp; hypothesis Adults'!$G$126*D177, "0")</f>
        <v>0</v>
      </c>
      <c r="E215" s="1203" t="str">
        <f>IF('Data &amp; hypothesis Adults'!$G$124="X", SUMIF(E181:E198, "X", $AF181:$AF198)*$I$6*'Data &amp; hypothesis Adults'!$G$126*E177, "0")</f>
        <v>0</v>
      </c>
      <c r="F215" s="1203" t="str">
        <f>IF('Data &amp; hypothesis Adults'!$G$124="X", SUMIF(F181:F198, "X", $AF181:$AF198)*$I$6*'Data &amp; hypothesis Adults'!$G$126*F177, "0")</f>
        <v>0</v>
      </c>
      <c r="G215" s="1203" t="str">
        <f>IF('Data &amp; hypothesis Adults'!$G$124="X", SUMIF(G181:G198, "X", $AF181:$AF198)*$I$6*'Data &amp; hypothesis Adults'!$G$126*G177, "0")</f>
        <v>0</v>
      </c>
      <c r="H215" s="1203" t="str">
        <f>IF('Data &amp; hypothesis Adults'!$G$124="X", SUMIF(H181:H198, "X", $AF181:$AF198)*$I$6*'Data &amp; hypothesis Adults'!$G$126*H177, "0")</f>
        <v>0</v>
      </c>
      <c r="I215" s="1203" t="str">
        <f>IF('Data &amp; hypothesis Adults'!$G$124="X", SUMIF(I181:I198, "X", $AF181:$AF198)*$I$6*'Data &amp; hypothesis Adults'!$G$126*I177, "0")</f>
        <v>0</v>
      </c>
      <c r="J215" s="1203" t="str">
        <f>IF('Data &amp; hypothesis Adults'!$G$124="X", SUMIF(J181:J198, "X", $AF181:$AF198)*$I$6*'Data &amp; hypothesis Adults'!$G$126*J177, "0")</f>
        <v>0</v>
      </c>
      <c r="K215" s="1203" t="str">
        <f>IF('Data &amp; hypothesis Adults'!$G$124="X", SUMIF(K181:K198, "X", $AF181:$AF198)*$I$6*'Data &amp; hypothesis Adults'!$G$126*K177, "0")</f>
        <v>0</v>
      </c>
      <c r="L215" s="1203" t="str">
        <f>IF('Data &amp; hypothesis Adults'!$G$124="X", SUMIF(L181:L198, "X", $AF181:$AF198)*$I$6*'Data &amp; hypothesis Adults'!$G$126*L177, "0")</f>
        <v>0</v>
      </c>
      <c r="M215" s="1203" t="str">
        <f>IF('Data &amp; hypothesis Adults'!$G$124="X", SUMIF(M181:M198, "X", $AF181:$AF198)*$I$6*'Data &amp; hypothesis Adults'!$G$126*M177, "0")</f>
        <v>0</v>
      </c>
      <c r="N215" s="1203" t="str">
        <f>IF('Data &amp; hypothesis Adults'!$G$124="X", SUMIF(N181:N198, "X", $AF181:$AF198)*$I$6*'Data &amp; hypothesis Adults'!$G$126*N177, "0")</f>
        <v>0</v>
      </c>
      <c r="O215" s="1203" t="str">
        <f>IF('Data &amp; hypothesis Adults'!$G$124="X", SUMIF(O181:O198, "X", $AF181:$AF198)*$I$6*'Data &amp; hypothesis Adults'!$G$126*O177, "0")</f>
        <v>0</v>
      </c>
      <c r="P215" s="1203" t="str">
        <f>IF('Data &amp; hypothesis Adults'!$G$124="X", SUMIF(P181:P198, "X", $AF181:$AF198)*$I$6*'Data &amp; hypothesis Adults'!$G$126*P177, "0")</f>
        <v>0</v>
      </c>
      <c r="Q215" s="1203" t="str">
        <f>IF('Data &amp; hypothesis Adults'!$G$124="X", SUMIF(Q181:Q198, "X", $AF181:$AF198)*$I$6*'Data &amp; hypothesis Adults'!$G$126*Q177, "0")</f>
        <v>0</v>
      </c>
      <c r="R215" s="1203" t="str">
        <f>IF('Data &amp; hypothesis Adults'!$G$124="X", SUMIF(R181:R198, "X", $AF181:$AF198)*$I$6*'Data &amp; hypothesis Adults'!$G$126*R177, "0")</f>
        <v>0</v>
      </c>
      <c r="S215" s="1203" t="str">
        <f>IF('Data &amp; hypothesis Adults'!$G$124="X", SUMIF(S181:S198, "X", $AF181:$AF198)*$I$6*'Data &amp; hypothesis Adults'!$G$126*S177, "0")</f>
        <v>0</v>
      </c>
      <c r="T215" s="1203" t="str">
        <f>IF('Data &amp; hypothesis Adults'!$G$124="X", SUMIF(T181:T198, "X", $AF181:$AF198)*$I$6*'Data &amp; hypothesis Adults'!$G$126*T177, "0")</f>
        <v>0</v>
      </c>
      <c r="U215" s="1203" t="str">
        <f>IF('Data &amp; hypothesis Adults'!$G$124="X", SUMIF(U181:U198, "X", $AF181:$AF198)*$I$6*'Data &amp; hypothesis Adults'!$G$126*U177, "0")</f>
        <v>0</v>
      </c>
      <c r="V215" s="1203" t="str">
        <f>IF('Data &amp; hypothesis Adults'!$G$124="X", SUMIF(V181:V198, "X", $AF181:$AF198)*$I$6*'Data &amp; hypothesis Adults'!$G$126*V177, "0")</f>
        <v>0</v>
      </c>
      <c r="W215" s="1203" t="str">
        <f>IF('Data &amp; hypothesis Adults'!$G$124="X", SUMIF(W181:W198, "X", $AF181:$AF198)*$I$6*'Data &amp; hypothesis Adults'!$G$126*W177, "0")</f>
        <v>0</v>
      </c>
      <c r="X215" s="1203" t="str">
        <f>IF('Data &amp; hypothesis Adults'!$G$124="X", SUMIF(X181:X198, "X", $AF181:$AF198)*$I$6*'Data &amp; hypothesis Adults'!$G$126*X177, "0")</f>
        <v>0</v>
      </c>
      <c r="Y215" s="1203" t="str">
        <f>IF('Data &amp; hypothesis Adults'!$G$124="X", SUMIF(Y181:Y198, "X", $AF181:$AF198)*$I$6*'Data &amp; hypothesis Adults'!$G$126*Y177, "0")</f>
        <v>0</v>
      </c>
      <c r="Z215" s="1203" t="str">
        <f>IF('Data &amp; hypothesis Adults'!$G$124="X", SUMIF(Z181:Z198, "X", $AF181:$AF198)*$I$6*'Data &amp; hypothesis Adults'!$G$126*Z177, "0")</f>
        <v>0</v>
      </c>
      <c r="AA215" s="1203" t="str">
        <f>IF('Data &amp; hypothesis Adults'!$G$124="X", SUMIF(AA181:AA198, "X", $AF181:$AF198)*$I$6*'Data &amp; hypothesis Adults'!$G$126*AA177, "0")</f>
        <v>0</v>
      </c>
      <c r="AB215" s="1204" t="str">
        <f>IF('Data &amp; hypothesis Adults'!$G$124="X", SUMIF(AB181:AB198, "X", $AF181:$AF198)*$I$6*'Data &amp; hypothesis Adults'!$G$126*AB177, "0")</f>
        <v>0</v>
      </c>
      <c r="AC215" s="1186"/>
      <c r="AD215" s="1172"/>
    </row>
    <row r="216" spans="2:30" ht="26.25" thickBot="1" x14ac:dyDescent="0.3">
      <c r="B216" s="1202"/>
      <c r="C216" s="1189" t="str">
        <f>'TRAD-Adults YEAR(1)'!B101</f>
        <v>Défalcation avec SS</v>
      </c>
      <c r="D216" s="1207" t="str">
        <f>IF('Data &amp; hypothesis Adults'!$G$124="X", SUMIF(D181:D198, "X", $AF181:$AF198)*$I$7*'Data &amp; hypothesis Adults'!$G$126*D177, "0")</f>
        <v>0</v>
      </c>
      <c r="E216" s="1207" t="str">
        <f>IF('Data &amp; hypothesis Adults'!$G$124="X", SUMIF(E181:E198, "X", $AF181:$AF198)*$I$7*'Data &amp; hypothesis Adults'!$G$126*E177, "0")</f>
        <v>0</v>
      </c>
      <c r="F216" s="1207" t="str">
        <f>IF('Data &amp; hypothesis Adults'!$G$124="X", SUMIF(F181:F198, "X", $AF181:$AF198)*$I$7*'Data &amp; hypothesis Adults'!$G$126*F177, "0")</f>
        <v>0</v>
      </c>
      <c r="G216" s="1207" t="str">
        <f>IF('Data &amp; hypothesis Adults'!$G$124="X", SUMIF(G181:G198, "X", $AF181:$AF198)*$I$7*'Data &amp; hypothesis Adults'!$G$126*G177, "0")</f>
        <v>0</v>
      </c>
      <c r="H216" s="1207" t="str">
        <f>IF('Data &amp; hypothesis Adults'!$G$124="X", SUMIF(H181:H198, "X", $AF181:$AF198)*$I$7*'Data &amp; hypothesis Adults'!$G$126*H177, "0")</f>
        <v>0</v>
      </c>
      <c r="I216" s="1207" t="str">
        <f>IF('Data &amp; hypothesis Adults'!$G$124="X", SUMIF(I181:I198, "X", $AF181:$AF198)*$I$7*'Data &amp; hypothesis Adults'!$G$126*I177, "0")</f>
        <v>0</v>
      </c>
      <c r="J216" s="1207" t="str">
        <f>IF('Data &amp; hypothesis Adults'!$G$124="X", SUMIF(J181:J198, "X", $AF181:$AF198)*$I$7*'Data &amp; hypothesis Adults'!$G$126*J177, "0")</f>
        <v>0</v>
      </c>
      <c r="K216" s="1207" t="str">
        <f>IF('Data &amp; hypothesis Adults'!$G$124="X", SUMIF(K181:K198, "X", $AF181:$AF198)*$I$7*'Data &amp; hypothesis Adults'!$G$126*K177, "0")</f>
        <v>0</v>
      </c>
      <c r="L216" s="1207" t="str">
        <f>IF('Data &amp; hypothesis Adults'!$G$124="X", SUMIF(L181:L198, "X", $AF181:$AF198)*$I$7*'Data &amp; hypothesis Adults'!$G$126*L177, "0")</f>
        <v>0</v>
      </c>
      <c r="M216" s="1207" t="str">
        <f>IF('Data &amp; hypothesis Adults'!$G$124="X", SUMIF(M181:M198, "X", $AF181:$AF198)*$I$7*'Data &amp; hypothesis Adults'!$G$126*M177, "0")</f>
        <v>0</v>
      </c>
      <c r="N216" s="1207" t="str">
        <f>IF('Data &amp; hypothesis Adults'!$G$124="X", SUMIF(N181:N198, "X", $AF181:$AF198)*$I$7*'Data &amp; hypothesis Adults'!$G$126*N177, "0")</f>
        <v>0</v>
      </c>
      <c r="O216" s="1207" t="str">
        <f>IF('Data &amp; hypothesis Adults'!$G$124="X", SUMIF(O181:O198, "X", $AF181:$AF198)*$I$7*'Data &amp; hypothesis Adults'!$G$126*O177, "0")</f>
        <v>0</v>
      </c>
      <c r="P216" s="1207" t="str">
        <f>IF('Data &amp; hypothesis Adults'!$G$124="X", SUMIF(P181:P198, "X", $AF181:$AF198)*$I$7*'Data &amp; hypothesis Adults'!$G$126*P177, "0")</f>
        <v>0</v>
      </c>
      <c r="Q216" s="1207" t="str">
        <f>IF('Data &amp; hypothesis Adults'!$G$124="X", SUMIF(Q181:Q198, "X", $AF181:$AF198)*$I$7*'Data &amp; hypothesis Adults'!$G$126*Q177, "0")</f>
        <v>0</v>
      </c>
      <c r="R216" s="1207" t="str">
        <f>IF('Data &amp; hypothesis Adults'!$G$124="X", SUMIF(R181:R198, "X", $AF181:$AF198)*$I$7*'Data &amp; hypothesis Adults'!$G$126*R177, "0")</f>
        <v>0</v>
      </c>
      <c r="S216" s="1207" t="str">
        <f>IF('Data &amp; hypothesis Adults'!$G$124="X", SUMIF(S181:S198, "X", $AF181:$AF198)*$I$7*'Data &amp; hypothesis Adults'!$G$126*S177, "0")</f>
        <v>0</v>
      </c>
      <c r="T216" s="1207" t="str">
        <f>IF('Data &amp; hypothesis Adults'!$G$124="X", SUMIF(T181:T198, "X", $AF181:$AF198)*$I$7*'Data &amp; hypothesis Adults'!$G$126*T177, "0")</f>
        <v>0</v>
      </c>
      <c r="U216" s="1207" t="str">
        <f>IF('Data &amp; hypothesis Adults'!$G$124="X", SUMIF(U181:U198, "X", $AF181:$AF198)*$I$7*'Data &amp; hypothesis Adults'!$G$126*U177, "0")</f>
        <v>0</v>
      </c>
      <c r="V216" s="1207" t="str">
        <f>IF('Data &amp; hypothesis Adults'!$G$124="X", SUMIF(V181:V198, "X", $AF181:$AF198)*$I$7*'Data &amp; hypothesis Adults'!$G$126*V177, "0")</f>
        <v>0</v>
      </c>
      <c r="W216" s="1207" t="str">
        <f>IF('Data &amp; hypothesis Adults'!$G$124="X", SUMIF(W181:W198, "X", $AF181:$AF198)*$I$7*'Data &amp; hypothesis Adults'!$G$126*W177, "0")</f>
        <v>0</v>
      </c>
      <c r="X216" s="1207" t="str">
        <f>IF('Data &amp; hypothesis Adults'!$G$124="X", SUMIF(X181:X198, "X", $AF181:$AF198)*$I$7*'Data &amp; hypothesis Adults'!$G$126*X177, "0")</f>
        <v>0</v>
      </c>
      <c r="Y216" s="1207" t="str">
        <f>IF('Data &amp; hypothesis Adults'!$G$124="X", SUMIF(Y181:Y198, "X", $AF181:$AF198)*$I$7*'Data &amp; hypothesis Adults'!$G$126*Y177, "0")</f>
        <v>0</v>
      </c>
      <c r="Z216" s="1207" t="str">
        <f>IF('Data &amp; hypothesis Adults'!$G$124="X", SUMIF(Z181:Z198, "X", $AF181:$AF198)*$I$7*'Data &amp; hypothesis Adults'!$G$126*Z177, "0")</f>
        <v>0</v>
      </c>
      <c r="AA216" s="1207" t="str">
        <f>IF('Data &amp; hypothesis Adults'!$G$124="X", SUMIF(AA181:AA198, "X", $AF181:$AF198)*$I$7*'Data &amp; hypothesis Adults'!$G$126*AA177, "0")</f>
        <v>0</v>
      </c>
      <c r="AB216" s="1208" t="str">
        <f>IF('Data &amp; hypothesis Adults'!$G$124="X", SUMIF(AB181:AB198, "X", $AF181:$AF198)*$I$7*'Data &amp; hypothesis Adults'!$G$126*AB177, "0")</f>
        <v>0</v>
      </c>
      <c r="AC216" s="1186"/>
      <c r="AD216" s="1172"/>
    </row>
    <row r="217" spans="2:30" ht="26.25" thickBot="1" x14ac:dyDescent="0.3">
      <c r="B217" s="1170" t="s">
        <v>6</v>
      </c>
      <c r="C217" s="1189" t="str">
        <f>'TRAD-Adults YEAR(1)'!B102</f>
        <v>Besoins totaux hors SS</v>
      </c>
      <c r="D217" s="1191">
        <f>D201+D206+D211+D213-D215</f>
        <v>0</v>
      </c>
      <c r="E217" s="1191">
        <f t="shared" ref="E217:AB218" si="98">E201+E206+E211+E213-E215</f>
        <v>0</v>
      </c>
      <c r="F217" s="1191">
        <f t="shared" ref="F217" si="99">F201+F206+F211+F213-F215</f>
        <v>0</v>
      </c>
      <c r="G217" s="1191">
        <f t="shared" si="98"/>
        <v>0</v>
      </c>
      <c r="H217" s="1191">
        <f t="shared" ref="H217" si="100">H201+H206+H211+H213-H215</f>
        <v>0</v>
      </c>
      <c r="I217" s="1191">
        <f t="shared" si="98"/>
        <v>0</v>
      </c>
      <c r="J217" s="1191">
        <f t="shared" si="98"/>
        <v>0</v>
      </c>
      <c r="K217" s="1191">
        <f t="shared" si="98"/>
        <v>0</v>
      </c>
      <c r="L217" s="1191" t="e">
        <f t="shared" si="98"/>
        <v>#DIV/0!</v>
      </c>
      <c r="M217" s="1191">
        <f t="shared" si="98"/>
        <v>0</v>
      </c>
      <c r="N217" s="1191">
        <f t="shared" si="98"/>
        <v>0</v>
      </c>
      <c r="O217" s="1191">
        <f t="shared" si="98"/>
        <v>0</v>
      </c>
      <c r="P217" s="1191" t="e">
        <f t="shared" si="98"/>
        <v>#DIV/0!</v>
      </c>
      <c r="Q217" s="1191" t="e">
        <f t="shared" si="98"/>
        <v>#DIV/0!</v>
      </c>
      <c r="R217" s="1191" t="e">
        <f t="shared" si="98"/>
        <v>#DIV/0!</v>
      </c>
      <c r="S217" s="1191" t="e">
        <f t="shared" si="98"/>
        <v>#DIV/0!</v>
      </c>
      <c r="T217" s="1191" t="e">
        <f t="shared" si="98"/>
        <v>#DIV/0!</v>
      </c>
      <c r="U217" s="1191" t="e">
        <f t="shared" si="98"/>
        <v>#DIV/0!</v>
      </c>
      <c r="V217" s="1191" t="e">
        <f t="shared" si="98"/>
        <v>#DIV/0!</v>
      </c>
      <c r="W217" s="1191" t="e">
        <f t="shared" si="98"/>
        <v>#DIV/0!</v>
      </c>
      <c r="X217" s="1191" t="e">
        <f t="shared" si="98"/>
        <v>#DIV/0!</v>
      </c>
      <c r="Y217" s="1191" t="e">
        <f t="shared" si="98"/>
        <v>#DIV/0!</v>
      </c>
      <c r="Z217" s="1191" t="e">
        <f t="shared" si="98"/>
        <v>#DIV/0!</v>
      </c>
      <c r="AA217" s="1191" t="e">
        <f t="shared" si="98"/>
        <v>#DIV/0!</v>
      </c>
      <c r="AB217" s="1191" t="e">
        <f t="shared" si="98"/>
        <v>#DIV/0!</v>
      </c>
      <c r="AC217" s="1172"/>
      <c r="AD217" s="1172"/>
    </row>
    <row r="218" spans="2:30" ht="26.25" thickBot="1" x14ac:dyDescent="0.25">
      <c r="B218"/>
      <c r="C218" s="1189" t="str">
        <f>'TRAD-Adults YEAR(1)'!B103</f>
        <v>Besoins totaux avec SS</v>
      </c>
      <c r="D218" s="1191">
        <f>D202+D207+D212+D214-D216</f>
        <v>29465.556573579644</v>
      </c>
      <c r="E218" s="1180">
        <f t="shared" si="98"/>
        <v>214.59983497139058</v>
      </c>
      <c r="F218" s="1180">
        <f t="shared" ref="F218" si="101">F202+F207+F212+F214-F216</f>
        <v>0</v>
      </c>
      <c r="G218" s="1180">
        <f t="shared" si="98"/>
        <v>5702.7692186021313</v>
      </c>
      <c r="H218" s="1180">
        <f t="shared" ref="H218" si="102">H202+H207+H212+H214-H216</f>
        <v>186.78761328043666</v>
      </c>
      <c r="I218" s="1180">
        <f t="shared" si="98"/>
        <v>0</v>
      </c>
      <c r="J218" s="1180">
        <f t="shared" si="98"/>
        <v>0</v>
      </c>
      <c r="K218" s="1180">
        <f t="shared" si="98"/>
        <v>16404.701593988793</v>
      </c>
      <c r="L218" s="1180" t="e">
        <f t="shared" si="98"/>
        <v>#DIV/0!</v>
      </c>
      <c r="M218" s="1180">
        <f t="shared" si="98"/>
        <v>3922.709315633283</v>
      </c>
      <c r="N218" s="1180">
        <f t="shared" si="98"/>
        <v>0</v>
      </c>
      <c r="O218" s="1180">
        <f t="shared" si="98"/>
        <v>0</v>
      </c>
      <c r="P218" s="1180" t="e">
        <f t="shared" si="98"/>
        <v>#DIV/0!</v>
      </c>
      <c r="Q218" s="1180" t="e">
        <f t="shared" si="98"/>
        <v>#DIV/0!</v>
      </c>
      <c r="R218" s="1180" t="e">
        <f t="shared" si="98"/>
        <v>#DIV/0!</v>
      </c>
      <c r="S218" s="1180" t="e">
        <f t="shared" si="98"/>
        <v>#DIV/0!</v>
      </c>
      <c r="T218" s="1180" t="e">
        <f t="shared" si="98"/>
        <v>#DIV/0!</v>
      </c>
      <c r="U218" s="1180" t="e">
        <f t="shared" si="98"/>
        <v>#DIV/0!</v>
      </c>
      <c r="V218" s="1180" t="e">
        <f t="shared" si="98"/>
        <v>#DIV/0!</v>
      </c>
      <c r="W218" s="1180" t="e">
        <f t="shared" si="98"/>
        <v>#DIV/0!</v>
      </c>
      <c r="X218" s="1180" t="e">
        <f t="shared" si="98"/>
        <v>#DIV/0!</v>
      </c>
      <c r="Y218" s="1180" t="e">
        <f t="shared" si="98"/>
        <v>#DIV/0!</v>
      </c>
      <c r="Z218" s="1180" t="e">
        <f t="shared" si="98"/>
        <v>#DIV/0!</v>
      </c>
      <c r="AA218" s="1180" t="e">
        <f t="shared" si="98"/>
        <v>#DIV/0!</v>
      </c>
      <c r="AB218" s="1180" t="e">
        <f t="shared" si="98"/>
        <v>#DIV/0!</v>
      </c>
      <c r="AC218" s="1172"/>
      <c r="AD218" s="1172"/>
    </row>
    <row r="219" spans="2:30" ht="38.25" x14ac:dyDescent="0.2">
      <c r="B219"/>
      <c r="C219" s="1189" t="str">
        <f>'TRAD-Adults YEAR(1)'!B104</f>
        <v>Quantités nécessaire sur le SS</v>
      </c>
      <c r="D219" s="1181">
        <f>D218-D217</f>
        <v>29465.556573579644</v>
      </c>
      <c r="E219" s="1181">
        <f t="shared" ref="E219:AB219" si="103">E218-E217</f>
        <v>214.59983497139058</v>
      </c>
      <c r="F219" s="1181">
        <f t="shared" ref="F219" si="104">F218-F217</f>
        <v>0</v>
      </c>
      <c r="G219" s="1181">
        <f t="shared" si="103"/>
        <v>5702.7692186021313</v>
      </c>
      <c r="H219" s="1181">
        <f t="shared" ref="H219" si="105">H218-H217</f>
        <v>186.78761328043666</v>
      </c>
      <c r="I219" s="1181">
        <f t="shared" si="103"/>
        <v>0</v>
      </c>
      <c r="J219" s="1181">
        <f t="shared" si="103"/>
        <v>0</v>
      </c>
      <c r="K219" s="1181">
        <f t="shared" si="103"/>
        <v>16404.701593988793</v>
      </c>
      <c r="L219" s="1181" t="e">
        <f t="shared" si="103"/>
        <v>#DIV/0!</v>
      </c>
      <c r="M219" s="1181">
        <f t="shared" si="103"/>
        <v>3922.709315633283</v>
      </c>
      <c r="N219" s="1181">
        <f t="shared" si="103"/>
        <v>0</v>
      </c>
      <c r="O219" s="1181">
        <f t="shared" si="103"/>
        <v>0</v>
      </c>
      <c r="P219" s="1181" t="e">
        <f t="shared" si="103"/>
        <v>#DIV/0!</v>
      </c>
      <c r="Q219" s="1181" t="e">
        <f t="shared" si="103"/>
        <v>#DIV/0!</v>
      </c>
      <c r="R219" s="1181" t="e">
        <f t="shared" si="103"/>
        <v>#DIV/0!</v>
      </c>
      <c r="S219" s="1181" t="e">
        <f t="shared" si="103"/>
        <v>#DIV/0!</v>
      </c>
      <c r="T219" s="1181" t="e">
        <f t="shared" si="103"/>
        <v>#DIV/0!</v>
      </c>
      <c r="U219" s="1181" t="e">
        <f t="shared" si="103"/>
        <v>#DIV/0!</v>
      </c>
      <c r="V219" s="1181" t="e">
        <f t="shared" si="103"/>
        <v>#DIV/0!</v>
      </c>
      <c r="W219" s="1181" t="e">
        <f t="shared" si="103"/>
        <v>#DIV/0!</v>
      </c>
      <c r="X219" s="1181" t="e">
        <f t="shared" si="103"/>
        <v>#DIV/0!</v>
      </c>
      <c r="Y219" s="1181" t="e">
        <f t="shared" si="103"/>
        <v>#DIV/0!</v>
      </c>
      <c r="Z219" s="1181" t="e">
        <f t="shared" si="103"/>
        <v>#DIV/0!</v>
      </c>
      <c r="AA219" s="1181" t="e">
        <f t="shared" si="103"/>
        <v>#DIV/0!</v>
      </c>
      <c r="AB219" s="1181" t="e">
        <f t="shared" si="103"/>
        <v>#DIV/0!</v>
      </c>
      <c r="AC219" s="1172"/>
      <c r="AD219" s="1172"/>
    </row>
    <row r="220" spans="2:30" x14ac:dyDescent="0.2">
      <c r="B220"/>
      <c r="C220" s="1248"/>
      <c r="D220" s="1249"/>
      <c r="E220" s="1249"/>
      <c r="F220" s="1249"/>
      <c r="G220" s="1249"/>
      <c r="H220" s="1249"/>
      <c r="I220" s="1249"/>
      <c r="J220" s="1249"/>
      <c r="K220" s="1249"/>
      <c r="L220" s="1249"/>
      <c r="M220" s="1249"/>
      <c r="N220" s="1249"/>
      <c r="O220" s="1249"/>
      <c r="P220" s="1249"/>
      <c r="Q220" s="1249"/>
      <c r="R220" s="1249"/>
      <c r="S220" s="1249"/>
      <c r="T220" s="1249"/>
      <c r="U220" s="1249"/>
      <c r="V220" s="1249"/>
      <c r="W220" s="1249"/>
      <c r="X220" s="1249"/>
      <c r="Y220" s="1249"/>
      <c r="Z220" s="1249"/>
      <c r="AA220" s="1249"/>
      <c r="AB220" s="1249"/>
      <c r="AC220" s="497"/>
      <c r="AD220" s="497"/>
    </row>
    <row r="222" spans="2:30" ht="15" x14ac:dyDescent="0.2">
      <c r="B222" s="2143" t="str">
        <f>'TRAD-Adults YEAR(1)'!B105</f>
        <v>Synthèse</v>
      </c>
      <c r="C222" s="2143"/>
      <c r="D222" s="2143"/>
      <c r="E222" s="2143"/>
      <c r="F222" s="2143"/>
      <c r="G222" s="1158"/>
      <c r="H222" s="1158"/>
      <c r="I222" s="1158"/>
      <c r="J222" s="1158"/>
      <c r="K222" s="1158"/>
      <c r="L222" s="2143"/>
      <c r="M222" s="2143"/>
      <c r="N222" s="1158"/>
    </row>
    <row r="223" spans="2:30" ht="13.5" thickBot="1" x14ac:dyDescent="0.25"/>
    <row r="224" spans="2:30" ht="13.5" thickBot="1" x14ac:dyDescent="0.25">
      <c r="I224" s="803"/>
      <c r="J224" s="2141" t="str">
        <f>'TRAD-Adults YEAR(1)'!B113</f>
        <v>Calculs SANS marge de sécurité</v>
      </c>
      <c r="K224" s="2142"/>
      <c r="L224" s="2142"/>
      <c r="M224" s="2142"/>
      <c r="N224" s="2142"/>
      <c r="O224" s="2142"/>
      <c r="P224" s="2141" t="str">
        <f>'TRAD-Adults YEAR(1)'!B121</f>
        <v>Calculs AVEC marge de sécurité</v>
      </c>
      <c r="Q224" s="2142"/>
      <c r="R224" s="2142"/>
      <c r="S224" s="2142"/>
      <c r="T224" s="2142"/>
      <c r="U224" s="2142"/>
      <c r="V224" s="2155" t="str">
        <f>'TRAD-Adults YEAR(1)'!B124</f>
        <v>MARGE</v>
      </c>
      <c r="W224" s="2156"/>
    </row>
    <row r="225" spans="2:23" ht="77.25" thickBot="1" x14ac:dyDescent="0.25">
      <c r="B225" s="294"/>
      <c r="C225" s="295" t="str">
        <f>'TRAD-Adults YEAR(1)'!B106</f>
        <v>Composition</v>
      </c>
      <c r="D225" s="296" t="str">
        <f>'TRAD-Adults YEAR(1)'!B107</f>
        <v>Nom du médicament</v>
      </c>
      <c r="E225" s="296" t="str">
        <f>'TRAD-Adults YEAR(1)'!B108</f>
        <v>Forme galénique</v>
      </c>
      <c r="F225" s="296" t="str">
        <f>'TRAD-Adults YEAR(1)'!B109</f>
        <v>Dosage</v>
      </c>
      <c r="G225" s="296" t="str">
        <f>'TRAD-Adults YEAR(1)'!B110</f>
        <v>Nb d'unités de prise / boite</v>
      </c>
      <c r="H225" s="296" t="str">
        <f>'TRAD-Adults YEAR(1)'!B111</f>
        <v>Nb de prise / mois / patient</v>
      </c>
      <c r="I225" s="297" t="str">
        <f>'TRAD-Adults YEAR(1)'!B112</f>
        <v>Nb de boite / mois / patient</v>
      </c>
      <c r="J225" s="438" t="str">
        <f>'TRAD-Adults YEAR(1)'!B114</f>
        <v>Qtés de boites pour les patients présents en début de période</v>
      </c>
      <c r="K225" s="300" t="str">
        <f>'TRAD-Adults YEAR(1)'!B115</f>
        <v>Qtés de boites pour les Initiations</v>
      </c>
      <c r="L225" s="300" t="str">
        <f>'TRAD-Adults YEAR(1)'!B116</f>
        <v>Qtés de boites pour initiation NVP</v>
      </c>
      <c r="M225" s="299" t="str">
        <f>'TRAD-Adults YEAR(1)'!B117</f>
        <v>Passage en 2ème ligne Entrées</v>
      </c>
      <c r="N225" s="299" t="str">
        <f>'TRAD-Adults YEAR(1)'!B118</f>
        <v>Passage en 2ème ligne - Défalcation 1ère ligne [1]</v>
      </c>
      <c r="O225" s="805" t="str">
        <f>'TRAD-Adults YEAR(1)'!B119</f>
        <v>TOTAL (nb de boites)</v>
      </c>
      <c r="P225" s="438" t="str">
        <f>'TRAD-Adults YEAR(1)'!B114</f>
        <v>Qtés de boites pour les patients présents en début de période</v>
      </c>
      <c r="Q225" s="300" t="str">
        <f>'TRAD-Adults YEAR(1)'!B115</f>
        <v>Qtés de boites pour les Initiations</v>
      </c>
      <c r="R225" s="300" t="str">
        <f>'TRAD-Adults YEAR(1)'!B116</f>
        <v>Qtés de boites pour initiation NVP</v>
      </c>
      <c r="S225" s="299" t="str">
        <f>'TRAD-Adults YEAR(1)'!B117</f>
        <v>Passage en 2ème ligne Entrées</v>
      </c>
      <c r="T225" s="299" t="str">
        <f>'TRAD-Adults YEAR(1)'!B118</f>
        <v>Passage en 2ème ligne - Défalcation 1ère ligne [1]</v>
      </c>
      <c r="U225" s="805" t="str">
        <f>'TRAD-Adults YEAR(1)'!B122</f>
        <v>TOTAL + Marge période définie (nb de boites)</v>
      </c>
      <c r="V225" s="806" t="str">
        <f>'TRAD-Adults YEAR(1)'!B123</f>
        <v>Marge période définie (nb de boites)</v>
      </c>
      <c r="W225" s="837" t="str">
        <f>'TRAD-Adults YEAR(1)'!B131</f>
        <v>Différence de marge / année précédente</v>
      </c>
    </row>
    <row r="226" spans="2:23" x14ac:dyDescent="0.2">
      <c r="B226" s="807" t="s">
        <v>75</v>
      </c>
      <c r="C226" s="305" t="s">
        <v>7</v>
      </c>
      <c r="D226" s="305" t="s">
        <v>76</v>
      </c>
      <c r="E226" s="305" t="s">
        <v>521</v>
      </c>
      <c r="F226" s="1242" t="str">
        <f>'Data &amp; hypothesis Adults'!G228</f>
        <v>300/150/200 mg</v>
      </c>
      <c r="G226" s="1236">
        <f>'Data &amp; hypothesis Adults'!H228</f>
        <v>60</v>
      </c>
      <c r="H226" s="1236">
        <f>'Data &amp; hypothesis Adults'!J228</f>
        <v>60</v>
      </c>
      <c r="I226" s="1211">
        <f>'Data &amp; hypothesis Adults'!K228</f>
        <v>1</v>
      </c>
      <c r="J226" s="809">
        <f t="array" ref="J226:J250">TRANSPOSE($D201:$AB201)</f>
        <v>0</v>
      </c>
      <c r="K226" s="809">
        <f t="array" ref="K226:K250">TRANSPOSE($D206:$AB206)</f>
        <v>0</v>
      </c>
      <c r="L226" s="809">
        <f t="array" ref="L226:L250">TRANSPOSE($D213:$AB213)</f>
        <v>0</v>
      </c>
      <c r="M226" s="809">
        <f t="array" ref="M226:M250">TRANSPOSE($D211:$AB211)</f>
        <v>0</v>
      </c>
      <c r="N226" s="809" t="str">
        <f t="array" ref="N226:N250">TRANSPOSE($D215:$AB215)</f>
        <v>0</v>
      </c>
      <c r="O226" s="810">
        <f>ROUNDUP(SUM(J226:M226)-N226, 0)</f>
        <v>0</v>
      </c>
      <c r="P226" s="809">
        <f t="array" ref="P226:P250">TRANSPOSE($D202:$AB202)</f>
        <v>29450.106573579644</v>
      </c>
      <c r="Q226" s="809">
        <f t="array" ref="Q226:Q250">TRANSPOSE($D207:$AB207)</f>
        <v>0</v>
      </c>
      <c r="R226" s="809">
        <f t="array" ref="R226:R250">TRANSPOSE($D214:$AB214)</f>
        <v>15.450000000000001</v>
      </c>
      <c r="S226" s="809">
        <f t="array" ref="S226:S250">TRANSPOSE($D212:$AB212)</f>
        <v>0</v>
      </c>
      <c r="T226" s="809" t="str">
        <f t="array" ref="T226:T250">TRANSPOSE($D216:$AB216)</f>
        <v>0</v>
      </c>
      <c r="U226" s="810">
        <f>ROUNDUP(SUM(P226:S226)-T226, 0)</f>
        <v>29466</v>
      </c>
      <c r="V226" s="811">
        <f t="shared" ref="V226:V250" si="106">IF((U226-O226)&gt;0, (U226-O226), "0")</f>
        <v>29466</v>
      </c>
      <c r="W226" s="810" t="str">
        <f>IF((V226-'Adults YEAR4'!V226)&gt;0, (V226-'Adults YEAR4'!V226), "0")</f>
        <v>0</v>
      </c>
    </row>
    <row r="227" spans="2:23" x14ac:dyDescent="0.2">
      <c r="B227" s="812"/>
      <c r="C227" s="314" t="s">
        <v>140</v>
      </c>
      <c r="D227" s="314"/>
      <c r="E227" s="314" t="s">
        <v>521</v>
      </c>
      <c r="F227" s="1243" t="str">
        <f>'Data &amp; hypothesis Adults'!G229</f>
        <v>300/150/300 mg</v>
      </c>
      <c r="G227" s="1237">
        <f>'Data &amp; hypothesis Adults'!H229</f>
        <v>60</v>
      </c>
      <c r="H227" s="1237">
        <f>'Data &amp; hypothesis Adults'!J229</f>
        <v>60</v>
      </c>
      <c r="I227" s="1212">
        <f>'Data &amp; hypothesis Adults'!K229</f>
        <v>1</v>
      </c>
      <c r="J227" s="814">
        <v>0</v>
      </c>
      <c r="K227" s="814">
        <v>0</v>
      </c>
      <c r="L227" s="814">
        <v>0</v>
      </c>
      <c r="M227" s="814">
        <v>0</v>
      </c>
      <c r="N227" s="814" t="str">
        <v>0</v>
      </c>
      <c r="O227" s="815">
        <f t="shared" ref="O227:O250" si="107">ROUNDUP(SUM(J227:M227)-N227, 0)</f>
        <v>0</v>
      </c>
      <c r="P227" s="814">
        <v>214.59983497139058</v>
      </c>
      <c r="Q227" s="814">
        <v>0</v>
      </c>
      <c r="R227" s="814">
        <v>0</v>
      </c>
      <c r="S227" s="814">
        <v>0</v>
      </c>
      <c r="T227" s="814" t="str">
        <v>0</v>
      </c>
      <c r="U227" s="815">
        <f t="shared" ref="U227:U250" si="108">ROUNDUP(SUM(P227:S227)-T227, 0)</f>
        <v>215</v>
      </c>
      <c r="V227" s="825">
        <f t="shared" ref="V227:V230" si="109">IF((U227-O227)&gt;0, (U227-O227), "0")</f>
        <v>215</v>
      </c>
      <c r="W227" s="824" t="str">
        <f>IF((V227-'Adults YEAR4'!V227)&gt;0, (V227-'Adults YEAR4'!V227), "0")</f>
        <v>0</v>
      </c>
    </row>
    <row r="228" spans="2:23" x14ac:dyDescent="0.2">
      <c r="B228" s="812"/>
      <c r="C228" s="314" t="s">
        <v>731</v>
      </c>
      <c r="D228" s="314"/>
      <c r="E228" s="314" t="s">
        <v>729</v>
      </c>
      <c r="F228" s="1243" t="str">
        <f>'Data &amp; hypothesis Adults'!G230</f>
        <v>[300/150]/600 mg</v>
      </c>
      <c r="G228" s="1237">
        <f>'Data &amp; hypothesis Adults'!H230</f>
        <v>60</v>
      </c>
      <c r="H228" s="1237">
        <f>'Data &amp; hypothesis Adults'!J230</f>
        <v>60</v>
      </c>
      <c r="I228" s="1212">
        <f>'Data &amp; hypothesis Adults'!K230</f>
        <v>1</v>
      </c>
      <c r="J228" s="814">
        <v>0</v>
      </c>
      <c r="K228" s="814">
        <v>0</v>
      </c>
      <c r="L228" s="814">
        <v>0</v>
      </c>
      <c r="M228" s="814">
        <v>0</v>
      </c>
      <c r="N228" s="814" t="str">
        <v>0</v>
      </c>
      <c r="O228" s="824">
        <f t="shared" si="107"/>
        <v>0</v>
      </c>
      <c r="P228" s="814">
        <v>0</v>
      </c>
      <c r="Q228" s="814">
        <v>0</v>
      </c>
      <c r="R228" s="814">
        <v>0</v>
      </c>
      <c r="S228" s="814">
        <v>0</v>
      </c>
      <c r="T228" s="814" t="str">
        <v>0</v>
      </c>
      <c r="U228" s="824">
        <f t="shared" si="108"/>
        <v>0</v>
      </c>
      <c r="V228" s="825" t="str">
        <f t="shared" si="109"/>
        <v>0</v>
      </c>
      <c r="W228" s="824" t="str">
        <f>IF((V228-'Adults YEAR4'!V228)&gt;0, (V228-'Adults YEAR4'!V228), "0")</f>
        <v>0</v>
      </c>
    </row>
    <row r="229" spans="2:23" x14ac:dyDescent="0.2">
      <c r="B229" s="817"/>
      <c r="C229" s="323" t="s">
        <v>11</v>
      </c>
      <c r="D229" s="323" t="s">
        <v>78</v>
      </c>
      <c r="E229" s="323" t="s">
        <v>521</v>
      </c>
      <c r="F229" s="1244" t="str">
        <f>'Data &amp; hypothesis Adults'!G231</f>
        <v>300/150 mg</v>
      </c>
      <c r="G229" s="1238">
        <f>'Data &amp; hypothesis Adults'!H231</f>
        <v>60</v>
      </c>
      <c r="H229" s="1238">
        <f>'Data &amp; hypothesis Adults'!J231</f>
        <v>60</v>
      </c>
      <c r="I229" s="1213">
        <f>'Data &amp; hypothesis Adults'!K231</f>
        <v>1</v>
      </c>
      <c r="J229" s="819">
        <v>0</v>
      </c>
      <c r="K229" s="819">
        <v>0</v>
      </c>
      <c r="L229" s="819">
        <v>0</v>
      </c>
      <c r="M229" s="819">
        <v>0</v>
      </c>
      <c r="N229" s="819" t="str">
        <v>0</v>
      </c>
      <c r="O229" s="824">
        <f t="shared" si="107"/>
        <v>0</v>
      </c>
      <c r="P229" s="819">
        <v>5687.3192186021315</v>
      </c>
      <c r="Q229" s="819">
        <v>0</v>
      </c>
      <c r="R229" s="819">
        <v>15.450000000000001</v>
      </c>
      <c r="S229" s="819">
        <v>0</v>
      </c>
      <c r="T229" s="819" t="str">
        <v>0</v>
      </c>
      <c r="U229" s="824">
        <f t="shared" si="108"/>
        <v>5703</v>
      </c>
      <c r="V229" s="825">
        <f t="shared" si="109"/>
        <v>5703</v>
      </c>
      <c r="W229" s="824" t="str">
        <f>IF((V229-'Adults YEAR4'!V229)&gt;0, (V229-'Adults YEAR4'!V229), "0")</f>
        <v>0</v>
      </c>
    </row>
    <row r="230" spans="2:23" x14ac:dyDescent="0.2">
      <c r="B230" s="817"/>
      <c r="C230" s="822" t="s">
        <v>586</v>
      </c>
      <c r="D230" s="822"/>
      <c r="E230" s="822" t="s">
        <v>521</v>
      </c>
      <c r="F230" s="1244" t="str">
        <f>'Data &amp; hypothesis Adults'!G232</f>
        <v>600/300 mg</v>
      </c>
      <c r="G230" s="1238">
        <f>'Data &amp; hypothesis Adults'!H232</f>
        <v>30</v>
      </c>
      <c r="H230" s="1238">
        <f>'Data &amp; hypothesis Adults'!J232</f>
        <v>30</v>
      </c>
      <c r="I230" s="1213">
        <f>'Data &amp; hypothesis Adults'!K232</f>
        <v>1</v>
      </c>
      <c r="J230" s="823">
        <v>0</v>
      </c>
      <c r="K230" s="823">
        <v>0</v>
      </c>
      <c r="L230" s="823">
        <v>0</v>
      </c>
      <c r="M230" s="823">
        <v>0</v>
      </c>
      <c r="N230" s="823" t="str">
        <v>0</v>
      </c>
      <c r="O230" s="824">
        <f t="shared" si="107"/>
        <v>0</v>
      </c>
      <c r="P230" s="823">
        <v>186.78761328043666</v>
      </c>
      <c r="Q230" s="823">
        <v>0</v>
      </c>
      <c r="R230" s="823">
        <v>0</v>
      </c>
      <c r="S230" s="823">
        <v>0</v>
      </c>
      <c r="T230" s="823" t="str">
        <v>0</v>
      </c>
      <c r="U230" s="824">
        <f t="shared" si="108"/>
        <v>187</v>
      </c>
      <c r="V230" s="825">
        <f t="shared" si="109"/>
        <v>187</v>
      </c>
      <c r="W230" s="824" t="str">
        <f>IF((V230-'Adults YEAR4'!V230)&gt;0, (V230-'Adults YEAR4'!V230), "0")</f>
        <v>0</v>
      </c>
    </row>
    <row r="231" spans="2:23" x14ac:dyDescent="0.2">
      <c r="B231" s="817"/>
      <c r="C231" s="822" t="s">
        <v>50</v>
      </c>
      <c r="D231" s="822" t="s">
        <v>79</v>
      </c>
      <c r="E231" s="822" t="s">
        <v>521</v>
      </c>
      <c r="F231" s="1245" t="str">
        <f>'Data &amp; hypothesis Adults'!G233</f>
        <v>30/150/200 mg</v>
      </c>
      <c r="G231" s="1239">
        <f>'Data &amp; hypothesis Adults'!H233</f>
        <v>60</v>
      </c>
      <c r="H231" s="1239">
        <f>'Data &amp; hypothesis Adults'!J233</f>
        <v>60</v>
      </c>
      <c r="I231" s="1214">
        <f>'Data &amp; hypothesis Adults'!K233</f>
        <v>1</v>
      </c>
      <c r="J231" s="823">
        <v>0</v>
      </c>
      <c r="K231" s="823">
        <v>0</v>
      </c>
      <c r="L231" s="823">
        <v>0</v>
      </c>
      <c r="M231" s="823">
        <v>0</v>
      </c>
      <c r="N231" s="823" t="str">
        <v>0</v>
      </c>
      <c r="O231" s="824">
        <f t="shared" si="107"/>
        <v>0</v>
      </c>
      <c r="P231" s="823">
        <v>0</v>
      </c>
      <c r="Q231" s="823">
        <v>0</v>
      </c>
      <c r="R231" s="823">
        <v>0</v>
      </c>
      <c r="S231" s="823">
        <v>0</v>
      </c>
      <c r="T231" s="823" t="str">
        <v>0</v>
      </c>
      <c r="U231" s="824">
        <f t="shared" si="108"/>
        <v>0</v>
      </c>
      <c r="V231" s="825" t="str">
        <f t="shared" si="106"/>
        <v>0</v>
      </c>
      <c r="W231" s="824" t="str">
        <f>IF((V231-'Adults YEAR4'!V231)&gt;0, (V231-'Adults YEAR4'!V231), "0")</f>
        <v>0</v>
      </c>
    </row>
    <row r="232" spans="2:23" x14ac:dyDescent="0.2">
      <c r="B232" s="817"/>
      <c r="C232" s="822" t="s">
        <v>81</v>
      </c>
      <c r="D232" s="822" t="s">
        <v>82</v>
      </c>
      <c r="E232" s="822" t="s">
        <v>521</v>
      </c>
      <c r="F232" s="1245" t="str">
        <f>'Data &amp; hypothesis Adults'!G234</f>
        <v>30/150 mg</v>
      </c>
      <c r="G232" s="1239">
        <f>'Data &amp; hypothesis Adults'!H234</f>
        <v>60</v>
      </c>
      <c r="H232" s="1239">
        <f>'Data &amp; hypothesis Adults'!J234</f>
        <v>60</v>
      </c>
      <c r="I232" s="1214">
        <f>'Data &amp; hypothesis Adults'!K234</f>
        <v>1</v>
      </c>
      <c r="J232" s="823">
        <v>0</v>
      </c>
      <c r="K232" s="823">
        <v>0</v>
      </c>
      <c r="L232" s="823">
        <v>0</v>
      </c>
      <c r="M232" s="823">
        <v>0</v>
      </c>
      <c r="N232" s="823" t="str">
        <v>0</v>
      </c>
      <c r="O232" s="824">
        <f t="shared" si="107"/>
        <v>0</v>
      </c>
      <c r="P232" s="823">
        <v>0</v>
      </c>
      <c r="Q232" s="823">
        <v>0</v>
      </c>
      <c r="R232" s="823">
        <v>0</v>
      </c>
      <c r="S232" s="823">
        <v>0</v>
      </c>
      <c r="T232" s="823" t="str">
        <v>0</v>
      </c>
      <c r="U232" s="824">
        <f t="shared" si="108"/>
        <v>0</v>
      </c>
      <c r="V232" s="825" t="str">
        <f t="shared" si="106"/>
        <v>0</v>
      </c>
      <c r="W232" s="824" t="str">
        <f>IF((V232-'Adults YEAR4'!V232)&gt;0, (V232-'Adults YEAR4'!V232), "0")</f>
        <v>0</v>
      </c>
    </row>
    <row r="233" spans="2:23" x14ac:dyDescent="0.2">
      <c r="B233" s="817"/>
      <c r="C233" s="323" t="s">
        <v>348</v>
      </c>
      <c r="D233" s="323"/>
      <c r="E233" s="323" t="s">
        <v>521</v>
      </c>
      <c r="F233" s="1244" t="str">
        <f>'Data &amp; hypothesis Adults'!G235</f>
        <v>300/200/600 mg</v>
      </c>
      <c r="G233" s="1238">
        <f>'Data &amp; hypothesis Adults'!H235</f>
        <v>30</v>
      </c>
      <c r="H233" s="1238">
        <f>'Data &amp; hypothesis Adults'!J235</f>
        <v>30</v>
      </c>
      <c r="I233" s="1213">
        <f>'Data &amp; hypothesis Adults'!K235</f>
        <v>1</v>
      </c>
      <c r="J233" s="818">
        <v>0</v>
      </c>
      <c r="K233" s="818">
        <v>0</v>
      </c>
      <c r="L233" s="818">
        <v>0</v>
      </c>
      <c r="M233" s="818">
        <v>0</v>
      </c>
      <c r="N233" s="818" t="str">
        <v>0</v>
      </c>
      <c r="O233" s="820">
        <f t="shared" si="107"/>
        <v>0</v>
      </c>
      <c r="P233" s="818">
        <v>16404.701593988793</v>
      </c>
      <c r="Q233" s="818">
        <v>0</v>
      </c>
      <c r="R233" s="818">
        <v>0</v>
      </c>
      <c r="S233" s="818">
        <v>0</v>
      </c>
      <c r="T233" s="818" t="str">
        <v>0</v>
      </c>
      <c r="U233" s="820">
        <f t="shared" si="108"/>
        <v>16405</v>
      </c>
      <c r="V233" s="821">
        <f t="shared" si="106"/>
        <v>16405</v>
      </c>
      <c r="W233" s="820" t="str">
        <f>IF((V233-'Adults YEAR4'!V233)&gt;0, (V233-'Adults YEAR4'!V233), "0")</f>
        <v>0</v>
      </c>
    </row>
    <row r="234" spans="2:23" x14ac:dyDescent="0.2">
      <c r="B234" s="826"/>
      <c r="C234" s="332" t="s">
        <v>349</v>
      </c>
      <c r="D234" s="332"/>
      <c r="E234" s="332" t="s">
        <v>521</v>
      </c>
      <c r="F234" s="1246" t="str">
        <f>'Data &amp; hypothesis Adults'!G236</f>
        <v>300/200 mg</v>
      </c>
      <c r="G234" s="1240">
        <f>'Data &amp; hypothesis Adults'!H236</f>
        <v>30</v>
      </c>
      <c r="H234" s="1240">
        <f>'Data &amp; hypothesis Adults'!J236</f>
        <v>30</v>
      </c>
      <c r="I234" s="1215">
        <f>'Data &amp; hypothesis Adults'!K236</f>
        <v>1</v>
      </c>
      <c r="J234" s="828">
        <v>0</v>
      </c>
      <c r="K234" s="828" t="e">
        <v>#DIV/0!</v>
      </c>
      <c r="L234" s="828">
        <v>0</v>
      </c>
      <c r="M234" s="828" t="e">
        <v>#DIV/0!</v>
      </c>
      <c r="N234" s="828" t="str">
        <v>0</v>
      </c>
      <c r="O234" s="829" t="e">
        <f t="shared" si="107"/>
        <v>#DIV/0!</v>
      </c>
      <c r="P234" s="828">
        <v>6444.6014001945341</v>
      </c>
      <c r="Q234" s="828" t="e">
        <v>#DIV/0!</v>
      </c>
      <c r="R234" s="828">
        <v>0</v>
      </c>
      <c r="S234" s="828" t="e">
        <v>#DIV/0!</v>
      </c>
      <c r="T234" s="828" t="str">
        <v>0</v>
      </c>
      <c r="U234" s="829" t="e">
        <f t="shared" si="108"/>
        <v>#DIV/0!</v>
      </c>
      <c r="V234" s="830" t="e">
        <f t="shared" si="106"/>
        <v>#DIV/0!</v>
      </c>
      <c r="W234" s="829" t="e">
        <f>IF((V234-'Adults YEAR4'!V234)&gt;0, (V234-'Adults YEAR4'!V234), "0")</f>
        <v>#DIV/0!</v>
      </c>
    </row>
    <row r="235" spans="2:23" x14ac:dyDescent="0.2">
      <c r="B235" s="812" t="s">
        <v>84</v>
      </c>
      <c r="C235" s="305" t="s">
        <v>17</v>
      </c>
      <c r="D235" s="305"/>
      <c r="E235" s="305" t="s">
        <v>521</v>
      </c>
      <c r="F235" s="1242" t="str">
        <f>'Data &amp; hypothesis Adults'!G237</f>
        <v>600 mg</v>
      </c>
      <c r="G235" s="1236">
        <f>'Data &amp; hypothesis Adults'!H237</f>
        <v>30</v>
      </c>
      <c r="H235" s="1236">
        <f>'Data &amp; hypothesis Adults'!J237</f>
        <v>30</v>
      </c>
      <c r="I235" s="1211">
        <f>'Data &amp; hypothesis Adults'!K237</f>
        <v>1</v>
      </c>
      <c r="J235" s="809">
        <v>0</v>
      </c>
      <c r="K235" s="809">
        <v>0</v>
      </c>
      <c r="L235" s="809">
        <v>0</v>
      </c>
      <c r="M235" s="809">
        <v>0</v>
      </c>
      <c r="N235" s="809" t="str">
        <v>0</v>
      </c>
      <c r="O235" s="810">
        <f t="shared" si="107"/>
        <v>0</v>
      </c>
      <c r="P235" s="809">
        <v>3922.709315633283</v>
      </c>
      <c r="Q235" s="809">
        <v>0</v>
      </c>
      <c r="R235" s="809">
        <v>0</v>
      </c>
      <c r="S235" s="809">
        <v>0</v>
      </c>
      <c r="T235" s="809" t="str">
        <v>0</v>
      </c>
      <c r="U235" s="810">
        <f t="shared" si="108"/>
        <v>3923</v>
      </c>
      <c r="V235" s="811">
        <f t="shared" si="106"/>
        <v>3923</v>
      </c>
      <c r="W235" s="810" t="str">
        <f>IF((V235-'Adults YEAR4'!V235)&gt;0, (V235-'Adults YEAR4'!V235), "0")</f>
        <v>0</v>
      </c>
    </row>
    <row r="236" spans="2:23" x14ac:dyDescent="0.2">
      <c r="B236" s="826"/>
      <c r="C236" s="332" t="s">
        <v>19</v>
      </c>
      <c r="D236" s="332"/>
      <c r="E236" s="332" t="s">
        <v>521</v>
      </c>
      <c r="F236" s="1246" t="str">
        <f>'Data &amp; hypothesis Adults'!G238</f>
        <v>200 mg</v>
      </c>
      <c r="G236" s="1240">
        <f>'Data &amp; hypothesis Adults'!H238</f>
        <v>60</v>
      </c>
      <c r="H236" s="1240">
        <f>'Data &amp; hypothesis Adults'!J238</f>
        <v>60</v>
      </c>
      <c r="I236" s="1215">
        <f>'Data &amp; hypothesis Adults'!K238</f>
        <v>1</v>
      </c>
      <c r="J236" s="828">
        <v>0</v>
      </c>
      <c r="K236" s="828">
        <v>0</v>
      </c>
      <c r="L236" s="828">
        <v>0</v>
      </c>
      <c r="M236" s="828">
        <v>0</v>
      </c>
      <c r="N236" s="828" t="str">
        <v>0</v>
      </c>
      <c r="O236" s="829">
        <f t="shared" si="107"/>
        <v>0</v>
      </c>
      <c r="P236" s="828">
        <v>0</v>
      </c>
      <c r="Q236" s="828">
        <v>0</v>
      </c>
      <c r="R236" s="828">
        <v>0</v>
      </c>
      <c r="S236" s="828">
        <v>0</v>
      </c>
      <c r="T236" s="828" t="str">
        <v>0</v>
      </c>
      <c r="U236" s="829">
        <f t="shared" si="108"/>
        <v>0</v>
      </c>
      <c r="V236" s="830" t="str">
        <f t="shared" si="106"/>
        <v>0</v>
      </c>
      <c r="W236" s="829" t="str">
        <f>IF((V236-'Adults YEAR4'!V236)&gt;0, (V236-'Adults YEAR4'!V236), "0")</f>
        <v>0</v>
      </c>
    </row>
    <row r="237" spans="2:23" x14ac:dyDescent="0.2">
      <c r="B237" s="812" t="s">
        <v>85</v>
      </c>
      <c r="C237" s="305" t="s">
        <v>39</v>
      </c>
      <c r="D237" s="305"/>
      <c r="E237" s="305" t="s">
        <v>521</v>
      </c>
      <c r="F237" s="1242" t="str">
        <f>'Data &amp; hypothesis Adults'!G239</f>
        <v>300 mg</v>
      </c>
      <c r="G237" s="1236">
        <f>'Data &amp; hypothesis Adults'!H239</f>
        <v>60</v>
      </c>
      <c r="H237" s="1236">
        <f>'Data &amp; hypothesis Adults'!J239</f>
        <v>60</v>
      </c>
      <c r="I237" s="1211">
        <f>'Data &amp; hypothesis Adults'!K239</f>
        <v>1</v>
      </c>
      <c r="J237" s="808">
        <v>0</v>
      </c>
      <c r="K237" s="808">
        <v>0</v>
      </c>
      <c r="L237" s="808">
        <v>0</v>
      </c>
      <c r="M237" s="808">
        <v>0</v>
      </c>
      <c r="N237" s="808" t="str">
        <v>0</v>
      </c>
      <c r="O237" s="810">
        <f t="shared" si="107"/>
        <v>0</v>
      </c>
      <c r="P237" s="808">
        <v>0</v>
      </c>
      <c r="Q237" s="808">
        <v>0</v>
      </c>
      <c r="R237" s="808">
        <v>0</v>
      </c>
      <c r="S237" s="808">
        <v>0</v>
      </c>
      <c r="T237" s="808" t="str">
        <v>0</v>
      </c>
      <c r="U237" s="810">
        <f t="shared" si="108"/>
        <v>0</v>
      </c>
      <c r="V237" s="811" t="str">
        <f t="shared" si="106"/>
        <v>0</v>
      </c>
      <c r="W237" s="810" t="str">
        <f>IF((V237-'Adults YEAR4'!V237)&gt;0, (V237-'Adults YEAR4'!V237), "0")</f>
        <v>0</v>
      </c>
    </row>
    <row r="238" spans="2:23" x14ac:dyDescent="0.2">
      <c r="B238" s="812"/>
      <c r="C238" s="314" t="s">
        <v>350</v>
      </c>
      <c r="D238" s="314"/>
      <c r="E238" s="314" t="s">
        <v>521</v>
      </c>
      <c r="F238" s="1243" t="str">
        <f>'Data &amp; hypothesis Adults'!G240</f>
        <v>150 mg</v>
      </c>
      <c r="G238" s="1237">
        <f>'Data &amp; hypothesis Adults'!H240</f>
        <v>60</v>
      </c>
      <c r="H238" s="1237">
        <f>'Data &amp; hypothesis Adults'!J240</f>
        <v>60</v>
      </c>
      <c r="I238" s="1212">
        <f>'Data &amp; hypothesis Adults'!K240</f>
        <v>1</v>
      </c>
      <c r="J238" s="813">
        <v>0</v>
      </c>
      <c r="K238" s="813" t="e">
        <v>#DIV/0!</v>
      </c>
      <c r="L238" s="813">
        <v>0</v>
      </c>
      <c r="M238" s="813" t="e">
        <v>#DIV/0!</v>
      </c>
      <c r="N238" s="813" t="str">
        <v>0</v>
      </c>
      <c r="O238" s="815" t="e">
        <f t="shared" si="107"/>
        <v>#DIV/0!</v>
      </c>
      <c r="P238" s="813">
        <v>0</v>
      </c>
      <c r="Q238" s="813" t="e">
        <v>#DIV/0!</v>
      </c>
      <c r="R238" s="813">
        <v>0</v>
      </c>
      <c r="S238" s="813" t="e">
        <v>#DIV/0!</v>
      </c>
      <c r="T238" s="813" t="str">
        <v>0</v>
      </c>
      <c r="U238" s="815" t="e">
        <f t="shared" si="108"/>
        <v>#DIV/0!</v>
      </c>
      <c r="V238" s="816" t="e">
        <f t="shared" si="106"/>
        <v>#DIV/0!</v>
      </c>
      <c r="W238" s="815" t="e">
        <f>IF((V238-'Adults YEAR4'!V238)&gt;0, (V238-'Adults YEAR4'!V238), "0")</f>
        <v>#DIV/0!</v>
      </c>
    </row>
    <row r="239" spans="2:23" x14ac:dyDescent="0.2">
      <c r="B239" s="812"/>
      <c r="C239" s="314" t="s">
        <v>25</v>
      </c>
      <c r="D239" s="314"/>
      <c r="E239" s="314" t="s">
        <v>521</v>
      </c>
      <c r="F239" s="1243" t="str">
        <f>'Data &amp; hypothesis Adults'!G241</f>
        <v>300 mg</v>
      </c>
      <c r="G239" s="1237">
        <f>'Data &amp; hypothesis Adults'!H241</f>
        <v>60</v>
      </c>
      <c r="H239" s="1237">
        <f>'Data &amp; hypothesis Adults'!J241</f>
        <v>60</v>
      </c>
      <c r="I239" s="1212">
        <f>'Data &amp; hypothesis Adults'!K241</f>
        <v>1</v>
      </c>
      <c r="J239" s="813">
        <v>0</v>
      </c>
      <c r="K239" s="813" t="e">
        <v>#DIV/0!</v>
      </c>
      <c r="L239" s="813">
        <v>0</v>
      </c>
      <c r="M239" s="813" t="e">
        <v>#DIV/0!</v>
      </c>
      <c r="N239" s="813" t="str">
        <v>0</v>
      </c>
      <c r="O239" s="815" t="e">
        <f t="shared" si="107"/>
        <v>#DIV/0!</v>
      </c>
      <c r="P239" s="813">
        <v>0</v>
      </c>
      <c r="Q239" s="813" t="e">
        <v>#DIV/0!</v>
      </c>
      <c r="R239" s="813">
        <v>0</v>
      </c>
      <c r="S239" s="813" t="e">
        <v>#DIV/0!</v>
      </c>
      <c r="T239" s="813" t="str">
        <v>0</v>
      </c>
      <c r="U239" s="815" t="e">
        <f t="shared" si="108"/>
        <v>#DIV/0!</v>
      </c>
      <c r="V239" s="816" t="e">
        <f t="shared" si="106"/>
        <v>#DIV/0!</v>
      </c>
      <c r="W239" s="815" t="e">
        <f>IF((V239-'Adults YEAR4'!V239)&gt;0, (V239-'Adults YEAR4'!V239), "0")</f>
        <v>#DIV/0!</v>
      </c>
    </row>
    <row r="240" spans="2:23" x14ac:dyDescent="0.2">
      <c r="B240" s="817"/>
      <c r="C240" s="323" t="s">
        <v>341</v>
      </c>
      <c r="D240" s="323"/>
      <c r="E240" s="323" t="s">
        <v>86</v>
      </c>
      <c r="F240" s="1244" t="str">
        <f>'Data &amp; hypothesis Adults'!G242</f>
        <v>250 mg</v>
      </c>
      <c r="G240" s="1238">
        <f>'Data &amp; hypothesis Adults'!H242</f>
        <v>30</v>
      </c>
      <c r="H240" s="1238">
        <f>'Data &amp; hypothesis Adults'!J242</f>
        <v>30</v>
      </c>
      <c r="I240" s="1213">
        <f>'Data &amp; hypothesis Adults'!K242</f>
        <v>1</v>
      </c>
      <c r="J240" s="818">
        <v>0</v>
      </c>
      <c r="K240" s="818" t="e">
        <v>#DIV/0!</v>
      </c>
      <c r="L240" s="818">
        <v>0</v>
      </c>
      <c r="M240" s="818" t="e">
        <v>#DIV/0!</v>
      </c>
      <c r="N240" s="818" t="str">
        <v>0</v>
      </c>
      <c r="O240" s="820" t="e">
        <f t="shared" si="107"/>
        <v>#DIV/0!</v>
      </c>
      <c r="P240" s="818">
        <v>0</v>
      </c>
      <c r="Q240" s="818" t="e">
        <v>#DIV/0!</v>
      </c>
      <c r="R240" s="818">
        <v>0</v>
      </c>
      <c r="S240" s="818" t="e">
        <v>#DIV/0!</v>
      </c>
      <c r="T240" s="818" t="str">
        <v>0</v>
      </c>
      <c r="U240" s="820" t="e">
        <f t="shared" si="108"/>
        <v>#DIV/0!</v>
      </c>
      <c r="V240" s="821" t="e">
        <f t="shared" si="106"/>
        <v>#DIV/0!</v>
      </c>
      <c r="W240" s="820" t="e">
        <f>IF((V240-'Adults YEAR4'!V240)&gt;0, (V240-'Adults YEAR4'!V240), "0")</f>
        <v>#DIV/0!</v>
      </c>
    </row>
    <row r="241" spans="2:23" x14ac:dyDescent="0.2">
      <c r="B241" s="817"/>
      <c r="C241" s="323" t="s">
        <v>341</v>
      </c>
      <c r="D241" s="323"/>
      <c r="E241" s="323" t="s">
        <v>86</v>
      </c>
      <c r="F241" s="1244" t="str">
        <f>'Data &amp; hypothesis Adults'!G243</f>
        <v>400 mg</v>
      </c>
      <c r="G241" s="1238">
        <f>'Data &amp; hypothesis Adults'!H243</f>
        <v>30</v>
      </c>
      <c r="H241" s="1238">
        <f>'Data &amp; hypothesis Adults'!J243</f>
        <v>30</v>
      </c>
      <c r="I241" s="1213">
        <f>'Data &amp; hypothesis Adults'!K243</f>
        <v>1</v>
      </c>
      <c r="J241" s="818">
        <v>0</v>
      </c>
      <c r="K241" s="818" t="e">
        <v>#DIV/0!</v>
      </c>
      <c r="L241" s="818">
        <v>0</v>
      </c>
      <c r="M241" s="818" t="e">
        <v>#DIV/0!</v>
      </c>
      <c r="N241" s="818" t="str">
        <v>0</v>
      </c>
      <c r="O241" s="820" t="e">
        <f t="shared" si="107"/>
        <v>#DIV/0!</v>
      </c>
      <c r="P241" s="818">
        <v>0</v>
      </c>
      <c r="Q241" s="818" t="e">
        <v>#DIV/0!</v>
      </c>
      <c r="R241" s="818">
        <v>0</v>
      </c>
      <c r="S241" s="818" t="e">
        <v>#DIV/0!</v>
      </c>
      <c r="T241" s="818" t="str">
        <v>0</v>
      </c>
      <c r="U241" s="820" t="e">
        <f t="shared" si="108"/>
        <v>#DIV/0!</v>
      </c>
      <c r="V241" s="821" t="e">
        <f t="shared" si="106"/>
        <v>#DIV/0!</v>
      </c>
      <c r="W241" s="820" t="e">
        <f>IF((V241-'Adults YEAR4'!V241)&gt;0, (V241-'Adults YEAR4'!V241), "0")</f>
        <v>#DIV/0!</v>
      </c>
    </row>
    <row r="242" spans="2:23" x14ac:dyDescent="0.2">
      <c r="B242" s="826"/>
      <c r="C242" s="332" t="s">
        <v>22</v>
      </c>
      <c r="D242" s="332"/>
      <c r="E242" s="332" t="s">
        <v>521</v>
      </c>
      <c r="F242" s="1246" t="str">
        <f>'Data &amp; hypothesis Adults'!G244</f>
        <v>300 mg</v>
      </c>
      <c r="G242" s="1240">
        <f>'Data &amp; hypothesis Adults'!H244</f>
        <v>30</v>
      </c>
      <c r="H242" s="1240">
        <f>'Data &amp; hypothesis Adults'!J244</f>
        <v>30</v>
      </c>
      <c r="I242" s="1215">
        <f>'Data &amp; hypothesis Adults'!K244</f>
        <v>1</v>
      </c>
      <c r="J242" s="828">
        <v>0</v>
      </c>
      <c r="K242" s="828" t="e">
        <v>#DIV/0!</v>
      </c>
      <c r="L242" s="828">
        <v>0</v>
      </c>
      <c r="M242" s="828" t="e">
        <v>#DIV/0!</v>
      </c>
      <c r="N242" s="828" t="str">
        <v>0</v>
      </c>
      <c r="O242" s="829" t="e">
        <f t="shared" si="107"/>
        <v>#DIV/0!</v>
      </c>
      <c r="P242" s="828">
        <v>0</v>
      </c>
      <c r="Q242" s="828" t="e">
        <v>#DIV/0!</v>
      </c>
      <c r="R242" s="828">
        <v>0</v>
      </c>
      <c r="S242" s="828" t="e">
        <v>#DIV/0!</v>
      </c>
      <c r="T242" s="828" t="str">
        <v>0</v>
      </c>
      <c r="U242" s="829" t="e">
        <f t="shared" si="108"/>
        <v>#DIV/0!</v>
      </c>
      <c r="V242" s="830" t="e">
        <f t="shared" si="106"/>
        <v>#DIV/0!</v>
      </c>
      <c r="W242" s="829" t="e">
        <f>IF((V242-'Adults YEAR4'!V242)&gt;0, (V242-'Adults YEAR4'!V242), "0")</f>
        <v>#DIV/0!</v>
      </c>
    </row>
    <row r="243" spans="2:23" x14ac:dyDescent="0.2">
      <c r="B243" s="812" t="s">
        <v>87</v>
      </c>
      <c r="C243" s="314" t="s">
        <v>33</v>
      </c>
      <c r="D243" s="314"/>
      <c r="E243" s="314" t="s">
        <v>521</v>
      </c>
      <c r="F243" s="1243" t="str">
        <f>'Data &amp; hypothesis Adults'!G245</f>
        <v>200/50 mg</v>
      </c>
      <c r="G243" s="1237">
        <f>'Data &amp; hypothesis Adults'!H245</f>
        <v>120</v>
      </c>
      <c r="H243" s="1237">
        <f>'Data &amp; hypothesis Adults'!J245</f>
        <v>120</v>
      </c>
      <c r="I243" s="1212">
        <f>'Data &amp; hypothesis Adults'!K245</f>
        <v>1</v>
      </c>
      <c r="J243" s="813">
        <v>0</v>
      </c>
      <c r="K243" s="813">
        <v>0</v>
      </c>
      <c r="L243" s="813">
        <v>0</v>
      </c>
      <c r="M243" s="813" t="e">
        <v>#DIV/0!</v>
      </c>
      <c r="N243" s="813" t="str">
        <v>0</v>
      </c>
      <c r="O243" s="815" t="e">
        <f t="shared" si="107"/>
        <v>#DIV/0!</v>
      </c>
      <c r="P243" s="813">
        <v>8291.2893164438174</v>
      </c>
      <c r="Q243" s="813">
        <v>0</v>
      </c>
      <c r="R243" s="813">
        <v>0</v>
      </c>
      <c r="S243" s="813" t="e">
        <v>#DIV/0!</v>
      </c>
      <c r="T243" s="813" t="str">
        <v>0</v>
      </c>
      <c r="U243" s="815" t="e">
        <f t="shared" si="108"/>
        <v>#DIV/0!</v>
      </c>
      <c r="V243" s="816" t="e">
        <f t="shared" si="106"/>
        <v>#DIV/0!</v>
      </c>
      <c r="W243" s="815" t="e">
        <f>IF((V243-'Adults YEAR4'!V243)&gt;0, (V243-'Adults YEAR4'!V243), "0")</f>
        <v>#DIV/0!</v>
      </c>
    </row>
    <row r="244" spans="2:23" x14ac:dyDescent="0.2">
      <c r="B244" s="817"/>
      <c r="C244" s="314" t="s">
        <v>69</v>
      </c>
      <c r="D244" s="314"/>
      <c r="E244" s="314" t="s">
        <v>86</v>
      </c>
      <c r="F244" s="1243" t="str">
        <f>'Data &amp; hypothesis Adults'!G246</f>
        <v>400 mg</v>
      </c>
      <c r="G244" s="1237">
        <f>'Data &amp; hypothesis Adults'!H246</f>
        <v>180</v>
      </c>
      <c r="H244" s="1237">
        <f>'Data &amp; hypothesis Adults'!J246</f>
        <v>120</v>
      </c>
      <c r="I244" s="1216">
        <f>'Data &amp; hypothesis Adults'!K246</f>
        <v>0.66666666666666663</v>
      </c>
      <c r="J244" s="813">
        <v>0</v>
      </c>
      <c r="K244" s="813" t="e">
        <v>#DIV/0!</v>
      </c>
      <c r="L244" s="813">
        <v>0</v>
      </c>
      <c r="M244" s="813" t="e">
        <v>#DIV/0!</v>
      </c>
      <c r="N244" s="813" t="str">
        <v>0</v>
      </c>
      <c r="O244" s="815" t="e">
        <f t="shared" si="107"/>
        <v>#DIV/0!</v>
      </c>
      <c r="P244" s="813">
        <v>0</v>
      </c>
      <c r="Q244" s="813" t="e">
        <v>#DIV/0!</v>
      </c>
      <c r="R244" s="813">
        <v>0</v>
      </c>
      <c r="S244" s="813" t="e">
        <v>#DIV/0!</v>
      </c>
      <c r="T244" s="813" t="str">
        <v>0</v>
      </c>
      <c r="U244" s="815" t="e">
        <f t="shared" si="108"/>
        <v>#DIV/0!</v>
      </c>
      <c r="V244" s="816" t="e">
        <f t="shared" si="106"/>
        <v>#DIV/0!</v>
      </c>
      <c r="W244" s="815" t="e">
        <f>IF((V244-'Adults YEAR4'!V244)&gt;0, (V244-'Adults YEAR4'!V244), "0")</f>
        <v>#DIV/0!</v>
      </c>
    </row>
    <row r="245" spans="2:23" x14ac:dyDescent="0.2">
      <c r="B245" s="817"/>
      <c r="C245" s="323" t="s">
        <v>342</v>
      </c>
      <c r="D245" s="323"/>
      <c r="E245" s="323" t="s">
        <v>88</v>
      </c>
      <c r="F245" s="1244" t="str">
        <f>'Data &amp; hypothesis Adults'!G247</f>
        <v>100 mg</v>
      </c>
      <c r="G245" s="1238">
        <f>'Data &amp; hypothesis Adults'!H247</f>
        <v>84</v>
      </c>
      <c r="H245" s="1238">
        <f>'Data &amp; hypothesis Adults'!J247</f>
        <v>60</v>
      </c>
      <c r="I245" s="1217">
        <f>'Data &amp; hypothesis Adults'!K247</f>
        <v>0.7142857142857143</v>
      </c>
      <c r="J245" s="818">
        <v>0</v>
      </c>
      <c r="K245" s="818" t="e">
        <v>#DIV/0!</v>
      </c>
      <c r="L245" s="818">
        <v>0</v>
      </c>
      <c r="M245" s="818" t="e">
        <v>#DIV/0!</v>
      </c>
      <c r="N245" s="818" t="str">
        <v>0</v>
      </c>
      <c r="O245" s="820" t="e">
        <f t="shared" si="107"/>
        <v>#DIV/0!</v>
      </c>
      <c r="P245" s="818">
        <v>0</v>
      </c>
      <c r="Q245" s="818" t="e">
        <v>#DIV/0!</v>
      </c>
      <c r="R245" s="818">
        <v>0</v>
      </c>
      <c r="S245" s="818" t="e">
        <v>#DIV/0!</v>
      </c>
      <c r="T245" s="818" t="str">
        <v>0</v>
      </c>
      <c r="U245" s="820" t="e">
        <f t="shared" si="108"/>
        <v>#DIV/0!</v>
      </c>
      <c r="V245" s="821" t="e">
        <f t="shared" si="106"/>
        <v>#DIV/0!</v>
      </c>
      <c r="W245" s="820" t="e">
        <f>IF((V245-'Adults YEAR4'!V245)&gt;0, (V245-'Adults YEAR4'!V245), "0")</f>
        <v>#DIV/0!</v>
      </c>
    </row>
    <row r="246" spans="2:23" x14ac:dyDescent="0.2">
      <c r="B246" s="817"/>
      <c r="C246" s="323" t="s">
        <v>68</v>
      </c>
      <c r="D246" s="323"/>
      <c r="E246" s="323" t="s">
        <v>88</v>
      </c>
      <c r="F246" s="1244" t="str">
        <f>'Data &amp; hypothesis Adults'!G248</f>
        <v>500 mg</v>
      </c>
      <c r="G246" s="1238">
        <f>'Data &amp; hypothesis Adults'!H248</f>
        <v>120</v>
      </c>
      <c r="H246" s="1238">
        <f>'Data &amp; hypothesis Adults'!J248</f>
        <v>120</v>
      </c>
      <c r="I246" s="1213">
        <f>'Data &amp; hypothesis Adults'!K248</f>
        <v>1</v>
      </c>
      <c r="J246" s="818">
        <v>0</v>
      </c>
      <c r="K246" s="818" t="e">
        <v>#DIV/0!</v>
      </c>
      <c r="L246" s="818">
        <v>0</v>
      </c>
      <c r="M246" s="818" t="e">
        <v>#DIV/0!</v>
      </c>
      <c r="N246" s="818" t="str">
        <v>0</v>
      </c>
      <c r="O246" s="820" t="e">
        <f t="shared" si="107"/>
        <v>#DIV/0!</v>
      </c>
      <c r="P246" s="818">
        <v>0</v>
      </c>
      <c r="Q246" s="818" t="e">
        <v>#DIV/0!</v>
      </c>
      <c r="R246" s="818">
        <v>0</v>
      </c>
      <c r="S246" s="818" t="e">
        <v>#DIV/0!</v>
      </c>
      <c r="T246" s="818" t="str">
        <v>0</v>
      </c>
      <c r="U246" s="820" t="e">
        <f t="shared" si="108"/>
        <v>#DIV/0!</v>
      </c>
      <c r="V246" s="821" t="e">
        <f t="shared" si="106"/>
        <v>#DIV/0!</v>
      </c>
      <c r="W246" s="820" t="e">
        <f>IF((V246-'Adults YEAR4'!V246)&gt;0, (V246-'Adults YEAR4'!V246), "0")</f>
        <v>#DIV/0!</v>
      </c>
    </row>
    <row r="247" spans="2:23" x14ac:dyDescent="0.2">
      <c r="B247" s="817"/>
      <c r="C247" s="323" t="s">
        <v>576</v>
      </c>
      <c r="D247" s="323"/>
      <c r="E247" s="323" t="s">
        <v>599</v>
      </c>
      <c r="F247" s="1244" t="str">
        <f>'Data &amp; hypothesis Adults'!G249</f>
        <v>300/100 mg</v>
      </c>
      <c r="G247" s="1238">
        <f>'Data &amp; hypothesis Adults'!H249</f>
        <v>30</v>
      </c>
      <c r="H247" s="1238">
        <f>'Data &amp; hypothesis Adults'!J249</f>
        <v>30</v>
      </c>
      <c r="I247" s="1213">
        <f>'Data &amp; hypothesis Adults'!K249</f>
        <v>1</v>
      </c>
      <c r="J247" s="818">
        <v>0</v>
      </c>
      <c r="K247" s="818" t="e">
        <v>#DIV/0!</v>
      </c>
      <c r="L247" s="818">
        <v>0</v>
      </c>
      <c r="M247" s="818" t="e">
        <v>#DIV/0!</v>
      </c>
      <c r="N247" s="818" t="str">
        <v>0</v>
      </c>
      <c r="O247" s="820" t="e">
        <f t="shared" si="107"/>
        <v>#DIV/0!</v>
      </c>
      <c r="P247" s="818">
        <v>104.70959999999999</v>
      </c>
      <c r="Q247" s="818" t="e">
        <v>#DIV/0!</v>
      </c>
      <c r="R247" s="818">
        <v>0</v>
      </c>
      <c r="S247" s="818" t="e">
        <v>#DIV/0!</v>
      </c>
      <c r="T247" s="818" t="str">
        <v>0</v>
      </c>
      <c r="U247" s="820" t="e">
        <f t="shared" si="108"/>
        <v>#DIV/0!</v>
      </c>
      <c r="V247" s="821" t="e">
        <f t="shared" si="106"/>
        <v>#DIV/0!</v>
      </c>
      <c r="W247" s="820" t="e">
        <f>IF((V247-'Adults YEAR4'!V247)&gt;0, (V247-'Adults YEAR4'!V247), "0")</f>
        <v>#DIV/0!</v>
      </c>
    </row>
    <row r="248" spans="2:23" x14ac:dyDescent="0.2">
      <c r="B248" s="831"/>
      <c r="C248" s="332" t="s">
        <v>343</v>
      </c>
      <c r="D248" s="332"/>
      <c r="E248" s="332" t="s">
        <v>521</v>
      </c>
      <c r="F248" s="1246" t="str">
        <f>'Data &amp; hypothesis Adults'!G250</f>
        <v>600 mg</v>
      </c>
      <c r="G248" s="1240">
        <f>'Data &amp; hypothesis Adults'!H250</f>
        <v>60</v>
      </c>
      <c r="H248" s="1240">
        <f>'Data &amp; hypothesis Adults'!J250</f>
        <v>60</v>
      </c>
      <c r="I248" s="1215">
        <f>'Data &amp; hypothesis Adults'!K250</f>
        <v>1</v>
      </c>
      <c r="J248" s="827">
        <v>0</v>
      </c>
      <c r="K248" s="827" t="e">
        <v>#DIV/0!</v>
      </c>
      <c r="L248" s="827">
        <v>0</v>
      </c>
      <c r="M248" s="827" t="e">
        <v>#DIV/0!</v>
      </c>
      <c r="N248" s="827" t="str">
        <v>0</v>
      </c>
      <c r="O248" s="829" t="e">
        <f t="shared" si="107"/>
        <v>#DIV/0!</v>
      </c>
      <c r="P248" s="827">
        <v>0</v>
      </c>
      <c r="Q248" s="827" t="e">
        <v>#DIV/0!</v>
      </c>
      <c r="R248" s="827">
        <v>0</v>
      </c>
      <c r="S248" s="827" t="e">
        <v>#DIV/0!</v>
      </c>
      <c r="T248" s="827" t="str">
        <v>0</v>
      </c>
      <c r="U248" s="829" t="e">
        <f t="shared" si="108"/>
        <v>#DIV/0!</v>
      </c>
      <c r="V248" s="830" t="e">
        <f t="shared" si="106"/>
        <v>#DIV/0!</v>
      </c>
      <c r="W248" s="829" t="e">
        <f>IF((V248-'Adults YEAR4'!V248)&gt;0, (V248-'Adults YEAR4'!V248), "0")</f>
        <v>#DIV/0!</v>
      </c>
    </row>
    <row r="249" spans="2:23" x14ac:dyDescent="0.2">
      <c r="B249" s="826" t="s">
        <v>331</v>
      </c>
      <c r="C249" s="332" t="s">
        <v>329</v>
      </c>
      <c r="D249" s="332"/>
      <c r="E249" s="332" t="s">
        <v>521</v>
      </c>
      <c r="F249" s="1246" t="str">
        <f>'Data &amp; hypothesis Adults'!G251</f>
        <v>400 mg</v>
      </c>
      <c r="G249" s="1240">
        <f>'Data &amp; hypothesis Adults'!H251</f>
        <v>60</v>
      </c>
      <c r="H249" s="1240">
        <f>'Data &amp; hypothesis Adults'!J251</f>
        <v>60</v>
      </c>
      <c r="I249" s="1215">
        <f>'Data &amp; hypothesis Adults'!K251</f>
        <v>1</v>
      </c>
      <c r="J249" s="827">
        <v>0</v>
      </c>
      <c r="K249" s="827" t="e">
        <v>#DIV/0!</v>
      </c>
      <c r="L249" s="827">
        <v>0</v>
      </c>
      <c r="M249" s="827" t="e">
        <v>#DIV/0!</v>
      </c>
      <c r="N249" s="827" t="str">
        <v>0</v>
      </c>
      <c r="O249" s="829" t="e">
        <f t="shared" si="107"/>
        <v>#DIV/0!</v>
      </c>
      <c r="P249" s="827">
        <v>0</v>
      </c>
      <c r="Q249" s="827" t="e">
        <v>#DIV/0!</v>
      </c>
      <c r="R249" s="827">
        <v>0</v>
      </c>
      <c r="S249" s="827" t="e">
        <v>#DIV/0!</v>
      </c>
      <c r="T249" s="827" t="str">
        <v>0</v>
      </c>
      <c r="U249" s="829" t="e">
        <f t="shared" si="108"/>
        <v>#DIV/0!</v>
      </c>
      <c r="V249" s="830" t="e">
        <f t="shared" si="106"/>
        <v>#DIV/0!</v>
      </c>
      <c r="W249" s="829" t="e">
        <f>IF((V249-'Adults YEAR4'!V249)&gt;0, (V249-'Adults YEAR4'!V249), "0")</f>
        <v>#DIV/0!</v>
      </c>
    </row>
    <row r="250" spans="2:23" ht="13.5" thickBot="1" x14ac:dyDescent="0.25">
      <c r="B250" s="832" t="str">
        <f>'TRAD-Adults YEAR(1)'!B132</f>
        <v>NNRTI 3ème ligne</v>
      </c>
      <c r="C250" s="342" t="s">
        <v>330</v>
      </c>
      <c r="D250" s="342"/>
      <c r="E250" s="342" t="s">
        <v>521</v>
      </c>
      <c r="F250" s="1247" t="str">
        <f>'Data &amp; hypothesis Adults'!G252</f>
        <v>100 mg</v>
      </c>
      <c r="G250" s="1241">
        <f>'Data &amp; hypothesis Adults'!H252</f>
        <v>120</v>
      </c>
      <c r="H250" s="1241">
        <f>'Data &amp; hypothesis Adults'!J252</f>
        <v>120</v>
      </c>
      <c r="I250" s="1218">
        <f>'Data &amp; hypothesis Adults'!K252</f>
        <v>1</v>
      </c>
      <c r="J250" s="833">
        <v>0</v>
      </c>
      <c r="K250" s="833" t="e">
        <v>#DIV/0!</v>
      </c>
      <c r="L250" s="833">
        <v>0</v>
      </c>
      <c r="M250" s="833" t="e">
        <v>#DIV/0!</v>
      </c>
      <c r="N250" s="833" t="str">
        <v>0</v>
      </c>
      <c r="O250" s="834" t="e">
        <f t="shared" si="107"/>
        <v>#DIV/0!</v>
      </c>
      <c r="P250" s="833">
        <v>0</v>
      </c>
      <c r="Q250" s="833" t="e">
        <v>#DIV/0!</v>
      </c>
      <c r="R250" s="833">
        <v>0</v>
      </c>
      <c r="S250" s="833" t="e">
        <v>#DIV/0!</v>
      </c>
      <c r="T250" s="833" t="str">
        <v>0</v>
      </c>
      <c r="U250" s="834" t="e">
        <f t="shared" si="108"/>
        <v>#DIV/0!</v>
      </c>
      <c r="V250" s="835" t="e">
        <f t="shared" si="106"/>
        <v>#DIV/0!</v>
      </c>
      <c r="W250" s="834" t="e">
        <f>IF((V250-'Adults YEAR4'!V250)&gt;0, (V250-'Adults YEAR4'!V250), "0")</f>
        <v>#DIV/0!</v>
      </c>
    </row>
    <row r="253" spans="2:23" x14ac:dyDescent="0.2">
      <c r="B253" s="290" t="str">
        <f>'TRAD-Adults YEAR(1)'!B17</f>
        <v>Commentaire</v>
      </c>
      <c r="C253" s="291"/>
      <c r="D253" s="291"/>
      <c r="E253" s="291"/>
      <c r="F253" s="291"/>
      <c r="G253" s="291"/>
      <c r="H253" s="291"/>
      <c r="I253" s="291"/>
      <c r="J253" s="291"/>
      <c r="K253" s="291"/>
      <c r="L253" s="291"/>
    </row>
    <row r="254" spans="2:23" x14ac:dyDescent="0.2">
      <c r="B254" s="292" t="s">
        <v>240</v>
      </c>
      <c r="C254" s="293" t="str">
        <f>'TRAD-Adults YEAR(1)'!B125</f>
        <v>La défalcation sur les premières lignes se fait dans les cellules oranges selon les paramètres définis dans l'onglet Données. Elle est obtenue par le calcul suivant :</v>
      </c>
    </row>
    <row r="255" spans="2:23" ht="25.5" customHeight="1" x14ac:dyDescent="0.2">
      <c r="C255" s="2145" t="str">
        <f>'TRAD-Adults YEAR(1)'!B126</f>
        <v xml:space="preserve"> =Nb de patients mois en 2ème lignes*proportion que représente le médicament dans les schémas de premières lignes à la fin de l'année* taux de défalcation défini (onglet 'Données Adultes')*Nb de bte/mois/patient</v>
      </c>
      <c r="D255" s="2145"/>
      <c r="E255" s="2145"/>
      <c r="F255" s="2145"/>
      <c r="G255" s="2145"/>
      <c r="H255" s="2145"/>
      <c r="I255" s="2145"/>
      <c r="J255" s="2145"/>
      <c r="K255" s="2145"/>
      <c r="L255" s="2145"/>
    </row>
    <row r="256" spans="2:23" ht="12.75" customHeight="1" x14ac:dyDescent="0.2">
      <c r="B256" s="292" t="s">
        <v>337</v>
      </c>
      <c r="C256" s="2145" t="str">
        <f>'TRAD-Adults YEAR(1)'!B127</f>
        <v>ajustement posologique de la DDI selon les paramètres définis dans l'onglet 'Données… Adultes'</v>
      </c>
      <c r="D256" s="2145"/>
      <c r="E256" s="2145"/>
      <c r="F256" s="2145"/>
      <c r="G256" s="2145"/>
      <c r="H256" s="2145"/>
      <c r="I256" s="2145"/>
      <c r="J256" s="2145"/>
      <c r="K256" s="2145"/>
      <c r="L256" s="2145"/>
    </row>
    <row r="257" spans="2:12" ht="12.75" customHeight="1" x14ac:dyDescent="0.2">
      <c r="B257" s="292" t="s">
        <v>338</v>
      </c>
      <c r="C257" s="2145" t="str">
        <f>'TRAD-Adults YEAR(1)'!B128</f>
        <v>Posologies calculées comme défini dans l'onglet 1. Présentation.  Le nombre de boite / mois / patient est considéré ici pour 1 caps / jour.</v>
      </c>
      <c r="D257" s="2145"/>
      <c r="E257" s="2145"/>
      <c r="F257" s="2145"/>
      <c r="G257" s="2145"/>
      <c r="H257" s="2145"/>
      <c r="I257" s="2145"/>
      <c r="J257" s="2145"/>
      <c r="K257" s="2145"/>
      <c r="L257" s="2145"/>
    </row>
    <row r="258" spans="2:12" ht="12.75" customHeight="1" x14ac:dyDescent="0.2">
      <c r="B258" s="292" t="s">
        <v>344</v>
      </c>
      <c r="C258" s="2145" t="str">
        <f>'TRAD-Adults YEAR(1)'!B129</f>
        <v>Nous avons considéré ici la nouvelle forme galénique du DRV à 600 mg</v>
      </c>
      <c r="D258" s="2145"/>
      <c r="E258" s="2145"/>
      <c r="F258" s="2145"/>
      <c r="G258" s="2145"/>
      <c r="H258" s="2145"/>
      <c r="I258" s="2145"/>
      <c r="J258" s="2145"/>
      <c r="K258" s="2145"/>
      <c r="L258" s="2145"/>
    </row>
  </sheetData>
  <sheetProtection algorithmName="SHA-512" hashValue="APK/lrbam26S/S/EtrlLpfdWPbo2OnM19jrhgI8cHpjcy1hONUKWQs9uS9vvjuHX4n6O7pFLF/SixmYEokgwqg==" saltValue="86UnLroTjfRJ49edF6mlpA==" spinCount="100000" sheet="1" objects="1" scenarios="1" selectLockedCells="1"/>
  <mergeCells count="33">
    <mergeCell ref="V224:W224"/>
    <mergeCell ref="B83:F83"/>
    <mergeCell ref="G83:K83"/>
    <mergeCell ref="L83:M83"/>
    <mergeCell ref="B90:M90"/>
    <mergeCell ref="A106:L106"/>
    <mergeCell ref="B135:F135"/>
    <mergeCell ref="L135:M135"/>
    <mergeCell ref="P224:U224"/>
    <mergeCell ref="D138:E138"/>
    <mergeCell ref="F138:G138"/>
    <mergeCell ref="H138:I138"/>
    <mergeCell ref="B222:F222"/>
    <mergeCell ref="L222:M222"/>
    <mergeCell ref="B213:B214"/>
    <mergeCell ref="J224:O224"/>
    <mergeCell ref="A2:L2"/>
    <mergeCell ref="A34:L34"/>
    <mergeCell ref="B36:F36"/>
    <mergeCell ref="G36:K36"/>
    <mergeCell ref="L36:M36"/>
    <mergeCell ref="C256:L256"/>
    <mergeCell ref="C257:L257"/>
    <mergeCell ref="C258:L258"/>
    <mergeCell ref="B66:F66"/>
    <mergeCell ref="G66:K66"/>
    <mergeCell ref="L66:M66"/>
    <mergeCell ref="C255:L255"/>
    <mergeCell ref="B169:F169"/>
    <mergeCell ref="L169:M169"/>
    <mergeCell ref="B199:B202"/>
    <mergeCell ref="B203:B207"/>
    <mergeCell ref="B208:B212"/>
  </mergeCells>
  <conditionalFormatting sqref="D181:AB198">
    <cfRule type="cellIs" dxfId="13" priority="1" operator="equal">
      <formula>0</formula>
    </cfRule>
  </conditionalFormatting>
  <pageMargins left="0.78740157499999996" right="0.78740157499999996" top="0.984251969" bottom="0.984251969" header="0.4921259845" footer="0.4921259845"/>
  <pageSetup paperSize="9" orientation="portrait"/>
  <headerFooter alignWithMargins="0"/>
  <legacy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1">
    <tabColor rgb="FF92D050"/>
  </sheetPr>
  <dimension ref="A2:AG261"/>
  <sheetViews>
    <sheetView showGridLines="0" topLeftCell="A189" zoomScale="70" zoomScaleNormal="70" zoomScaleSheetLayoutView="100" zoomScalePageLayoutView="70" workbookViewId="0">
      <selection activeCell="B243" sqref="B243"/>
    </sheetView>
  </sheetViews>
  <sheetFormatPr baseColWidth="10" defaultColWidth="12" defaultRowHeight="12.75" x14ac:dyDescent="0.2"/>
  <cols>
    <col min="1" max="1" width="12" style="4"/>
    <col min="2" max="2" width="22.6640625" style="4" customWidth="1"/>
    <col min="3" max="3" width="28" style="4" customWidth="1"/>
    <col min="4" max="4" width="20" style="37" customWidth="1"/>
    <col min="5" max="5" width="17.6640625" style="4" customWidth="1"/>
    <col min="6" max="6" width="19.33203125" style="4" customWidth="1"/>
    <col min="7" max="7" width="17.33203125" style="4" customWidth="1"/>
    <col min="8" max="8" width="12" style="4"/>
    <col min="9" max="9" width="13.1640625" style="4" customWidth="1"/>
    <col min="10" max="10" width="13.6640625" style="4" customWidth="1"/>
    <col min="11" max="24" width="12" style="4"/>
    <col min="25" max="25" width="13.5" style="4" bestFit="1" customWidth="1"/>
    <col min="26" max="16384" width="12" style="4"/>
  </cols>
  <sheetData>
    <row r="2" spans="1:14" s="43" customFormat="1" ht="16.5" customHeight="1" thickBot="1" x14ac:dyDescent="0.25">
      <c r="A2" s="2093" t="str">
        <f>'TRAD-Data &amp; hypothesis Children'!B2</f>
        <v>Etape 2 : Hypothèses &amp; Données ENFANTS</v>
      </c>
      <c r="B2" s="2093"/>
      <c r="C2" s="2093"/>
      <c r="D2" s="2093"/>
      <c r="E2" s="2093"/>
      <c r="F2" s="2093"/>
      <c r="G2" s="2093"/>
      <c r="H2" s="2093"/>
      <c r="I2" s="2093"/>
      <c r="J2" s="2093"/>
      <c r="K2" s="2093"/>
      <c r="L2" s="2093"/>
      <c r="M2" s="2093"/>
    </row>
    <row r="3" spans="1:14" ht="16.5" customHeight="1" x14ac:dyDescent="0.2">
      <c r="D3" s="4"/>
    </row>
    <row r="4" spans="1:14" s="41" customFormat="1" ht="15" x14ac:dyDescent="0.25">
      <c r="B4" s="950" t="str">
        <f>'TRAD-Data &amp; hypothesis Children'!B3</f>
        <v>Evolution du nombre de patients Adultes sous ARV au cours de la période</v>
      </c>
      <c r="C4" s="63"/>
      <c r="D4" s="63"/>
      <c r="E4" s="63"/>
      <c r="F4" s="63"/>
      <c r="G4" s="21"/>
      <c r="H4" s="21"/>
      <c r="I4" s="21"/>
      <c r="J4" s="21"/>
      <c r="K4" s="2105"/>
      <c r="L4" s="2105"/>
      <c r="M4" s="2105"/>
    </row>
    <row r="5" spans="1:14" s="11" customFormat="1" x14ac:dyDescent="0.2"/>
    <row r="6" spans="1:14" s="11" customFormat="1" ht="13.5" thickBot="1" x14ac:dyDescent="0.25"/>
    <row r="7" spans="1:14" s="11" customFormat="1" ht="13.5" customHeight="1" thickBot="1" x14ac:dyDescent="0.25">
      <c r="C7" s="169" t="str">
        <f>'TRAD-Data &amp; hypothesis Children'!B4</f>
        <v>Année</v>
      </c>
      <c r="D7" s="2107" t="str">
        <f>'TRAD-Data &amp; hypothesis Children'!B5</f>
        <v>Enfant</v>
      </c>
      <c r="E7" s="2108"/>
      <c r="F7" s="2108"/>
      <c r="G7" s="2109"/>
      <c r="I7" s="2106"/>
      <c r="J7" s="2106"/>
    </row>
    <row r="8" spans="1:14" s="11" customFormat="1" ht="64.5" customHeight="1" thickBot="1" x14ac:dyDescent="0.25">
      <c r="B8" s="52"/>
      <c r="C8" s="53"/>
      <c r="D8" s="51" t="str">
        <f>'TRAD-Data &amp; hypothesis Children'!B6</f>
        <v>Nombre de patient en début d'année [1]</v>
      </c>
      <c r="E8" s="932" t="str">
        <f>'TRAD-Data &amp; hypothesis Children'!B7</f>
        <v>Nb d'inclusion / mois</v>
      </c>
      <c r="F8" s="933" t="str">
        <f>'TRAD-Data &amp; hypothesis Children'!B8</f>
        <v>Nb d'inclusion / période</v>
      </c>
      <c r="G8" s="51" t="str">
        <f>'TRAD-Data &amp; hypothesis Children'!B9</f>
        <v>TOTAL à la fin de l'année</v>
      </c>
      <c r="I8" s="2107" t="str">
        <f>'TRAD-Data &amp; hypothesis Children'!B10</f>
        <v>Période réelle de l'année si ajustement voulu [2]</v>
      </c>
      <c r="J8" s="2109"/>
    </row>
    <row r="9" spans="1:14" s="11" customFormat="1" ht="25.5" x14ac:dyDescent="0.2">
      <c r="B9" s="54" t="str">
        <f>'General Data'!E13</f>
        <v>Juillet 2014 - Juin 2015</v>
      </c>
      <c r="C9" s="167" t="str">
        <f>'General Data'!D13</f>
        <v>Année 1</v>
      </c>
      <c r="D9" s="919">
        <v>554</v>
      </c>
      <c r="E9" s="920">
        <v>21</v>
      </c>
      <c r="F9" s="170">
        <f>IF('General Data'!G23="NA", "0", E9*'General Data'!G23)</f>
        <v>252</v>
      </c>
      <c r="G9" s="171">
        <f>D9+F9</f>
        <v>806</v>
      </c>
      <c r="H9" s="174"/>
      <c r="I9" s="903" t="str">
        <f>IF('General Data'!$E$21="X", CONCATENATE("pour une période de ", 'General Data'!G23, " ", 'General Data'!H23), "")</f>
        <v/>
      </c>
      <c r="J9" s="904"/>
      <c r="K9" s="175"/>
    </row>
    <row r="10" spans="1:14" s="11" customFormat="1" x14ac:dyDescent="0.2">
      <c r="B10" s="54">
        <f>'General Data'!E14</f>
        <v>0</v>
      </c>
      <c r="C10" s="167" t="str">
        <f>'General Data'!D14</f>
        <v>Année 2</v>
      </c>
      <c r="D10" s="919"/>
      <c r="E10" s="920"/>
      <c r="F10" s="170" t="str">
        <f>IF('General Data'!G24="NA", "0", E10*'General Data'!G24)</f>
        <v>0</v>
      </c>
      <c r="G10" s="171">
        <f>G9+F10+D10</f>
        <v>806</v>
      </c>
      <c r="I10" s="905" t="str">
        <f>IF('General Data'!$E$21="X", CONCATENATE("pour une période de ", 'General Data'!G24, " ", 'General Data'!H24), "")</f>
        <v/>
      </c>
      <c r="J10" s="906"/>
    </row>
    <row r="11" spans="1:14" s="11" customFormat="1" x14ac:dyDescent="0.2">
      <c r="B11" s="54">
        <f>'General Data'!E15</f>
        <v>0</v>
      </c>
      <c r="C11" s="167" t="str">
        <f>'General Data'!D15</f>
        <v>Année 3</v>
      </c>
      <c r="D11" s="919"/>
      <c r="E11" s="920"/>
      <c r="F11" s="170" t="str">
        <f>IF('General Data'!G25="NA", "0", E11*'General Data'!G25)</f>
        <v>0</v>
      </c>
      <c r="G11" s="171">
        <f>G10+F11+D11</f>
        <v>806</v>
      </c>
      <c r="I11" s="905" t="str">
        <f>IF('General Data'!$E$21="X", CONCATENATE("pour une période de ", 'General Data'!G25, " ", 'General Data'!H25), "")</f>
        <v/>
      </c>
      <c r="J11" s="906"/>
    </row>
    <row r="12" spans="1:14" s="11" customFormat="1" x14ac:dyDescent="0.2">
      <c r="B12" s="54">
        <f>'General Data'!E16</f>
        <v>0</v>
      </c>
      <c r="C12" s="167" t="str">
        <f>'General Data'!D16</f>
        <v>Année 4</v>
      </c>
      <c r="D12" s="919"/>
      <c r="E12" s="920"/>
      <c r="F12" s="170" t="str">
        <f>IF('General Data'!G26="NA", "0", E12*'General Data'!G26)</f>
        <v>0</v>
      </c>
      <c r="G12" s="171">
        <f>G11+F12+D12</f>
        <v>806</v>
      </c>
      <c r="I12" s="905" t="str">
        <f>IF('General Data'!$E$21="X", CONCATENATE("pour une période de ", 'General Data'!G26, " ", 'General Data'!H26), "")</f>
        <v/>
      </c>
      <c r="J12" s="906"/>
    </row>
    <row r="13" spans="1:14" s="11" customFormat="1" ht="13.5" thickBot="1" x14ac:dyDescent="0.25">
      <c r="B13" s="54">
        <f>'General Data'!E17</f>
        <v>0</v>
      </c>
      <c r="C13" s="168" t="str">
        <f>'General Data'!D17</f>
        <v>Année 5</v>
      </c>
      <c r="D13" s="921"/>
      <c r="E13" s="922"/>
      <c r="F13" s="172" t="str">
        <f>IF('General Data'!G27="NA", "0", E13*'General Data'!G27)</f>
        <v>0</v>
      </c>
      <c r="G13" s="173">
        <f>G12+F13+D13</f>
        <v>806</v>
      </c>
      <c r="I13" s="907" t="str">
        <f>IF('General Data'!$E$21="X", CONCATENATE("pour une période de ", 'General Data'!G27, " ", 'General Data'!H27), "")</f>
        <v/>
      </c>
      <c r="J13" s="908"/>
    </row>
    <row r="14" spans="1:14" s="11" customFormat="1" ht="39" thickBot="1" x14ac:dyDescent="0.25">
      <c r="B14" s="55"/>
      <c r="F14" s="57" t="str">
        <f>'TRAD-Data &amp; hypothesis Children'!B11</f>
        <v>Nombre total de patients  attendu à la fin de la période</v>
      </c>
      <c r="G14" s="176">
        <f>G13</f>
        <v>806</v>
      </c>
      <c r="H14" s="56"/>
    </row>
    <row r="15" spans="1:14" s="11" customFormat="1" x14ac:dyDescent="0.2">
      <c r="B15" s="158"/>
      <c r="L15" s="56"/>
      <c r="M15" s="177"/>
      <c r="N15" s="178"/>
    </row>
    <row r="16" spans="1:14" s="11" customFormat="1" x14ac:dyDescent="0.2">
      <c r="B16" s="897" t="str">
        <f>'TRAD-Data &amp; hypothesis Children'!B12</f>
        <v>Commentaires</v>
      </c>
      <c r="C16" s="896"/>
      <c r="D16" s="896"/>
      <c r="E16" s="896"/>
      <c r="F16" s="896"/>
      <c r="G16" s="896"/>
      <c r="L16" s="56"/>
      <c r="M16" s="177"/>
      <c r="N16" s="178"/>
    </row>
    <row r="17" spans="2:14" s="11" customFormat="1" x14ac:dyDescent="0.2">
      <c r="B17" s="158"/>
      <c r="C17" s="11" t="s">
        <v>240</v>
      </c>
      <c r="D17" s="226" t="str">
        <f>'TRAD-Data &amp; hypothesis Children'!B13</f>
        <v>en début d'année ou au début de la période quantifiée</v>
      </c>
      <c r="L17" s="56"/>
      <c r="M17" s="177"/>
      <c r="N17" s="178"/>
    </row>
    <row r="18" spans="2:14" s="11" customFormat="1" x14ac:dyDescent="0.2">
      <c r="B18" s="158"/>
      <c r="C18" s="11" t="s">
        <v>263</v>
      </c>
      <c r="D18" s="226" t="str">
        <f>'TRAD-Data &amp; hypothesis Children'!B14</f>
        <v>se reporter aux données saisies dans la feuille "Données générales"</v>
      </c>
      <c r="L18" s="56"/>
      <c r="M18" s="177"/>
      <c r="N18" s="178"/>
    </row>
    <row r="19" spans="2:14" s="11" customFormat="1" x14ac:dyDescent="0.2">
      <c r="B19" s="158"/>
      <c r="L19" s="56"/>
      <c r="M19" s="177"/>
      <c r="N19" s="178"/>
    </row>
    <row r="20" spans="2:14" s="2" customFormat="1" x14ac:dyDescent="0.2"/>
    <row r="21" spans="2:14" s="41" customFormat="1" ht="15" x14ac:dyDescent="0.25">
      <c r="B21" s="931" t="str">
        <f>'TRAD-Data &amp; hypothesis Children'!B15</f>
        <v>Répartition des enfants par schémas thérapeutiques au début de la période quantifiée</v>
      </c>
      <c r="C21" s="12"/>
      <c r="D21" s="12"/>
      <c r="E21" s="12"/>
      <c r="F21" s="12"/>
      <c r="G21" s="21"/>
      <c r="H21" s="21"/>
      <c r="I21" s="21"/>
      <c r="J21" s="21"/>
      <c r="K21" s="2105"/>
      <c r="L21" s="2105"/>
      <c r="M21" s="2105"/>
    </row>
    <row r="22" spans="2:14" x14ac:dyDescent="0.2">
      <c r="D22" s="4"/>
    </row>
    <row r="23" spans="2:14" ht="25.5" customHeight="1" x14ac:dyDescent="0.2">
      <c r="B23" s="2113" t="str">
        <f>'TRAD-Data &amp; hypothesis Children'!B16</f>
        <v>Indiquez la proportion de patients dans chaque schéma thérapeutique. Le nombre de patients est automatiquement calculé à partir du nombre total de patients dans le earlyd'année (cellule D9)</v>
      </c>
      <c r="C23" s="2113"/>
      <c r="D23" s="2113"/>
      <c r="E23" s="2113"/>
      <c r="F23" s="2113"/>
      <c r="G23" s="2113"/>
      <c r="H23" s="2113"/>
      <c r="I23" s="2113"/>
      <c r="J23" s="2113"/>
      <c r="K23" s="2113"/>
      <c r="L23" s="2113"/>
    </row>
    <row r="24" spans="2:14" ht="13.5" thickBot="1" x14ac:dyDescent="0.25">
      <c r="D24" s="4"/>
    </row>
    <row r="25" spans="2:14" ht="51.75" thickBot="1" x14ac:dyDescent="0.25">
      <c r="C25" s="62" t="str">
        <f>'TRAD-Data &amp; hypothesis Children'!B17</f>
        <v>Schémas thérapeutiques</v>
      </c>
      <c r="D25" s="62" t="str">
        <f>'TRAD-Data &amp; hypothesis Children'!B18</f>
        <v>Répartition (%)</v>
      </c>
      <c r="E25" s="62" t="str">
        <f>'TRAD-Data &amp; hypothesis Children'!B19</f>
        <v>Nb de patients prévus au début de la période quantifiée</v>
      </c>
    </row>
    <row r="26" spans="2:14" x14ac:dyDescent="0.2">
      <c r="B26" s="13" t="str">
        <f>'TRAD-Data &amp; hypothesis Children'!B20</f>
        <v>1ères lignes</v>
      </c>
      <c r="C26" s="1937" t="s">
        <v>50</v>
      </c>
      <c r="D26" s="1801"/>
      <c r="E26" s="190">
        <f t="shared" ref="E26:E35" si="0">D$9*D26</f>
        <v>0</v>
      </c>
    </row>
    <row r="27" spans="2:14" x14ac:dyDescent="0.2">
      <c r="C27" s="1930" t="s">
        <v>7</v>
      </c>
      <c r="D27" s="923">
        <v>0.93</v>
      </c>
      <c r="E27" s="191">
        <f t="shared" si="0"/>
        <v>515.22</v>
      </c>
    </row>
    <row r="28" spans="2:14" x14ac:dyDescent="0.2">
      <c r="C28" s="1930" t="s">
        <v>49</v>
      </c>
      <c r="D28" s="923">
        <v>2.1999999999999999E-2</v>
      </c>
      <c r="E28" s="191">
        <f t="shared" si="0"/>
        <v>12.187999999999999</v>
      </c>
    </row>
    <row r="29" spans="2:14" x14ac:dyDescent="0.2">
      <c r="C29" s="1930" t="s">
        <v>1732</v>
      </c>
      <c r="D29" s="923">
        <v>0</v>
      </c>
      <c r="E29" s="191">
        <f t="shared" si="0"/>
        <v>0</v>
      </c>
    </row>
    <row r="30" spans="2:14" x14ac:dyDescent="0.2">
      <c r="C30" s="1930" t="s">
        <v>1622</v>
      </c>
      <c r="D30" s="923">
        <v>8.0000000000000002E-3</v>
      </c>
      <c r="E30" s="191">
        <f t="shared" si="0"/>
        <v>4.4320000000000004</v>
      </c>
    </row>
    <row r="31" spans="2:14" x14ac:dyDescent="0.2">
      <c r="C31" s="1938" t="s">
        <v>55</v>
      </c>
      <c r="D31" s="1254">
        <v>3.2000000000000001E-2</v>
      </c>
      <c r="E31" s="1255">
        <f t="shared" si="0"/>
        <v>17.728000000000002</v>
      </c>
    </row>
    <row r="32" spans="2:14" x14ac:dyDescent="0.2">
      <c r="B32" s="17" t="str">
        <f>'TRAD-Data &amp; hypothesis Children'!B21</f>
        <v>2èmes lignes</v>
      </c>
      <c r="C32" s="1939" t="s">
        <v>730</v>
      </c>
      <c r="D32" s="1256">
        <v>8.0000000000000002E-3</v>
      </c>
      <c r="E32" s="1257">
        <f t="shared" si="0"/>
        <v>4.4320000000000004</v>
      </c>
    </row>
    <row r="33" spans="1:13" x14ac:dyDescent="0.2">
      <c r="B33" s="19"/>
      <c r="C33" s="1930" t="s">
        <v>1623</v>
      </c>
      <c r="D33" s="923">
        <v>0</v>
      </c>
      <c r="E33" s="191">
        <f t="shared" si="0"/>
        <v>0</v>
      </c>
    </row>
    <row r="34" spans="1:13" x14ac:dyDescent="0.2">
      <c r="B34" s="19"/>
      <c r="C34" s="1930" t="s">
        <v>49</v>
      </c>
      <c r="D34" s="923">
        <v>0</v>
      </c>
      <c r="E34" s="191">
        <f t="shared" si="0"/>
        <v>0</v>
      </c>
    </row>
    <row r="35" spans="1:13" ht="13.5" thickBot="1" x14ac:dyDescent="0.25">
      <c r="B35" s="28"/>
      <c r="C35" s="1940"/>
      <c r="D35" s="924"/>
      <c r="E35" s="192">
        <f t="shared" si="0"/>
        <v>0</v>
      </c>
    </row>
    <row r="36" spans="1:13" ht="14.25" thickTop="1" thickBot="1" x14ac:dyDescent="0.25">
      <c r="C36" s="206" t="s">
        <v>6</v>
      </c>
      <c r="D36" s="252">
        <f>SUM(D26:D35)</f>
        <v>1</v>
      </c>
      <c r="E36" s="207">
        <f>SUM(E26:E35)</f>
        <v>554</v>
      </c>
    </row>
    <row r="37" spans="1:13" x14ac:dyDescent="0.2">
      <c r="D37" s="4"/>
    </row>
    <row r="39" spans="1:13" s="41" customFormat="1" ht="15" x14ac:dyDescent="0.25">
      <c r="B39" s="2161" t="str">
        <f>'TRAD-Data &amp; hypothesis Children'!B23</f>
        <v>Répartition  en fonction des catégories de poids</v>
      </c>
      <c r="C39" s="2161"/>
      <c r="D39" s="2161"/>
      <c r="E39" s="2161"/>
      <c r="F39" s="2161"/>
      <c r="G39" s="21"/>
      <c r="H39" s="21"/>
      <c r="I39" s="21"/>
      <c r="J39" s="21"/>
      <c r="K39" s="2105"/>
      <c r="L39" s="2105"/>
      <c r="M39" s="2105"/>
    </row>
    <row r="40" spans="1:13" x14ac:dyDescent="0.2">
      <c r="D40" s="44"/>
      <c r="E40" s="19"/>
      <c r="F40" s="19"/>
      <c r="G40" s="19"/>
      <c r="H40" s="19"/>
    </row>
    <row r="41" spans="1:13" x14ac:dyDescent="0.2">
      <c r="B41" s="3" t="str">
        <f>'TRAD-Data &amp; hypothesis Children'!B24</f>
        <v>Définir les hypothèses de répartition par catégories de poids</v>
      </c>
      <c r="D41" s="4"/>
    </row>
    <row r="42" spans="1:13" ht="13.5" thickBot="1" x14ac:dyDescent="0.25">
      <c r="A42" s="3"/>
      <c r="D42" s="4"/>
    </row>
    <row r="43" spans="1:13" ht="13.5" thickBot="1" x14ac:dyDescent="0.25">
      <c r="A43" s="3"/>
      <c r="B43" s="40" t="str">
        <f>'TRAD-Data &amp; hypothesis Children'!B25</f>
        <v xml:space="preserve">Poids </v>
      </c>
      <c r="C43" s="45" t="s">
        <v>206</v>
      </c>
      <c r="D43" s="45" t="s">
        <v>207</v>
      </c>
      <c r="E43" s="45" t="s">
        <v>208</v>
      </c>
      <c r="F43" s="45" t="s">
        <v>112</v>
      </c>
    </row>
    <row r="44" spans="1:13" ht="13.5" thickBot="1" x14ac:dyDescent="0.25">
      <c r="A44" s="3"/>
      <c r="B44" s="46" t="str">
        <f>'TRAD-Data &amp; hypothesis Children'!B26</f>
        <v>Pourcentage</v>
      </c>
      <c r="C44" s="254">
        <v>0.25</v>
      </c>
      <c r="D44" s="254">
        <v>0.5</v>
      </c>
      <c r="E44" s="255">
        <v>0.13</v>
      </c>
      <c r="F44" s="255">
        <v>0.12</v>
      </c>
    </row>
    <row r="45" spans="1:13" x14ac:dyDescent="0.2">
      <c r="A45" s="3"/>
      <c r="B45" s="47"/>
      <c r="C45" s="48"/>
      <c r="D45" s="48"/>
      <c r="E45" s="2163" t="s">
        <v>507</v>
      </c>
      <c r="F45" s="2163"/>
    </row>
    <row r="46" spans="1:13" x14ac:dyDescent="0.2">
      <c r="A46" s="3"/>
      <c r="B46" s="47"/>
      <c r="C46" s="48"/>
      <c r="D46" s="48"/>
      <c r="E46" s="48"/>
      <c r="F46" s="48"/>
    </row>
    <row r="47" spans="1:13" x14ac:dyDescent="0.2">
      <c r="A47" s="3"/>
      <c r="B47" s="184" t="str">
        <f>'TRAD-Data &amp; hypothesis Children'!B12</f>
        <v>Commentaires</v>
      </c>
      <c r="C47" s="23"/>
      <c r="D47" s="23"/>
      <c r="E47" s="23"/>
      <c r="F47" s="23"/>
      <c r="G47" s="23"/>
      <c r="H47" s="23"/>
      <c r="I47" s="23"/>
      <c r="J47" s="23"/>
      <c r="K47" s="23"/>
      <c r="L47" s="23"/>
      <c r="M47" s="23"/>
    </row>
    <row r="48" spans="1:13" ht="25.5" customHeight="1" x14ac:dyDescent="0.2">
      <c r="A48" s="3"/>
      <c r="B48" s="161"/>
      <c r="C48" s="2162" t="str">
        <f>'TRAD-Data &amp; hypothesis Children'!B28</f>
        <v>Le total peut dépasser 100% dans le but de garantir une disponibilité suffisante des formes galéniques pédiatriques</v>
      </c>
      <c r="D48" s="2162"/>
      <c r="E48" s="2162"/>
      <c r="F48" s="2162"/>
      <c r="G48" s="2162"/>
      <c r="H48" s="2162"/>
      <c r="I48" s="2162"/>
      <c r="J48" s="2162"/>
      <c r="K48" s="2162"/>
      <c r="L48" s="2162"/>
    </row>
    <row r="49" spans="2:13" x14ac:dyDescent="0.2">
      <c r="C49" s="942"/>
    </row>
    <row r="50" spans="2:13" s="41" customFormat="1" ht="15" x14ac:dyDescent="0.25">
      <c r="B50" s="2161" t="str">
        <f>'TRAD-Data &amp; hypothesis Children'!B35</f>
        <v>Répartition des Initiations en 1ère lignes</v>
      </c>
      <c r="C50" s="2161"/>
      <c r="D50" s="2161"/>
      <c r="E50" s="2161"/>
      <c r="F50" s="2161"/>
      <c r="G50" s="21"/>
      <c r="H50" s="21"/>
      <c r="I50" s="21"/>
      <c r="J50" s="21"/>
      <c r="K50" s="2105"/>
      <c r="L50" s="2105"/>
      <c r="M50" s="2105"/>
    </row>
    <row r="51" spans="2:13" x14ac:dyDescent="0.2">
      <c r="D51" s="44"/>
      <c r="E51" s="19"/>
      <c r="F51" s="19"/>
      <c r="G51" s="19"/>
      <c r="H51" s="19"/>
    </row>
    <row r="52" spans="2:13" x14ac:dyDescent="0.2">
      <c r="D52" s="2103" t="str">
        <f>'TRAD-Data &amp; hypothesis Children'!B36</f>
        <v>Proportion</v>
      </c>
      <c r="E52" s="2103"/>
      <c r="F52" s="2103"/>
      <c r="G52" s="2103"/>
      <c r="H52" s="2103"/>
    </row>
    <row r="53" spans="2:13" ht="25.5" x14ac:dyDescent="0.2">
      <c r="B53" s="23"/>
      <c r="C53" s="23"/>
      <c r="D53" s="24" t="str">
        <f>'General Data'!$E$13</f>
        <v>Juillet 2014 - Juin 2015</v>
      </c>
      <c r="E53" s="24">
        <f>'General Data'!$E$14</f>
        <v>0</v>
      </c>
      <c r="F53" s="24">
        <f>'General Data'!$E$15</f>
        <v>0</v>
      </c>
      <c r="G53" s="24">
        <f>'General Data'!$E$16</f>
        <v>0</v>
      </c>
      <c r="H53" s="24">
        <f>'General Data'!$E$17</f>
        <v>0</v>
      </c>
    </row>
    <row r="54" spans="2:13" ht="13.5" thickBot="1" x14ac:dyDescent="0.25">
      <c r="B54" s="25" t="s">
        <v>286</v>
      </c>
      <c r="C54" s="25"/>
      <c r="D54" s="25" t="str">
        <f>'General Data'!$D$13</f>
        <v>Année 1</v>
      </c>
      <c r="E54" s="25" t="str">
        <f>'General Data'!$D$14</f>
        <v>Année 2</v>
      </c>
      <c r="F54" s="26" t="str">
        <f>'General Data'!$D$15</f>
        <v>Année 3</v>
      </c>
      <c r="G54" s="26" t="str">
        <f>'General Data'!$D$16</f>
        <v>Année 4</v>
      </c>
      <c r="H54" s="26" t="str">
        <f>'General Data'!$D$17</f>
        <v>Année 5</v>
      </c>
    </row>
    <row r="55" spans="2:13" x14ac:dyDescent="0.2">
      <c r="B55" s="14" t="str">
        <f t="array" ref="B55:B60">$C$26:$C$31</f>
        <v>D4T+3TC+NVP</v>
      </c>
      <c r="C55" s="14"/>
      <c r="D55" s="1988">
        <v>0</v>
      </c>
      <c r="E55" s="162">
        <v>0.5</v>
      </c>
      <c r="F55" s="162">
        <v>0</v>
      </c>
      <c r="G55" s="162">
        <v>0</v>
      </c>
      <c r="H55" s="162">
        <v>0</v>
      </c>
    </row>
    <row r="56" spans="2:13" x14ac:dyDescent="0.2">
      <c r="B56" s="27" t="str">
        <v>AZT+3TC+NVP</v>
      </c>
      <c r="C56" s="27"/>
      <c r="D56" s="163">
        <v>0</v>
      </c>
      <c r="E56" s="163">
        <v>0.5</v>
      </c>
      <c r="F56" s="163">
        <v>0</v>
      </c>
      <c r="G56" s="163">
        <v>0</v>
      </c>
      <c r="H56" s="163">
        <v>0</v>
      </c>
    </row>
    <row r="57" spans="2:13" x14ac:dyDescent="0.2">
      <c r="B57" s="27" t="str">
        <v>AZT+3TC+EFV</v>
      </c>
      <c r="C57" s="27"/>
      <c r="D57" s="163">
        <v>0</v>
      </c>
      <c r="E57" s="163">
        <v>0</v>
      </c>
      <c r="F57" s="163">
        <v>0</v>
      </c>
      <c r="G57" s="163">
        <v>0</v>
      </c>
      <c r="H57" s="163">
        <v>0</v>
      </c>
    </row>
    <row r="58" spans="2:13" x14ac:dyDescent="0.2">
      <c r="B58" s="15" t="str">
        <v>LPV/r+3TC+ABC</v>
      </c>
      <c r="C58" s="15"/>
      <c r="D58" s="164">
        <v>7.0000000000000007E-2</v>
      </c>
      <c r="E58" s="164">
        <v>0</v>
      </c>
      <c r="F58" s="164">
        <v>0</v>
      </c>
      <c r="G58" s="164">
        <v>0</v>
      </c>
      <c r="H58" s="164">
        <v>0</v>
      </c>
    </row>
    <row r="59" spans="2:13" x14ac:dyDescent="0.2">
      <c r="B59" s="15" t="str">
        <v>ABC+3TC+NVP</v>
      </c>
      <c r="C59" s="15"/>
      <c r="D59" s="164">
        <v>0</v>
      </c>
      <c r="E59" s="164">
        <v>0</v>
      </c>
      <c r="F59" s="164">
        <v>0</v>
      </c>
      <c r="G59" s="164">
        <v>0</v>
      </c>
      <c r="H59" s="164">
        <v>0</v>
      </c>
    </row>
    <row r="60" spans="2:13" ht="13.5" thickBot="1" x14ac:dyDescent="0.25">
      <c r="B60" s="1442" t="str">
        <v>AZT+3TC+LPV/r</v>
      </c>
      <c r="C60" s="1442" t="s">
        <v>468</v>
      </c>
      <c r="D60" s="1443">
        <v>0.93</v>
      </c>
      <c r="E60" s="1443">
        <v>0</v>
      </c>
      <c r="F60" s="1443">
        <v>0</v>
      </c>
      <c r="G60" s="1443">
        <v>0</v>
      </c>
      <c r="H60" s="1443">
        <v>0</v>
      </c>
    </row>
    <row r="61" spans="2:13" ht="14.25" thickTop="1" thickBot="1" x14ac:dyDescent="0.25">
      <c r="B61" s="253" t="s">
        <v>6</v>
      </c>
      <c r="C61" s="208"/>
      <c r="D61" s="251">
        <f>SUM(D55:D60)</f>
        <v>1</v>
      </c>
      <c r="E61" s="251">
        <f>SUM(E55:E60)</f>
        <v>1</v>
      </c>
      <c r="F61" s="251">
        <f>SUM(F55:F60)</f>
        <v>0</v>
      </c>
      <c r="G61" s="251">
        <f>SUM(G55:G60)</f>
        <v>0</v>
      </c>
      <c r="H61" s="251">
        <f>SUM(H55:H60)</f>
        <v>0</v>
      </c>
    </row>
    <row r="62" spans="2:13" x14ac:dyDescent="0.2">
      <c r="C62" s="19"/>
      <c r="D62" s="4"/>
    </row>
    <row r="64" spans="2:13" s="42" customFormat="1" ht="16.5" customHeight="1" x14ac:dyDescent="0.2">
      <c r="B64" s="2161" t="str">
        <f>'TRAD-Data &amp; hypothesis Children'!B38</f>
        <v>Répartition des enfants qui sont supposés transiter de la 1ère ligne a la 2ème lignes thérapeutiques</v>
      </c>
      <c r="C64" s="2161"/>
      <c r="D64" s="2161"/>
      <c r="E64" s="2161"/>
      <c r="F64" s="2161"/>
      <c r="G64" s="21"/>
      <c r="H64" s="21"/>
      <c r="I64" s="21"/>
      <c r="J64" s="21"/>
      <c r="K64" s="2105"/>
      <c r="L64" s="2105"/>
      <c r="M64" s="2105"/>
    </row>
    <row r="65" spans="2:7" x14ac:dyDescent="0.2">
      <c r="B65" s="23"/>
      <c r="C65" s="23"/>
      <c r="D65" s="22"/>
      <c r="E65" s="19"/>
      <c r="F65" s="19"/>
    </row>
    <row r="66" spans="2:7" ht="51.75" thickBot="1" x14ac:dyDescent="0.25">
      <c r="B66" s="25" t="str">
        <f>'TRAD-Data &amp; hypothesis Children'!B4</f>
        <v>Année</v>
      </c>
      <c r="C66" s="25" t="str">
        <f>'TRAD-Data &amp; hypothesis Children'!B4</f>
        <v>Année</v>
      </c>
      <c r="D66" s="26" t="str">
        <f>'TRAD-Data &amp; hypothesis Children'!B41</f>
        <v>Proportion d'enfants en 2ème ligne / total des enfants</v>
      </c>
    </row>
    <row r="67" spans="2:7" x14ac:dyDescent="0.2">
      <c r="B67" s="1153" t="str">
        <f>'General Data'!$E$13</f>
        <v>Juillet 2014 - Juin 2015</v>
      </c>
      <c r="C67" s="1153" t="str">
        <f>'General Data'!$D$13</f>
        <v>Année 1</v>
      </c>
      <c r="D67" s="165">
        <v>0.03</v>
      </c>
    </row>
    <row r="68" spans="2:7" x14ac:dyDescent="0.2">
      <c r="B68" s="1153">
        <f>'General Data'!$E$14</f>
        <v>0</v>
      </c>
      <c r="C68" s="1153" t="str">
        <f>'General Data'!$D$14</f>
        <v>Année 2</v>
      </c>
      <c r="D68" s="165">
        <v>0</v>
      </c>
    </row>
    <row r="69" spans="2:7" x14ac:dyDescent="0.2">
      <c r="B69" s="1153">
        <f>'General Data'!$E$15</f>
        <v>0</v>
      </c>
      <c r="C69" s="1153" t="str">
        <f>'General Data'!$D$15</f>
        <v>Année 3</v>
      </c>
      <c r="D69" s="165">
        <v>0</v>
      </c>
    </row>
    <row r="70" spans="2:7" x14ac:dyDescent="0.2">
      <c r="B70" s="1153">
        <f>'General Data'!$E$16</f>
        <v>0</v>
      </c>
      <c r="C70" s="1153" t="str">
        <f>'General Data'!$D$16</f>
        <v>Année 4</v>
      </c>
      <c r="D70" s="165">
        <v>0</v>
      </c>
    </row>
    <row r="71" spans="2:7" ht="13.5" thickBot="1" x14ac:dyDescent="0.25">
      <c r="B71" s="1154">
        <f>'General Data'!$E$17</f>
        <v>0</v>
      </c>
      <c r="C71" s="1154" t="str">
        <f>'General Data'!$D$17</f>
        <v>Année 5</v>
      </c>
      <c r="D71" s="166">
        <v>0</v>
      </c>
    </row>
    <row r="72" spans="2:7" ht="13.5" thickTop="1" x14ac:dyDescent="0.2">
      <c r="B72" s="32"/>
      <c r="C72" s="32"/>
      <c r="D72" s="33"/>
    </row>
    <row r="73" spans="2:7" ht="13.5" thickBot="1" x14ac:dyDescent="0.25">
      <c r="B73" s="34"/>
      <c r="C73" s="34"/>
      <c r="D73" s="35"/>
    </row>
    <row r="74" spans="2:7" ht="13.5" thickBot="1" x14ac:dyDescent="0.25">
      <c r="B74" s="2100" t="str">
        <f>'TRAD-Data &amp; hypothesis Children'!B42</f>
        <v>Répartition selon les molécules de deuxièmes lignes</v>
      </c>
      <c r="C74" s="2101"/>
      <c r="D74" s="2101"/>
      <c r="E74" s="2101"/>
      <c r="F74" s="2102"/>
    </row>
    <row r="75" spans="2:7" x14ac:dyDescent="0.2">
      <c r="B75" s="34"/>
      <c r="C75" s="34"/>
      <c r="D75" s="35"/>
    </row>
    <row r="76" spans="2:7" x14ac:dyDescent="0.2">
      <c r="B76" s="34"/>
      <c r="C76" s="2103" t="str">
        <f>'TRAD-Data &amp; hypothesis Children'!B36</f>
        <v>Proportion</v>
      </c>
      <c r="D76" s="2103"/>
      <c r="E76" s="2103"/>
      <c r="F76" s="2103"/>
      <c r="G76" s="2103"/>
    </row>
    <row r="77" spans="2:7" ht="20.25" customHeight="1" x14ac:dyDescent="0.2">
      <c r="B77" s="34"/>
      <c r="C77" s="24" t="str">
        <f>'General Data'!$E$13</f>
        <v>Juillet 2014 - Juin 2015</v>
      </c>
      <c r="D77" s="24">
        <f>'General Data'!$E$14</f>
        <v>0</v>
      </c>
      <c r="E77" s="24">
        <f>'General Data'!$E$15</f>
        <v>0</v>
      </c>
      <c r="F77" s="24">
        <f>'General Data'!$E$16</f>
        <v>0</v>
      </c>
      <c r="G77" s="24">
        <f>'General Data'!$E$17</f>
        <v>0</v>
      </c>
    </row>
    <row r="78" spans="2:7" ht="26.25" thickBot="1" x14ac:dyDescent="0.25">
      <c r="B78" s="26" t="str">
        <f>'TRAD-Data &amp; hypothesis Children'!B39</f>
        <v>Schémas thérapeutiques</v>
      </c>
      <c r="C78" s="25" t="str">
        <f>'General Data'!$D$13</f>
        <v>Année 1</v>
      </c>
      <c r="D78" s="25" t="str">
        <f>'General Data'!$D$14</f>
        <v>Année 2</v>
      </c>
      <c r="E78" s="26" t="str">
        <f>'General Data'!$D$15</f>
        <v>Année 3</v>
      </c>
      <c r="F78" s="26" t="str">
        <f>'General Data'!$D$16</f>
        <v>Année 4</v>
      </c>
      <c r="G78" s="26" t="str">
        <f>'General Data'!$D$17</f>
        <v>Année 5</v>
      </c>
    </row>
    <row r="79" spans="2:7" x14ac:dyDescent="0.2">
      <c r="B79" s="1960" t="str">
        <f t="array" ref="B79:B82">$C$32:$C$35</f>
        <v>ABC+3TC+EFV</v>
      </c>
      <c r="C79" s="1961">
        <v>0.6</v>
      </c>
      <c r="D79" s="1961"/>
      <c r="E79" s="1961"/>
      <c r="F79" s="1961"/>
      <c r="G79" s="1961"/>
    </row>
    <row r="80" spans="2:7" x14ac:dyDescent="0.2">
      <c r="B80" s="36" t="str">
        <v>TDF+3TC+LPV/r</v>
      </c>
      <c r="C80" s="1962">
        <v>0.12</v>
      </c>
      <c r="D80" s="1962"/>
      <c r="E80" s="1962"/>
      <c r="F80" s="1962"/>
      <c r="G80" s="1962"/>
    </row>
    <row r="81" spans="2:14" x14ac:dyDescent="0.2">
      <c r="B81" s="36" t="str">
        <v>AZT+3TC+EFV</v>
      </c>
      <c r="C81" s="1962">
        <v>0.03</v>
      </c>
      <c r="D81" s="1962"/>
      <c r="E81" s="1962"/>
      <c r="F81" s="1962"/>
      <c r="G81" s="1962"/>
    </row>
    <row r="82" spans="2:14" ht="13.5" thickBot="1" x14ac:dyDescent="0.25">
      <c r="B82" s="1194">
        <v>0</v>
      </c>
      <c r="C82" s="1258"/>
      <c r="D82" s="1258"/>
      <c r="E82" s="1258"/>
      <c r="F82" s="1258"/>
      <c r="G82" s="1258"/>
    </row>
    <row r="83" spans="2:14" s="260" customFormat="1" ht="13.5" thickTop="1" x14ac:dyDescent="0.2">
      <c r="B83" s="258" t="s">
        <v>6</v>
      </c>
      <c r="C83" s="259">
        <f>SUM(C79:C82)</f>
        <v>0.75</v>
      </c>
      <c r="D83" s="259">
        <f>SUM(D79:D82)</f>
        <v>0</v>
      </c>
      <c r="E83" s="259">
        <f>SUM(E79:E82)</f>
        <v>0</v>
      </c>
      <c r="F83" s="259">
        <f>SUM(F79:F82)</f>
        <v>0</v>
      </c>
      <c r="G83" s="259">
        <f>SUM(G79:G82)</f>
        <v>0</v>
      </c>
    </row>
    <row r="84" spans="2:14" x14ac:dyDescent="0.2">
      <c r="B84" s="34"/>
      <c r="C84" s="34"/>
      <c r="D84" s="35"/>
    </row>
    <row r="85" spans="2:14" ht="13.5" thickBot="1" x14ac:dyDescent="0.25">
      <c r="D85" s="955"/>
    </row>
    <row r="86" spans="2:14" ht="13.5" thickBot="1" x14ac:dyDescent="0.25">
      <c r="B86" s="2100" t="str">
        <f>'TRAD-Data &amp; hypothesis Adults'!B60</f>
        <v>Défalcation des patients passés en deuxièmes lignes sur les premières lignes</v>
      </c>
      <c r="C86" s="2101"/>
      <c r="D86" s="2101"/>
      <c r="E86" s="2101"/>
      <c r="F86" s="2102"/>
    </row>
    <row r="87" spans="2:14" x14ac:dyDescent="0.2">
      <c r="B87" s="34"/>
      <c r="C87" s="34"/>
      <c r="D87" s="947"/>
    </row>
    <row r="88" spans="2:14" x14ac:dyDescent="0.2">
      <c r="B88" s="2110" t="str">
        <f>'TRAD-Data &amp; hypothesis Children'!B98</f>
        <v>Pour les enfants comme pour les adultes, les patients passés en 2ème ligne sont défalqués des premières lignes</v>
      </c>
      <c r="C88" s="2110"/>
      <c r="D88" s="2110"/>
      <c r="E88" s="2110"/>
      <c r="F88" s="2110"/>
      <c r="G88" s="2110"/>
      <c r="H88" s="2110"/>
      <c r="I88" s="2110"/>
      <c r="J88" s="2110"/>
    </row>
    <row r="89" spans="2:14" x14ac:dyDescent="0.2">
      <c r="B89" s="34"/>
      <c r="C89" s="948"/>
      <c r="D89" s="35"/>
    </row>
    <row r="90" spans="2:14" ht="26.25" customHeight="1" x14ac:dyDescent="0.2">
      <c r="B90" s="2104" t="str">
        <f>'TRAD-Data &amp; hypothesis Children'!B99</f>
        <v>Par contre, étant donné les besoins limités pour enfants, pour éviter des sous estimations, il n'est pas possible de défalquer les besoins sur les 1ère ligne. Les besoins sont donc pris en compte sur la première ligne ligne et la 2ème ligne et réajusté tous les ans.</v>
      </c>
      <c r="C90" s="2104"/>
      <c r="D90" s="2104"/>
      <c r="E90" s="2104"/>
      <c r="F90" s="2104"/>
      <c r="G90" s="2104"/>
      <c r="H90" s="2104"/>
      <c r="I90" s="2104"/>
      <c r="J90" s="2104"/>
      <c r="K90" s="2104"/>
      <c r="L90" s="942"/>
    </row>
    <row r="91" spans="2:14" x14ac:dyDescent="0.2">
      <c r="B91" s="8"/>
      <c r="C91" s="34"/>
      <c r="D91" s="35"/>
    </row>
    <row r="92" spans="2:14" x14ac:dyDescent="0.2">
      <c r="C92" s="160"/>
      <c r="H92" s="3"/>
    </row>
    <row r="93" spans="2:14" s="843" customFormat="1" ht="15" x14ac:dyDescent="0.2">
      <c r="B93" s="2164" t="str">
        <f>'TRAD-Data &amp; hypothesis Children'!B40</f>
        <v>Choix de la formulation thérapeutique</v>
      </c>
      <c r="C93" s="2164"/>
      <c r="D93" s="2164"/>
      <c r="E93" s="2164"/>
      <c r="F93" s="2164"/>
      <c r="G93" s="2164"/>
      <c r="H93" s="2164"/>
      <c r="I93" s="2164"/>
      <c r="J93" s="2164"/>
      <c r="K93" s="2164"/>
      <c r="L93" s="2164"/>
      <c r="M93" s="2164"/>
    </row>
    <row r="94" spans="2:14" customFormat="1" x14ac:dyDescent="0.2"/>
    <row r="95" spans="2:14" customFormat="1" ht="12.75" customHeight="1" x14ac:dyDescent="0.2">
      <c r="C95" s="211" t="str">
        <f>'TRAD-Data &amp; hypothesis Children'!B12</f>
        <v>Commentaires</v>
      </c>
      <c r="D95" s="2121" t="str">
        <f>'TRAD-Data &amp; hypothesis Children'!B30</f>
        <v>Choisir la forme galénique qui sera plus utile par rapport aux  besoins de chaque schéma thérapeutique</v>
      </c>
      <c r="E95" s="2121"/>
      <c r="F95" s="2121"/>
      <c r="G95" s="2121"/>
      <c r="H95" s="2121"/>
      <c r="I95" s="2121"/>
      <c r="J95" s="2121"/>
      <c r="K95" s="2121"/>
      <c r="L95" s="2121"/>
      <c r="M95" s="2121"/>
      <c r="N95" s="2121"/>
    </row>
    <row r="96" spans="2:14" customFormat="1" x14ac:dyDescent="0.2">
      <c r="C96" s="211"/>
      <c r="D96" s="1532" t="str">
        <f>'TRAD-Data &amp; hypothesis Children'!B31</f>
        <v>Tous les produits inclus dans les outils sont préqualifiés  selon la politique d'assurance qualité du Fond  Mondial</v>
      </c>
      <c r="E96" s="1583"/>
      <c r="F96" s="1583"/>
      <c r="G96" s="1583"/>
      <c r="H96" s="1583"/>
      <c r="I96" s="1583"/>
      <c r="J96" s="1583"/>
      <c r="K96" s="1583"/>
      <c r="L96" s="1583"/>
      <c r="M96" s="1583"/>
      <c r="N96" s="1583"/>
    </row>
    <row r="97" spans="2:24" customFormat="1" x14ac:dyDescent="0.2">
      <c r="C97" s="211"/>
      <c r="D97" s="2121"/>
      <c r="E97" s="2121"/>
      <c r="F97" s="2121"/>
      <c r="G97" s="2121"/>
      <c r="H97" s="2121"/>
      <c r="I97" s="2121"/>
      <c r="J97" s="2121"/>
      <c r="K97" s="2121"/>
      <c r="L97" s="2121"/>
      <c r="M97" s="2121"/>
      <c r="N97" s="2121"/>
    </row>
    <row r="98" spans="2:24" customFormat="1" ht="12.75" customHeight="1" x14ac:dyDescent="0.2">
      <c r="C98" s="212" t="str">
        <f>'TRAD-Data &amp; hypothesis Children'!B32</f>
        <v>Avertissement</v>
      </c>
      <c r="D98" s="2122" t="str">
        <f>'TRAD-Data &amp; hypothesis Children'!B33</f>
        <v>Ne choisir qu'un seul schéma thérapeutique et une forme galénique</v>
      </c>
      <c r="E98" s="2122"/>
      <c r="F98" s="2122"/>
      <c r="G98" s="2122"/>
      <c r="H98" s="2122"/>
      <c r="I98" s="2122"/>
      <c r="J98" s="2122"/>
      <c r="K98" s="2122"/>
      <c r="L98" s="2122"/>
      <c r="M98" s="2122"/>
      <c r="N98" s="2122"/>
    </row>
    <row r="99" spans="2:24" customFormat="1" x14ac:dyDescent="0.2">
      <c r="C99" s="211"/>
      <c r="D99" s="2122" t="str">
        <f>'TRAD-Data &amp; hypothesis Children'!B34</f>
        <v>Ces choix ne concernent pas la période d'initiation NVP. Nous avions considéré que l'initiation avec NVP ne se fait qu'avec les solutions buvables.</v>
      </c>
      <c r="E99" s="2122"/>
      <c r="F99" s="2122"/>
      <c r="G99" s="2122"/>
      <c r="H99" s="2122"/>
      <c r="I99" s="2122"/>
      <c r="J99" s="2122"/>
      <c r="K99" s="2122"/>
      <c r="L99" s="2122"/>
      <c r="M99" s="2122"/>
      <c r="N99" s="2122"/>
    </row>
    <row r="100" spans="2:24" ht="13.5" customHeight="1" thickBot="1" x14ac:dyDescent="0.25"/>
    <row r="101" spans="2:24" ht="13.5" thickBot="1" x14ac:dyDescent="0.25">
      <c r="B101" s="2169" t="s">
        <v>722</v>
      </c>
      <c r="C101" s="2170"/>
      <c r="D101" s="2170"/>
      <c r="E101" s="2170"/>
      <c r="F101" s="2171"/>
    </row>
    <row r="103" spans="2:24" x14ac:dyDescent="0.2">
      <c r="C103" s="211" t="str">
        <f>'TRAD-Data &amp; hypothesis Children'!B12</f>
        <v>Commentaires</v>
      </c>
      <c r="D103" s="2121" t="str">
        <f>'TRAD-Data &amp; hypothesis Children'!B47</f>
        <v>Choisir l'association  la plus utile, au regard des besoins</v>
      </c>
      <c r="E103" s="2121"/>
      <c r="F103" s="2121"/>
      <c r="G103" s="2121"/>
      <c r="H103" s="2121"/>
      <c r="I103" s="2121"/>
      <c r="J103" s="2121"/>
      <c r="K103" s="2121"/>
      <c r="L103" s="2121"/>
      <c r="M103" s="2121"/>
      <c r="N103" s="2121"/>
    </row>
    <row r="104" spans="2:24" x14ac:dyDescent="0.2">
      <c r="C104" s="212" t="str">
        <f>'TRAD-Data &amp; hypothesis Children'!B32</f>
        <v>Avertissement</v>
      </c>
      <c r="D104" s="1585" t="str">
        <f>'TRAD-Data &amp; hypothesis Children'!B48</f>
        <v>Attention au choix de la forme galénique même s'il n'y a aucun patient sous ce schéma thérapeutique</v>
      </c>
      <c r="E104" s="1583"/>
      <c r="F104" s="1583"/>
      <c r="G104" s="1583"/>
      <c r="H104" s="1583"/>
      <c r="I104" s="1583"/>
      <c r="J104" s="1583"/>
      <c r="K104" s="1583"/>
      <c r="L104" s="1583"/>
      <c r="M104" s="1583"/>
      <c r="N104" s="1583"/>
    </row>
    <row r="105" spans="2:24" ht="13.5" thickBot="1" x14ac:dyDescent="0.25"/>
    <row r="106" spans="2:24" x14ac:dyDescent="0.2">
      <c r="C106" s="1564" t="s">
        <v>7</v>
      </c>
      <c r="D106" s="1571" t="str">
        <f>'TRAD-Data &amp; hypothesis Children'!B51</f>
        <v>Seul avec FDC : AZT+3TC &amp; AZT+3TC+NVP</v>
      </c>
      <c r="E106" s="1571"/>
      <c r="F106" s="1561"/>
      <c r="G106" s="1575" t="s">
        <v>225</v>
      </c>
    </row>
    <row r="107" spans="2:24" x14ac:dyDescent="0.2">
      <c r="C107" s="1565"/>
      <c r="D107" s="1572" t="str">
        <f>'TRAD-Data &amp; hypothesis Children'!B52</f>
        <v>Avec NVP sirop + FDC : AZT+3TC</v>
      </c>
      <c r="E107" s="1572"/>
      <c r="F107" s="1562"/>
      <c r="G107" s="1576"/>
    </row>
    <row r="108" spans="2:24" ht="13.5" thickBot="1" x14ac:dyDescent="0.25">
      <c r="C108" s="1566"/>
      <c r="D108" s="1573" t="str">
        <f>'TRAD-Data &amp; hypothesis Children'!B53</f>
        <v>Avec NVP sirop +  suspension buvable  AZT &amp; 3TC</v>
      </c>
      <c r="E108" s="1573"/>
      <c r="F108" s="1563"/>
      <c r="G108" s="1577"/>
    </row>
    <row r="109" spans="2:24" x14ac:dyDescent="0.2">
      <c r="C109" s="1567" t="s">
        <v>50</v>
      </c>
      <c r="D109" s="23" t="str">
        <f>'TRAD-Data &amp; hypothesis Children'!B54</f>
        <v>Seul avec FDC : D4T+3TC+NVP qd &amp; D4T+3TC qd</v>
      </c>
      <c r="E109" s="23"/>
      <c r="F109" s="1574"/>
      <c r="G109" s="1578" t="s">
        <v>225</v>
      </c>
    </row>
    <row r="110" spans="2:24" x14ac:dyDescent="0.2">
      <c r="C110" s="1579"/>
      <c r="D110" s="19" t="str">
        <f>'TRAD-Data &amp; hypothesis Children'!B55</f>
        <v>Avec NVP sirop + FDC : D4T+3TC</v>
      </c>
      <c r="E110" s="19"/>
      <c r="F110" s="1580"/>
      <c r="G110" s="1581"/>
      <c r="V110" s="209" t="s">
        <v>348</v>
      </c>
      <c r="W110" s="209" t="s">
        <v>349</v>
      </c>
      <c r="X110" s="209" t="s">
        <v>22</v>
      </c>
    </row>
    <row r="111" spans="2:24" ht="13.5" thickBot="1" x14ac:dyDescent="0.25">
      <c r="C111" s="1566"/>
      <c r="D111" s="1573" t="str">
        <f>'TRAD-Data &amp; hypothesis Children'!B56</f>
        <v>Avec NVP sirop +  suspension buvable  D4T &amp; 3TC</v>
      </c>
      <c r="E111" s="1573"/>
      <c r="F111" s="1563"/>
      <c r="G111" s="1577"/>
      <c r="V111" s="209" t="s">
        <v>883</v>
      </c>
      <c r="W111" s="209" t="s">
        <v>883</v>
      </c>
      <c r="X111" s="209" t="s">
        <v>883</v>
      </c>
    </row>
    <row r="112" spans="2:24" x14ac:dyDescent="0.2">
      <c r="V112" s="209" t="s">
        <v>244</v>
      </c>
      <c r="W112" s="209" t="s">
        <v>24</v>
      </c>
      <c r="X112" s="209" t="s">
        <v>23</v>
      </c>
    </row>
    <row r="113" spans="2:33" ht="13.5" thickBot="1" x14ac:dyDescent="0.25"/>
    <row r="114" spans="2:33" ht="13.5" thickBot="1" x14ac:dyDescent="0.25">
      <c r="B114" s="2169" t="str">
        <f>'TRAD-Data &amp; hypothesis Children'!B57</f>
        <v>De 3 à 9,9 kg</v>
      </c>
      <c r="C114" s="2170"/>
      <c r="D114" s="2170"/>
      <c r="E114" s="2170"/>
      <c r="F114" s="2171"/>
    </row>
    <row r="115" spans="2:33" ht="13.5" thickBot="1" x14ac:dyDescent="0.25"/>
    <row r="116" spans="2:33" ht="50.25" customHeight="1" x14ac:dyDescent="0.2">
      <c r="B116" s="1421" t="str">
        <f>'TRAD-Data &amp; hypothesis Children'!B95</f>
        <v>Nb de boites / mois pour l'ensemble des patients</v>
      </c>
      <c r="C116" s="1966" t="s">
        <v>39</v>
      </c>
      <c r="D116" s="1966" t="s">
        <v>61</v>
      </c>
      <c r="E116" s="1966" t="s">
        <v>15</v>
      </c>
      <c r="F116" s="1966" t="s">
        <v>25</v>
      </c>
      <c r="G116" s="1966" t="s">
        <v>28</v>
      </c>
      <c r="H116" s="1966" t="s">
        <v>19</v>
      </c>
      <c r="I116" s="1966" t="s">
        <v>17</v>
      </c>
      <c r="J116" s="1967" t="s">
        <v>33</v>
      </c>
      <c r="K116" s="1968" t="s">
        <v>1599</v>
      </c>
      <c r="L116" s="1966" t="s">
        <v>1600</v>
      </c>
      <c r="M116" s="1966" t="s">
        <v>1601</v>
      </c>
      <c r="N116" s="1966" t="s">
        <v>1602</v>
      </c>
      <c r="O116" s="1966" t="s">
        <v>1603</v>
      </c>
      <c r="P116" s="1966" t="s">
        <v>1604</v>
      </c>
      <c r="Q116" s="1969" t="s">
        <v>1605</v>
      </c>
      <c r="R116" s="1966" t="s">
        <v>1606</v>
      </c>
      <c r="S116" s="1966" t="s">
        <v>1607</v>
      </c>
      <c r="T116" s="1966" t="s">
        <v>1608</v>
      </c>
      <c r="U116" s="1966" t="s">
        <v>1609</v>
      </c>
      <c r="V116" s="1970" t="s">
        <v>1610</v>
      </c>
      <c r="W116" s="1970" t="s">
        <v>1611</v>
      </c>
      <c r="X116" s="1970" t="s">
        <v>1592</v>
      </c>
      <c r="Y116" s="1966" t="s">
        <v>1593</v>
      </c>
      <c r="Z116" s="1966" t="s">
        <v>651</v>
      </c>
      <c r="AA116" s="1966" t="s">
        <v>1143</v>
      </c>
      <c r="AB116" s="1966" t="s">
        <v>1594</v>
      </c>
      <c r="AC116" s="1966" t="s">
        <v>1595</v>
      </c>
      <c r="AD116" s="1971" t="s">
        <v>1144</v>
      </c>
      <c r="AE116" s="1966" t="s">
        <v>1596</v>
      </c>
      <c r="AF116" s="1966" t="s">
        <v>1597</v>
      </c>
      <c r="AG116" s="1967" t="s">
        <v>1598</v>
      </c>
    </row>
    <row r="117" spans="2:33" ht="25.5" x14ac:dyDescent="0.2">
      <c r="B117" s="1332" t="str">
        <f>'TRAD-Data &amp; hypothesis Children'!B96</f>
        <v>Dosage</v>
      </c>
      <c r="C117" s="1972" t="s">
        <v>41</v>
      </c>
      <c r="D117" s="1972" t="s">
        <v>41</v>
      </c>
      <c r="E117" s="1972" t="s">
        <v>41</v>
      </c>
      <c r="F117" s="1972" t="s">
        <v>44</v>
      </c>
      <c r="G117" s="1972" t="s">
        <v>46</v>
      </c>
      <c r="H117" s="1972" t="s">
        <v>41</v>
      </c>
      <c r="I117" s="1972" t="s">
        <v>259</v>
      </c>
      <c r="J117" s="1973" t="s">
        <v>47</v>
      </c>
      <c r="K117" s="1974" t="s">
        <v>9</v>
      </c>
      <c r="L117" s="1972" t="s">
        <v>384</v>
      </c>
      <c r="M117" s="1972" t="s">
        <v>12</v>
      </c>
      <c r="N117" s="1972" t="s">
        <v>382</v>
      </c>
      <c r="O117" s="1972" t="s">
        <v>80</v>
      </c>
      <c r="P117" s="1972" t="s">
        <v>131</v>
      </c>
      <c r="Q117" s="1972" t="s">
        <v>733</v>
      </c>
      <c r="R117" s="1972" t="s">
        <v>334</v>
      </c>
      <c r="S117" s="1972" t="s">
        <v>636</v>
      </c>
      <c r="T117" s="1972" t="s">
        <v>649</v>
      </c>
      <c r="U117" s="1972" t="s">
        <v>382</v>
      </c>
      <c r="V117" s="1972" t="s">
        <v>244</v>
      </c>
      <c r="W117" s="1972" t="s">
        <v>24</v>
      </c>
      <c r="X117" s="1972" t="s">
        <v>23</v>
      </c>
      <c r="Y117" s="1972" t="s">
        <v>16</v>
      </c>
      <c r="Z117" s="1972" t="s">
        <v>23</v>
      </c>
      <c r="AA117" s="1972" t="s">
        <v>639</v>
      </c>
      <c r="AB117" s="1972" t="s">
        <v>29</v>
      </c>
      <c r="AC117" s="1972" t="s">
        <v>20</v>
      </c>
      <c r="AD117" s="1972" t="s">
        <v>248</v>
      </c>
      <c r="AE117" s="1972" t="s">
        <v>20</v>
      </c>
      <c r="AF117" s="1972" t="s">
        <v>34</v>
      </c>
      <c r="AG117" s="1973" t="s">
        <v>637</v>
      </c>
    </row>
    <row r="118" spans="2:33" x14ac:dyDescent="0.2">
      <c r="B118" s="1296" t="str">
        <f>$B$26</f>
        <v>1ères lignes</v>
      </c>
      <c r="C118" s="1297"/>
      <c r="D118" s="1297"/>
      <c r="E118" s="1297"/>
      <c r="F118" s="1297"/>
      <c r="G118" s="1297"/>
      <c r="H118" s="1297"/>
      <c r="I118" s="1297"/>
      <c r="J118" s="1300"/>
      <c r="K118" s="1299"/>
      <c r="L118" s="1297"/>
      <c r="M118" s="1297"/>
      <c r="N118" s="1297"/>
      <c r="O118" s="1297"/>
      <c r="P118" s="1297"/>
      <c r="Q118" s="1297"/>
      <c r="R118" s="1297"/>
      <c r="S118" s="1297"/>
      <c r="T118" s="1297"/>
      <c r="U118" s="1297"/>
      <c r="V118" s="1297"/>
      <c r="W118" s="1297"/>
      <c r="X118" s="1297"/>
      <c r="Y118" s="1297"/>
      <c r="Z118" s="1297"/>
      <c r="AA118" s="1297"/>
      <c r="AB118" s="1297"/>
      <c r="AC118" s="1297"/>
      <c r="AD118" s="1297"/>
      <c r="AE118" s="1297"/>
      <c r="AF118" s="1297"/>
      <c r="AG118" s="1300"/>
    </row>
    <row r="119" spans="2:33" x14ac:dyDescent="0.2">
      <c r="B119" s="1301" t="str">
        <f>C$26</f>
        <v>D4T+3TC+NVP</v>
      </c>
      <c r="C119" s="1460"/>
      <c r="D119" s="1533"/>
      <c r="E119" s="1533"/>
      <c r="F119" s="1533"/>
      <c r="G119" s="1533"/>
      <c r="H119" s="1533"/>
      <c r="I119" s="1533"/>
      <c r="J119" s="1534"/>
      <c r="K119" s="1535"/>
      <c r="L119" s="1533"/>
      <c r="M119" s="1533"/>
      <c r="N119" s="1533"/>
      <c r="O119" s="1533"/>
      <c r="P119" s="1533"/>
      <c r="Q119" s="1533"/>
      <c r="R119" s="1533"/>
      <c r="S119" s="1533"/>
      <c r="T119" s="1533"/>
      <c r="U119" s="1533"/>
      <c r="V119" s="1533"/>
      <c r="W119" s="1533"/>
      <c r="X119" s="1533"/>
      <c r="Y119" s="1533"/>
      <c r="Z119" s="1533"/>
      <c r="AA119" s="1533"/>
      <c r="AB119" s="1533"/>
      <c r="AC119" s="1533"/>
      <c r="AD119" s="1533"/>
      <c r="AE119" s="1533"/>
      <c r="AF119" s="1533"/>
      <c r="AG119" s="1534"/>
    </row>
    <row r="120" spans="2:33" x14ac:dyDescent="0.2">
      <c r="B120" s="1301" t="str">
        <f>C$27</f>
        <v>AZT+3TC+NVP</v>
      </c>
      <c r="C120" s="1460"/>
      <c r="D120" s="1533"/>
      <c r="E120" s="1533"/>
      <c r="F120" s="1533"/>
      <c r="G120" s="1533"/>
      <c r="H120" s="1533"/>
      <c r="I120" s="1533"/>
      <c r="J120" s="1534"/>
      <c r="K120" s="1535"/>
      <c r="L120" s="1533" t="s">
        <v>225</v>
      </c>
      <c r="M120" s="1533"/>
      <c r="N120" s="1533"/>
      <c r="O120" s="1533"/>
      <c r="P120" s="1533"/>
      <c r="Q120" s="1533"/>
      <c r="R120" s="1533"/>
      <c r="S120" s="1533"/>
      <c r="T120" s="1533"/>
      <c r="U120" s="1533"/>
      <c r="V120" s="1533"/>
      <c r="W120" s="1533"/>
      <c r="X120" s="1533"/>
      <c r="Y120" s="1533"/>
      <c r="Z120" s="1533"/>
      <c r="AA120" s="1533"/>
      <c r="AB120" s="1533"/>
      <c r="AC120" s="1533"/>
      <c r="AD120" s="1533"/>
      <c r="AE120" s="1533"/>
      <c r="AF120" s="1533"/>
      <c r="AG120" s="1534"/>
    </row>
    <row r="121" spans="2:33" x14ac:dyDescent="0.2">
      <c r="B121" s="1420" t="str">
        <f>C$28</f>
        <v>AZT+3TC+EFV</v>
      </c>
      <c r="C121" s="1536"/>
      <c r="D121" s="1537"/>
      <c r="E121" s="1537"/>
      <c r="F121" s="1537"/>
      <c r="G121" s="1537"/>
      <c r="H121" s="1537"/>
      <c r="I121" s="1537"/>
      <c r="J121" s="1538"/>
      <c r="K121" s="1539"/>
      <c r="L121" s="1537"/>
      <c r="M121" s="1537"/>
      <c r="N121" s="1537"/>
      <c r="O121" s="1537"/>
      <c r="P121" s="1537"/>
      <c r="Q121" s="1537"/>
      <c r="R121" s="1537"/>
      <c r="S121" s="1537"/>
      <c r="T121" s="1537"/>
      <c r="U121" s="1537"/>
      <c r="V121" s="1537"/>
      <c r="W121" s="1537"/>
      <c r="X121" s="1537"/>
      <c r="Y121" s="1537"/>
      <c r="Z121" s="1537"/>
      <c r="AA121" s="1537"/>
      <c r="AB121" s="1537"/>
      <c r="AC121" s="1537"/>
      <c r="AD121" s="1537"/>
      <c r="AE121" s="1537"/>
      <c r="AF121" s="1537"/>
      <c r="AG121" s="1538"/>
    </row>
    <row r="122" spans="2:33" x14ac:dyDescent="0.2">
      <c r="B122" s="1301" t="str">
        <f>C$29</f>
        <v>LPV/r+3TC+ABC</v>
      </c>
      <c r="C122" s="1460"/>
      <c r="D122" s="1533"/>
      <c r="E122" s="1533"/>
      <c r="F122" s="1533"/>
      <c r="G122" s="1533"/>
      <c r="H122" s="1533"/>
      <c r="I122" s="1533"/>
      <c r="J122" s="1534"/>
      <c r="K122" s="1535"/>
      <c r="L122" s="1533"/>
      <c r="M122" s="1533"/>
      <c r="N122" s="1533"/>
      <c r="O122" s="1533"/>
      <c r="P122" s="1533"/>
      <c r="Q122" s="1533"/>
      <c r="R122" s="1533"/>
      <c r="S122" s="1533"/>
      <c r="T122" s="1533"/>
      <c r="U122" s="1533"/>
      <c r="V122" s="1533"/>
      <c r="W122" s="1533"/>
      <c r="X122" s="1533"/>
      <c r="Y122" s="1533"/>
      <c r="Z122" s="1533"/>
      <c r="AA122" s="1533"/>
      <c r="AB122" s="1533"/>
      <c r="AC122" s="1533"/>
      <c r="AD122" s="1533"/>
      <c r="AE122" s="1533"/>
      <c r="AF122" s="1533"/>
      <c r="AG122" s="1534"/>
    </row>
    <row r="123" spans="2:33" x14ac:dyDescent="0.2">
      <c r="B123" s="1301" t="str">
        <f>C$30</f>
        <v>ABC+3TC+NVP</v>
      </c>
      <c r="C123" s="1533"/>
      <c r="D123" s="1533"/>
      <c r="E123" s="1533"/>
      <c r="F123" s="1533"/>
      <c r="G123" s="1533"/>
      <c r="H123" s="1533" t="s">
        <v>225</v>
      </c>
      <c r="I123" s="1533"/>
      <c r="J123" s="1534"/>
      <c r="K123" s="1535"/>
      <c r="L123" s="1533"/>
      <c r="M123" s="1533"/>
      <c r="N123" s="1533"/>
      <c r="O123" s="1533"/>
      <c r="P123" s="1533"/>
      <c r="Q123" s="1533"/>
      <c r="R123" s="1533"/>
      <c r="S123" s="1533"/>
      <c r="T123" s="1533" t="s">
        <v>225</v>
      </c>
      <c r="U123" s="1533"/>
      <c r="V123" s="1533"/>
      <c r="W123" s="1533"/>
      <c r="X123" s="1533"/>
      <c r="Y123" s="1533"/>
      <c r="Z123" s="1533"/>
      <c r="AA123" s="1533"/>
      <c r="AB123" s="1533"/>
      <c r="AC123" s="1533"/>
      <c r="AD123" s="1533"/>
      <c r="AE123" s="1533"/>
      <c r="AF123" s="1533"/>
      <c r="AG123" s="1534"/>
    </row>
    <row r="124" spans="2:33" x14ac:dyDescent="0.2">
      <c r="B124" s="1301" t="str">
        <f>C$31</f>
        <v>AZT+3TC+LPV/r</v>
      </c>
      <c r="C124" s="1533"/>
      <c r="D124" s="1533"/>
      <c r="E124" s="1533"/>
      <c r="F124" s="1533"/>
      <c r="G124" s="1533"/>
      <c r="H124" s="1533"/>
      <c r="I124" s="1533"/>
      <c r="J124" s="1534" t="s">
        <v>225</v>
      </c>
      <c r="K124" s="1535"/>
      <c r="L124" s="1533"/>
      <c r="M124" s="1533"/>
      <c r="N124" s="1533" t="s">
        <v>225</v>
      </c>
      <c r="O124" s="1533"/>
      <c r="P124" s="1533"/>
      <c r="Q124" s="1533"/>
      <c r="R124" s="1533"/>
      <c r="S124" s="1533"/>
      <c r="T124" s="1533"/>
      <c r="U124" s="1533"/>
      <c r="V124" s="1533"/>
      <c r="W124" s="1533"/>
      <c r="X124" s="1533"/>
      <c r="Y124" s="1533"/>
      <c r="Z124" s="1533"/>
      <c r="AA124" s="1533"/>
      <c r="AB124" s="1533"/>
      <c r="AC124" s="1533"/>
      <c r="AD124" s="1533"/>
      <c r="AE124" s="1533"/>
      <c r="AF124" s="1533"/>
      <c r="AG124" s="1534"/>
    </row>
    <row r="125" spans="2:33" x14ac:dyDescent="0.2">
      <c r="B125" s="1296" t="str">
        <f>$B$32</f>
        <v>2èmes lignes</v>
      </c>
      <c r="C125" s="1540"/>
      <c r="D125" s="1540"/>
      <c r="E125" s="1540"/>
      <c r="F125" s="1540"/>
      <c r="G125" s="1540"/>
      <c r="H125" s="1540"/>
      <c r="I125" s="1540"/>
      <c r="J125" s="1541"/>
      <c r="K125" s="1542"/>
      <c r="L125" s="1540"/>
      <c r="M125" s="1540"/>
      <c r="N125" s="1540"/>
      <c r="O125" s="1540"/>
      <c r="P125" s="1540"/>
      <c r="Q125" s="1540"/>
      <c r="R125" s="1540"/>
      <c r="S125" s="1540"/>
      <c r="T125" s="1540"/>
      <c r="U125" s="1540"/>
      <c r="V125" s="1540"/>
      <c r="W125" s="1540"/>
      <c r="X125" s="1540"/>
      <c r="Y125" s="1540"/>
      <c r="Z125" s="1540"/>
      <c r="AA125" s="1540"/>
      <c r="AB125" s="1540"/>
      <c r="AC125" s="1540"/>
      <c r="AD125" s="1540"/>
      <c r="AE125" s="1540"/>
      <c r="AF125" s="1540"/>
      <c r="AG125" s="1541"/>
    </row>
    <row r="126" spans="2:33" x14ac:dyDescent="0.2">
      <c r="B126" s="1301" t="str">
        <f t="array" ref="B126:B129">$C$32:$C$35</f>
        <v>ABC+3TC+EFV</v>
      </c>
      <c r="C126" s="1533"/>
      <c r="D126" s="1533"/>
      <c r="E126" s="1533"/>
      <c r="F126" s="1533"/>
      <c r="G126" s="1533"/>
      <c r="H126" s="1533"/>
      <c r="I126" s="1533"/>
      <c r="J126" s="1534"/>
      <c r="K126" s="1535"/>
      <c r="L126" s="1533"/>
      <c r="M126" s="1533"/>
      <c r="N126" s="1533"/>
      <c r="O126" s="1533"/>
      <c r="P126" s="1533"/>
      <c r="Q126" s="1533"/>
      <c r="R126" s="1533"/>
      <c r="S126" s="1533"/>
      <c r="T126" s="1533"/>
      <c r="U126" s="1533"/>
      <c r="V126" s="1533"/>
      <c r="W126" s="1533"/>
      <c r="X126" s="1533"/>
      <c r="Y126" s="1533"/>
      <c r="Z126" s="1533"/>
      <c r="AA126" s="1533"/>
      <c r="AB126" s="1533"/>
      <c r="AC126" s="1533"/>
      <c r="AD126" s="1533"/>
      <c r="AE126" s="1533"/>
      <c r="AF126" s="1533"/>
      <c r="AG126" s="1534"/>
    </row>
    <row r="127" spans="2:33" x14ac:dyDescent="0.2">
      <c r="B127" s="1941" t="str">
        <v>TDF+3TC+LPV/r</v>
      </c>
      <c r="C127" s="1942"/>
      <c r="D127" s="1942"/>
      <c r="E127" s="1942"/>
      <c r="F127" s="1942"/>
      <c r="G127" s="1942"/>
      <c r="H127" s="1942"/>
      <c r="I127" s="1942"/>
      <c r="J127" s="1943"/>
      <c r="K127" s="1944"/>
      <c r="L127" s="1942"/>
      <c r="M127" s="1942"/>
      <c r="N127" s="1942"/>
      <c r="O127" s="1942"/>
      <c r="P127" s="1942"/>
      <c r="Q127" s="1942"/>
      <c r="R127" s="1942"/>
      <c r="S127" s="1942"/>
      <c r="T127" s="1942"/>
      <c r="U127" s="1942"/>
      <c r="V127" s="1942"/>
      <c r="W127" s="1942"/>
      <c r="X127" s="1942"/>
      <c r="Y127" s="1942"/>
      <c r="Z127" s="1942"/>
      <c r="AA127" s="1942"/>
      <c r="AB127" s="1942"/>
      <c r="AC127" s="1942"/>
      <c r="AD127" s="1942"/>
      <c r="AE127" s="1942"/>
      <c r="AF127" s="1942"/>
      <c r="AG127" s="1943"/>
    </row>
    <row r="128" spans="2:33" x14ac:dyDescent="0.2">
      <c r="B128" s="1941" t="str">
        <v>AZT+3TC+EFV</v>
      </c>
      <c r="C128" s="1942"/>
      <c r="D128" s="1942"/>
      <c r="E128" s="1942"/>
      <c r="F128" s="1942"/>
      <c r="G128" s="1942"/>
      <c r="H128" s="1942"/>
      <c r="I128" s="1942"/>
      <c r="J128" s="1943"/>
      <c r="K128" s="1944"/>
      <c r="L128" s="1942"/>
      <c r="M128" s="1942"/>
      <c r="N128" s="1942"/>
      <c r="O128" s="1942"/>
      <c r="P128" s="1942"/>
      <c r="Q128" s="1942"/>
      <c r="R128" s="1942"/>
      <c r="S128" s="1942"/>
      <c r="T128" s="1942"/>
      <c r="U128" s="1942"/>
      <c r="V128" s="1942"/>
      <c r="W128" s="1942"/>
      <c r="X128" s="1942"/>
      <c r="Y128" s="1942"/>
      <c r="Z128" s="1942"/>
      <c r="AA128" s="1942"/>
      <c r="AB128" s="1942"/>
      <c r="AC128" s="1942"/>
      <c r="AD128" s="1942"/>
      <c r="AE128" s="1942"/>
      <c r="AF128" s="1942"/>
      <c r="AG128" s="1943"/>
    </row>
    <row r="129" spans="2:33" ht="13.5" thickBot="1" x14ac:dyDescent="0.25">
      <c r="B129" s="1302">
        <v>0</v>
      </c>
      <c r="C129" s="1543"/>
      <c r="D129" s="1543"/>
      <c r="E129" s="1543"/>
      <c r="F129" s="1543"/>
      <c r="G129" s="1543"/>
      <c r="H129" s="1543"/>
      <c r="I129" s="1543"/>
      <c r="J129" s="1544"/>
      <c r="K129" s="1545"/>
      <c r="L129" s="1543"/>
      <c r="M129" s="1543"/>
      <c r="N129" s="1543"/>
      <c r="O129" s="1543"/>
      <c r="P129" s="1543"/>
      <c r="Q129" s="1543"/>
      <c r="R129" s="1543"/>
      <c r="S129" s="1543"/>
      <c r="T129" s="1543"/>
      <c r="U129" s="1543"/>
      <c r="V129" s="1543"/>
      <c r="W129" s="1543"/>
      <c r="X129" s="1543"/>
      <c r="Y129" s="1543"/>
      <c r="Z129" s="1543"/>
      <c r="AA129" s="1543" t="s">
        <v>225</v>
      </c>
      <c r="AB129" s="1543"/>
      <c r="AC129" s="1543"/>
      <c r="AD129" s="1543"/>
      <c r="AE129" s="1543"/>
      <c r="AF129" s="1543"/>
      <c r="AG129" s="1544"/>
    </row>
    <row r="131" spans="2:33" ht="13.5" thickBot="1" x14ac:dyDescent="0.25"/>
    <row r="132" spans="2:33" ht="13.5" thickBot="1" x14ac:dyDescent="0.25">
      <c r="B132" s="2169" t="str">
        <f>'TRAD-Data &amp; hypothesis Children'!B58</f>
        <v>De 10 à 14,9 kg</v>
      </c>
      <c r="C132" s="2170"/>
      <c r="D132" s="2170"/>
      <c r="E132" s="2170"/>
      <c r="F132" s="2171"/>
    </row>
    <row r="133" spans="2:33" ht="13.5" thickBot="1" x14ac:dyDescent="0.25"/>
    <row r="134" spans="2:33" ht="50.25" customHeight="1" x14ac:dyDescent="0.2">
      <c r="B134" s="1421" t="str">
        <f>'TRAD-Data &amp; hypothesis Children'!B95</f>
        <v>Nb de boites / mois pour l'ensemble des patients</v>
      </c>
      <c r="C134" s="1966" t="str">
        <f t="array" ref="C134:AG135">$C$116:$AG$117</f>
        <v>AZT</v>
      </c>
      <c r="D134" s="1966" t="str">
        <v>D4T</v>
      </c>
      <c r="E134" s="1966" t="str">
        <v>3TC</v>
      </c>
      <c r="F134" s="1966" t="str">
        <v>ABC</v>
      </c>
      <c r="G134" s="1966" t="str">
        <v>DDI</v>
      </c>
      <c r="H134" s="1966" t="str">
        <v>NVP</v>
      </c>
      <c r="I134" s="1966" t="str">
        <v>EFV</v>
      </c>
      <c r="J134" s="1967" t="str">
        <v>LPV/r</v>
      </c>
      <c r="K134" s="1968" t="str">
        <v>AZT+ 3TC+ NVP adulte</v>
      </c>
      <c r="L134" s="1966" t="str">
        <v>AZT+ 3TC+ NVP bébé</v>
      </c>
      <c r="M134" s="1966" t="str">
        <v>AZT+ 3TC adulte</v>
      </c>
      <c r="N134" s="1966" t="str">
        <v>AZT+ 3TC bébé</v>
      </c>
      <c r="O134" s="1966" t="str">
        <v>D4T+ 3TC+ NVP adulte</v>
      </c>
      <c r="P134" s="1966" t="str">
        <v>D4T+ 3TC+ NVP bébé</v>
      </c>
      <c r="Q134" s="1969" t="str">
        <v>D4T+ 3TC bébé</v>
      </c>
      <c r="R134" s="1966" t="str">
        <v>AZT+ 3TC+ ABC adulte</v>
      </c>
      <c r="S134" s="1966" t="str">
        <v>AZT+ 3TC+ ABC bébé</v>
      </c>
      <c r="T134" s="1966" t="str">
        <v>ABC+ 3TC adulte</v>
      </c>
      <c r="U134" s="1966" t="str">
        <v>ABC+ 3TC bébé</v>
      </c>
      <c r="V134" s="1970" t="str">
        <v>TDF+ FTC/3TC+ EFV adulte</v>
      </c>
      <c r="W134" s="1970" t="str">
        <v>TDF+ FTC/3TC adulte</v>
      </c>
      <c r="X134" s="1970" t="str">
        <v>TDF adulte</v>
      </c>
      <c r="Y134" s="1966" t="str">
        <v>3TC adulte</v>
      </c>
      <c r="Z134" s="1966" t="str">
        <v>ABC adulte</v>
      </c>
      <c r="AA134" s="1966" t="str">
        <v>ABC bébé</v>
      </c>
      <c r="AB134" s="1966" t="str">
        <v>DDI adulte</v>
      </c>
      <c r="AC134" s="1966" t="str">
        <v>NVP adulte</v>
      </c>
      <c r="AD134" s="1971" t="str">
        <v>NVP bébé</v>
      </c>
      <c r="AE134" s="1966" t="str">
        <v>EFV enfant</v>
      </c>
      <c r="AF134" s="1966" t="str">
        <v>LPV/r adulte</v>
      </c>
      <c r="AG134" s="1967" t="str">
        <v>LPV/r enfant</v>
      </c>
    </row>
    <row r="135" spans="2:33" ht="25.5" x14ac:dyDescent="0.2">
      <c r="B135" s="1332" t="str">
        <f>'TRAD-Data &amp; hypothesis Children'!B96</f>
        <v>Dosage</v>
      </c>
      <c r="C135" s="1972" t="str">
        <v>10 mg/mL</v>
      </c>
      <c r="D135" s="1972" t="str">
        <v>10 mg/mL</v>
      </c>
      <c r="E135" s="1972" t="str">
        <v>10 mg/mL</v>
      </c>
      <c r="F135" s="1972" t="str">
        <v>20 mg/mL</v>
      </c>
      <c r="G135" s="1972" t="str">
        <v>2 g</v>
      </c>
      <c r="H135" s="1972" t="str">
        <v>10 mg/mL</v>
      </c>
      <c r="I135" s="1972" t="str">
        <v>30 mg/mL</v>
      </c>
      <c r="J135" s="1973" t="str">
        <v>80/20 mg/mL</v>
      </c>
      <c r="K135" s="1974" t="str">
        <v>300/150/200 mg</v>
      </c>
      <c r="L135" s="1972" t="str">
        <v>60/30/50 mg</v>
      </c>
      <c r="M135" s="1972" t="str">
        <v>300/150 mg</v>
      </c>
      <c r="N135" s="1972" t="str">
        <v>60/30 mg</v>
      </c>
      <c r="O135" s="1972" t="str">
        <v>30/150/200 mg</v>
      </c>
      <c r="P135" s="1972" t="str">
        <v>6/30/50 mg</v>
      </c>
      <c r="Q135" s="1972" t="str">
        <v>6/30 mg</v>
      </c>
      <c r="R135" s="1972" t="str">
        <v>300/150/300 mg</v>
      </c>
      <c r="S135" s="1972" t="str">
        <v>60/30/60 mg</v>
      </c>
      <c r="T135" s="1972" t="str">
        <v>600/300 mg</v>
      </c>
      <c r="U135" s="1972" t="str">
        <v>60/30 mg</v>
      </c>
      <c r="V135" s="1972" t="str">
        <v>300/200/600 mg</v>
      </c>
      <c r="W135" s="1972" t="str">
        <v>300/200 mg</v>
      </c>
      <c r="X135" s="1972" t="str">
        <v>300 mg</v>
      </c>
      <c r="Y135" s="1972" t="str">
        <v>150 mg</v>
      </c>
      <c r="Z135" s="1972" t="str">
        <v>300 mg</v>
      </c>
      <c r="AA135" s="1972" t="str">
        <v>60 mg</v>
      </c>
      <c r="AB135" s="1972" t="str">
        <v>250 mg</v>
      </c>
      <c r="AC135" s="1972" t="str">
        <v>200 mg</v>
      </c>
      <c r="AD135" s="1972" t="str">
        <v>50 mg</v>
      </c>
      <c r="AE135" s="1972" t="str">
        <v>200 mg</v>
      </c>
      <c r="AF135" s="1972" t="str">
        <v>200/50 mg</v>
      </c>
      <c r="AG135" s="1973" t="str">
        <v>100/25 mg</v>
      </c>
    </row>
    <row r="136" spans="2:33" x14ac:dyDescent="0.2">
      <c r="B136" s="1296" t="str">
        <f>$B$26</f>
        <v>1ères lignes</v>
      </c>
      <c r="C136" s="1297"/>
      <c r="D136" s="1297"/>
      <c r="E136" s="1297"/>
      <c r="F136" s="1297"/>
      <c r="G136" s="1297"/>
      <c r="H136" s="1297"/>
      <c r="I136" s="1297"/>
      <c r="J136" s="1300"/>
      <c r="K136" s="1299"/>
      <c r="L136" s="1297"/>
      <c r="M136" s="1297"/>
      <c r="N136" s="1297"/>
      <c r="O136" s="1297"/>
      <c r="P136" s="1297"/>
      <c r="Q136" s="1297"/>
      <c r="R136" s="1297"/>
      <c r="S136" s="1297"/>
      <c r="T136" s="1297"/>
      <c r="U136" s="1297"/>
      <c r="V136" s="1297"/>
      <c r="W136" s="1297"/>
      <c r="X136" s="1297"/>
      <c r="Y136" s="1297"/>
      <c r="Z136" s="1297"/>
      <c r="AA136" s="1297"/>
      <c r="AB136" s="1297"/>
      <c r="AC136" s="1297"/>
      <c r="AD136" s="1297"/>
      <c r="AE136" s="1297"/>
      <c r="AF136" s="1297"/>
      <c r="AG136" s="1300"/>
    </row>
    <row r="137" spans="2:33" x14ac:dyDescent="0.2">
      <c r="B137" s="1301" t="str">
        <f>C$26</f>
        <v>D4T+3TC+NVP</v>
      </c>
      <c r="C137" s="1460"/>
      <c r="D137" s="1533"/>
      <c r="E137" s="1533"/>
      <c r="F137" s="1533"/>
      <c r="G137" s="1533"/>
      <c r="H137" s="1533"/>
      <c r="I137" s="1533"/>
      <c r="J137" s="1534"/>
      <c r="K137" s="1535"/>
      <c r="L137" s="1533"/>
      <c r="M137" s="1533"/>
      <c r="N137" s="1533"/>
      <c r="O137" s="1533"/>
      <c r="P137" s="1533"/>
      <c r="Q137" s="1533"/>
      <c r="R137" s="1533"/>
      <c r="S137" s="1533"/>
      <c r="T137" s="1533"/>
      <c r="U137" s="1533"/>
      <c r="V137" s="1533"/>
      <c r="W137" s="1533"/>
      <c r="X137" s="1533"/>
      <c r="Y137" s="1533"/>
      <c r="Z137" s="1533"/>
      <c r="AA137" s="1533"/>
      <c r="AB137" s="1533"/>
      <c r="AC137" s="1533"/>
      <c r="AD137" s="1533"/>
      <c r="AE137" s="1533"/>
      <c r="AF137" s="1533"/>
      <c r="AG137" s="1534"/>
    </row>
    <row r="138" spans="2:33" x14ac:dyDescent="0.2">
      <c r="B138" s="1301" t="str">
        <f>C$27</f>
        <v>AZT+3TC+NVP</v>
      </c>
      <c r="C138" s="1460"/>
      <c r="D138" s="1533"/>
      <c r="E138" s="1533"/>
      <c r="F138" s="1533"/>
      <c r="G138" s="1533"/>
      <c r="H138" s="1533"/>
      <c r="I138" s="1533"/>
      <c r="J138" s="1534"/>
      <c r="K138" s="1535"/>
      <c r="L138" s="1533" t="s">
        <v>225</v>
      </c>
      <c r="M138" s="1533"/>
      <c r="N138" s="1533"/>
      <c r="O138" s="1533"/>
      <c r="P138" s="1533"/>
      <c r="Q138" s="1533"/>
      <c r="R138" s="1533"/>
      <c r="S138" s="1533"/>
      <c r="T138" s="1533"/>
      <c r="U138" s="1533"/>
      <c r="V138" s="1533"/>
      <c r="W138" s="1533"/>
      <c r="X138" s="1533"/>
      <c r="Y138" s="1533"/>
      <c r="Z138" s="1533"/>
      <c r="AA138" s="1533"/>
      <c r="AB138" s="1533"/>
      <c r="AC138" s="1533"/>
      <c r="AD138" s="1533"/>
      <c r="AE138" s="1533"/>
      <c r="AF138" s="1533"/>
      <c r="AG138" s="1534"/>
    </row>
    <row r="139" spans="2:33" x14ac:dyDescent="0.2">
      <c r="B139" s="1301" t="str">
        <f>C$28</f>
        <v>AZT+3TC+EFV</v>
      </c>
      <c r="C139" s="1460"/>
      <c r="D139" s="1533"/>
      <c r="E139" s="1533"/>
      <c r="F139" s="1533"/>
      <c r="G139" s="1533"/>
      <c r="H139" s="1533"/>
      <c r="I139" s="1533" t="s">
        <v>225</v>
      </c>
      <c r="J139" s="1534"/>
      <c r="K139" s="1535"/>
      <c r="L139" s="1533"/>
      <c r="M139" s="1533"/>
      <c r="N139" s="1533" t="s">
        <v>225</v>
      </c>
      <c r="O139" s="1533"/>
      <c r="P139" s="1533"/>
      <c r="Q139" s="1533"/>
      <c r="R139" s="1533"/>
      <c r="S139" s="1533"/>
      <c r="T139" s="1533"/>
      <c r="U139" s="1533"/>
      <c r="V139" s="1533"/>
      <c r="W139" s="1533"/>
      <c r="X139" s="1533"/>
      <c r="Y139" s="1533"/>
      <c r="Z139" s="1533"/>
      <c r="AA139" s="1533"/>
      <c r="AB139" s="1533"/>
      <c r="AC139" s="1533"/>
      <c r="AD139" s="1533"/>
      <c r="AE139" s="1533" t="s">
        <v>225</v>
      </c>
      <c r="AF139" s="1533"/>
      <c r="AG139" s="1534"/>
    </row>
    <row r="140" spans="2:33" x14ac:dyDescent="0.2">
      <c r="B140" s="1301" t="str">
        <f>C$29</f>
        <v>LPV/r+3TC+ABC</v>
      </c>
      <c r="C140" s="1460"/>
      <c r="D140" s="1533"/>
      <c r="E140" s="1533"/>
      <c r="F140" s="1533"/>
      <c r="G140" s="1533"/>
      <c r="H140" s="1533"/>
      <c r="I140" s="1533"/>
      <c r="J140" s="1534" t="s">
        <v>225</v>
      </c>
      <c r="K140" s="1535"/>
      <c r="L140" s="1533"/>
      <c r="M140" s="1533"/>
      <c r="N140" s="1533"/>
      <c r="O140" s="1533"/>
      <c r="P140" s="1533"/>
      <c r="Q140" s="1533"/>
      <c r="R140" s="1533"/>
      <c r="S140" s="1533"/>
      <c r="T140" s="1533"/>
      <c r="U140" s="1533" t="s">
        <v>225</v>
      </c>
      <c r="V140" s="1533"/>
      <c r="W140" s="1533"/>
      <c r="X140" s="1533"/>
      <c r="Y140" s="1533"/>
      <c r="Z140" s="1533"/>
      <c r="AA140" s="1533"/>
      <c r="AB140" s="1533"/>
      <c r="AC140" s="1533"/>
      <c r="AD140" s="1533"/>
      <c r="AE140" s="1533"/>
      <c r="AF140" s="1533"/>
      <c r="AG140" s="1534"/>
    </row>
    <row r="141" spans="2:33" x14ac:dyDescent="0.2">
      <c r="B141" s="1301" t="str">
        <f>C$30</f>
        <v>ABC+3TC+NVP</v>
      </c>
      <c r="C141" s="1533"/>
      <c r="D141" s="1533"/>
      <c r="E141" s="1533"/>
      <c r="F141" s="1533"/>
      <c r="G141" s="1533"/>
      <c r="H141" s="1533" t="s">
        <v>225</v>
      </c>
      <c r="I141" s="1533"/>
      <c r="J141" s="1534"/>
      <c r="K141" s="1535"/>
      <c r="L141" s="1533"/>
      <c r="M141" s="1533"/>
      <c r="N141" s="1533"/>
      <c r="O141" s="1533"/>
      <c r="P141" s="1533"/>
      <c r="Q141" s="1533"/>
      <c r="R141" s="1533"/>
      <c r="S141" s="1533"/>
      <c r="T141" s="1533" t="s">
        <v>225</v>
      </c>
      <c r="U141" s="1533"/>
      <c r="V141" s="1533"/>
      <c r="W141" s="1533"/>
      <c r="X141" s="1533"/>
      <c r="Y141" s="1533"/>
      <c r="Z141" s="1533"/>
      <c r="AA141" s="1533"/>
      <c r="AB141" s="1533"/>
      <c r="AC141" s="1533"/>
      <c r="AD141" s="1533" t="s">
        <v>225</v>
      </c>
      <c r="AE141" s="1533"/>
      <c r="AF141" s="1533"/>
      <c r="AG141" s="1534"/>
    </row>
    <row r="142" spans="2:33" x14ac:dyDescent="0.2">
      <c r="B142" s="1301" t="str">
        <f>C$31</f>
        <v>AZT+3TC+LPV/r</v>
      </c>
      <c r="C142" s="1533"/>
      <c r="D142" s="1533"/>
      <c r="E142" s="1533"/>
      <c r="F142" s="1533"/>
      <c r="G142" s="1533"/>
      <c r="H142" s="1533"/>
      <c r="I142" s="1533"/>
      <c r="J142" s="1534" t="s">
        <v>225</v>
      </c>
      <c r="K142" s="1535"/>
      <c r="L142" s="1533"/>
      <c r="M142" s="1533"/>
      <c r="N142" s="1533" t="s">
        <v>225</v>
      </c>
      <c r="O142" s="1533"/>
      <c r="P142" s="1533"/>
      <c r="Q142" s="1533"/>
      <c r="R142" s="1533"/>
      <c r="S142" s="1533"/>
      <c r="T142" s="1533"/>
      <c r="U142" s="1533"/>
      <c r="V142" s="1533"/>
      <c r="W142" s="1533"/>
      <c r="X142" s="1533"/>
      <c r="Y142" s="1533"/>
      <c r="Z142" s="1533"/>
      <c r="AA142" s="1533"/>
      <c r="AB142" s="1533"/>
      <c r="AC142" s="1533"/>
      <c r="AD142" s="1533"/>
      <c r="AE142" s="1533"/>
      <c r="AF142" s="1533"/>
      <c r="AG142" s="1534" t="s">
        <v>225</v>
      </c>
    </row>
    <row r="143" spans="2:33" x14ac:dyDescent="0.2">
      <c r="B143" s="1296" t="str">
        <f>$B$32</f>
        <v>2èmes lignes</v>
      </c>
      <c r="C143" s="1540"/>
      <c r="D143" s="1540"/>
      <c r="E143" s="1540"/>
      <c r="F143" s="1540"/>
      <c r="G143" s="1540"/>
      <c r="H143" s="1540"/>
      <c r="I143" s="1540"/>
      <c r="J143" s="1541"/>
      <c r="K143" s="1542"/>
      <c r="L143" s="1540"/>
      <c r="M143" s="1540"/>
      <c r="N143" s="1540"/>
      <c r="O143" s="1540"/>
      <c r="P143" s="1540"/>
      <c r="Q143" s="1540"/>
      <c r="R143" s="1540"/>
      <c r="S143" s="1540"/>
      <c r="T143" s="1540"/>
      <c r="U143" s="1540"/>
      <c r="V143" s="1540"/>
      <c r="W143" s="1540"/>
      <c r="X143" s="1540"/>
      <c r="Y143" s="1540"/>
      <c r="Z143" s="1540"/>
      <c r="AA143" s="1540"/>
      <c r="AB143" s="1540"/>
      <c r="AC143" s="1540"/>
      <c r="AD143" s="1540"/>
      <c r="AE143" s="1540"/>
      <c r="AF143" s="1540"/>
      <c r="AG143" s="1541"/>
    </row>
    <row r="144" spans="2:33" x14ac:dyDescent="0.2">
      <c r="B144" s="1301" t="str">
        <f t="array" ref="B144:B147">$C$32:$C$35</f>
        <v>ABC+3TC+EFV</v>
      </c>
      <c r="C144" s="1533"/>
      <c r="D144" s="1533"/>
      <c r="E144" s="1533"/>
      <c r="F144" s="1533"/>
      <c r="G144" s="1533"/>
      <c r="H144" s="1533"/>
      <c r="I144" s="1533" t="s">
        <v>225</v>
      </c>
      <c r="J144" s="1534"/>
      <c r="K144" s="1535"/>
      <c r="L144" s="1533"/>
      <c r="M144" s="1533"/>
      <c r="N144" s="1533"/>
      <c r="O144" s="1533"/>
      <c r="P144" s="1533"/>
      <c r="Q144" s="1533"/>
      <c r="R144" s="1533"/>
      <c r="S144" s="1533"/>
      <c r="T144" s="1533"/>
      <c r="U144" s="1533" t="s">
        <v>225</v>
      </c>
      <c r="V144" s="1533"/>
      <c r="W144" s="1533"/>
      <c r="X144" s="1533"/>
      <c r="Y144" s="1533"/>
      <c r="Z144" s="1533"/>
      <c r="AA144" s="1533"/>
      <c r="AB144" s="1533"/>
      <c r="AC144" s="1533"/>
      <c r="AD144" s="1533"/>
      <c r="AE144" s="1533"/>
      <c r="AF144" s="1533"/>
      <c r="AG144" s="1534" t="s">
        <v>225</v>
      </c>
    </row>
    <row r="145" spans="2:33" x14ac:dyDescent="0.2">
      <c r="B145" s="1941" t="str">
        <v>TDF+3TC+LPV/r</v>
      </c>
      <c r="C145" s="1942"/>
      <c r="D145" s="1942"/>
      <c r="E145" s="1942"/>
      <c r="F145" s="1942"/>
      <c r="G145" s="1942"/>
      <c r="H145" s="1942"/>
      <c r="I145" s="1942"/>
      <c r="J145" s="1943"/>
      <c r="K145" s="1944"/>
      <c r="L145" s="1942"/>
      <c r="M145" s="1942"/>
      <c r="N145" s="1942"/>
      <c r="O145" s="1942"/>
      <c r="P145" s="1942"/>
      <c r="Q145" s="1942"/>
      <c r="R145" s="1942"/>
      <c r="S145" s="1942"/>
      <c r="T145" s="1942"/>
      <c r="U145" s="1942"/>
      <c r="V145" s="1942"/>
      <c r="W145" s="1942"/>
      <c r="X145" s="1942"/>
      <c r="Y145" s="1942"/>
      <c r="Z145" s="1942"/>
      <c r="AA145" s="1942"/>
      <c r="AB145" s="1942"/>
      <c r="AC145" s="1942"/>
      <c r="AD145" s="1942"/>
      <c r="AE145" s="1942"/>
      <c r="AF145" s="1942"/>
      <c r="AG145" s="1943" t="s">
        <v>225</v>
      </c>
    </row>
    <row r="146" spans="2:33" x14ac:dyDescent="0.2">
      <c r="B146" s="1941" t="str">
        <v>AZT+3TC+EFV</v>
      </c>
      <c r="C146" s="1942"/>
      <c r="D146" s="1942"/>
      <c r="E146" s="1942"/>
      <c r="F146" s="1942"/>
      <c r="G146" s="1942"/>
      <c r="H146" s="1942"/>
      <c r="I146" s="1942"/>
      <c r="J146" s="1943"/>
      <c r="K146" s="1944"/>
      <c r="L146" s="1942"/>
      <c r="M146" s="1942"/>
      <c r="N146" s="1942"/>
      <c r="O146" s="1942"/>
      <c r="P146" s="1942"/>
      <c r="Q146" s="1942"/>
      <c r="R146" s="1942"/>
      <c r="S146" s="1942"/>
      <c r="T146" s="1942"/>
      <c r="U146" s="1942"/>
      <c r="V146" s="1942"/>
      <c r="W146" s="1942"/>
      <c r="X146" s="1942"/>
      <c r="Y146" s="1942"/>
      <c r="Z146" s="1942"/>
      <c r="AA146" s="1942"/>
      <c r="AB146" s="1942"/>
      <c r="AC146" s="1942"/>
      <c r="AD146" s="1942"/>
      <c r="AE146" s="1942"/>
      <c r="AF146" s="1942"/>
      <c r="AG146" s="1943"/>
    </row>
    <row r="147" spans="2:33" ht="13.5" thickBot="1" x14ac:dyDescent="0.25">
      <c r="B147" s="1302">
        <v>0</v>
      </c>
      <c r="C147" s="1543"/>
      <c r="D147" s="1543"/>
      <c r="E147" s="1543"/>
      <c r="F147" s="1543"/>
      <c r="G147" s="1543"/>
      <c r="H147" s="1543"/>
      <c r="I147" s="1543"/>
      <c r="J147" s="1544"/>
      <c r="K147" s="1545"/>
      <c r="L147" s="1543"/>
      <c r="M147" s="1543"/>
      <c r="N147" s="1543"/>
      <c r="O147" s="1543"/>
      <c r="P147" s="1543"/>
      <c r="Q147" s="1543"/>
      <c r="R147" s="1543"/>
      <c r="S147" s="1543"/>
      <c r="T147" s="1543"/>
      <c r="U147" s="1543"/>
      <c r="V147" s="1543"/>
      <c r="W147" s="1543"/>
      <c r="X147" s="1543"/>
      <c r="Y147" s="1543"/>
      <c r="Z147" s="1543"/>
      <c r="AA147" s="1543"/>
      <c r="AB147" s="1543"/>
      <c r="AC147" s="1543"/>
      <c r="AD147" s="1543"/>
      <c r="AE147" s="1543"/>
      <c r="AF147" s="1543"/>
      <c r="AG147" s="1544"/>
    </row>
    <row r="149" spans="2:33" ht="13.5" thickBot="1" x14ac:dyDescent="0.25"/>
    <row r="150" spans="2:33" ht="13.5" thickBot="1" x14ac:dyDescent="0.25">
      <c r="B150" s="2169" t="str">
        <f>'TRAD-Data &amp; hypothesis Children'!B59</f>
        <v>De 15  à 19,9 kg</v>
      </c>
      <c r="C150" s="2170"/>
      <c r="D150" s="2170"/>
      <c r="E150" s="2170"/>
      <c r="F150" s="2171"/>
    </row>
    <row r="151" spans="2:33" ht="13.5" thickBot="1" x14ac:dyDescent="0.25"/>
    <row r="152" spans="2:33" ht="50.25" customHeight="1" x14ac:dyDescent="0.2">
      <c r="B152" s="1421" t="str">
        <f>'TRAD-Data &amp; hypothesis Children'!B95</f>
        <v>Nb de boites / mois pour l'ensemble des patients</v>
      </c>
      <c r="C152" s="1966" t="str">
        <f t="array" ref="C152:AG153">$C$116:$AG$117</f>
        <v>AZT</v>
      </c>
      <c r="D152" s="1966" t="str">
        <v>D4T</v>
      </c>
      <c r="E152" s="1966" t="str">
        <v>3TC</v>
      </c>
      <c r="F152" s="1966" t="str">
        <v>ABC</v>
      </c>
      <c r="G152" s="1966" t="str">
        <v>DDI</v>
      </c>
      <c r="H152" s="1966" t="str">
        <v>NVP</v>
      </c>
      <c r="I152" s="1966" t="str">
        <v>EFV</v>
      </c>
      <c r="J152" s="1967" t="str">
        <v>LPV/r</v>
      </c>
      <c r="K152" s="1968" t="str">
        <v>AZT+ 3TC+ NVP adulte</v>
      </c>
      <c r="L152" s="1966" t="str">
        <v>AZT+ 3TC+ NVP bébé</v>
      </c>
      <c r="M152" s="1966" t="str">
        <v>AZT+ 3TC adulte</v>
      </c>
      <c r="N152" s="1966" t="str">
        <v>AZT+ 3TC bébé</v>
      </c>
      <c r="O152" s="1966" t="str">
        <v>D4T+ 3TC+ NVP adulte</v>
      </c>
      <c r="P152" s="1966" t="str">
        <v>D4T+ 3TC+ NVP bébé</v>
      </c>
      <c r="Q152" s="1969" t="str">
        <v>D4T+ 3TC bébé</v>
      </c>
      <c r="R152" s="1966" t="str">
        <v>AZT+ 3TC+ ABC adulte</v>
      </c>
      <c r="S152" s="1966" t="str">
        <v>AZT+ 3TC+ ABC bébé</v>
      </c>
      <c r="T152" s="1966" t="str">
        <v>ABC+ 3TC adulte</v>
      </c>
      <c r="U152" s="1966" t="str">
        <v>ABC+ 3TC bébé</v>
      </c>
      <c r="V152" s="1970" t="str">
        <v>TDF+ FTC/3TC+ EFV adulte</v>
      </c>
      <c r="W152" s="1970" t="str">
        <v>TDF+ FTC/3TC adulte</v>
      </c>
      <c r="X152" s="1970" t="str">
        <v>TDF adulte</v>
      </c>
      <c r="Y152" s="1966" t="str">
        <v>3TC adulte</v>
      </c>
      <c r="Z152" s="1966" t="str">
        <v>ABC adulte</v>
      </c>
      <c r="AA152" s="1966" t="str">
        <v>ABC bébé</v>
      </c>
      <c r="AB152" s="1966" t="str">
        <v>DDI adulte</v>
      </c>
      <c r="AC152" s="1966" t="str">
        <v>NVP adulte</v>
      </c>
      <c r="AD152" s="1971" t="str">
        <v>NVP bébé</v>
      </c>
      <c r="AE152" s="1966" t="str">
        <v>EFV enfant</v>
      </c>
      <c r="AF152" s="1966" t="str">
        <v>LPV/r adulte</v>
      </c>
      <c r="AG152" s="1967" t="str">
        <v>LPV/r enfant</v>
      </c>
    </row>
    <row r="153" spans="2:33" ht="25.5" x14ac:dyDescent="0.2">
      <c r="B153" s="1332" t="str">
        <f>'TRAD-Data &amp; hypothesis Children'!B96</f>
        <v>Dosage</v>
      </c>
      <c r="C153" s="1972" t="str">
        <v>10 mg/mL</v>
      </c>
      <c r="D153" s="1972" t="str">
        <v>10 mg/mL</v>
      </c>
      <c r="E153" s="1972" t="str">
        <v>10 mg/mL</v>
      </c>
      <c r="F153" s="1972" t="str">
        <v>20 mg/mL</v>
      </c>
      <c r="G153" s="1972" t="str">
        <v>2 g</v>
      </c>
      <c r="H153" s="1972" t="str">
        <v>10 mg/mL</v>
      </c>
      <c r="I153" s="1972" t="str">
        <v>30 mg/mL</v>
      </c>
      <c r="J153" s="1973" t="str">
        <v>80/20 mg/mL</v>
      </c>
      <c r="K153" s="1974" t="str">
        <v>300/150/200 mg</v>
      </c>
      <c r="L153" s="1972" t="str">
        <v>60/30/50 mg</v>
      </c>
      <c r="M153" s="1972" t="str">
        <v>300/150 mg</v>
      </c>
      <c r="N153" s="1972" t="str">
        <v>60/30 mg</v>
      </c>
      <c r="O153" s="1972" t="str">
        <v>30/150/200 mg</v>
      </c>
      <c r="P153" s="1972" t="str">
        <v>6/30/50 mg</v>
      </c>
      <c r="Q153" s="1972" t="str">
        <v>6/30 mg</v>
      </c>
      <c r="R153" s="1972" t="str">
        <v>300/150/300 mg</v>
      </c>
      <c r="S153" s="1972" t="str">
        <v>60/30/60 mg</v>
      </c>
      <c r="T153" s="1972" t="str">
        <v>600/300 mg</v>
      </c>
      <c r="U153" s="1972" t="str">
        <v>60/30 mg</v>
      </c>
      <c r="V153" s="1972" t="str">
        <v>300/200/600 mg</v>
      </c>
      <c r="W153" s="1972" t="str">
        <v>300/200 mg</v>
      </c>
      <c r="X153" s="1972" t="str">
        <v>300 mg</v>
      </c>
      <c r="Y153" s="1972" t="str">
        <v>150 mg</v>
      </c>
      <c r="Z153" s="1972" t="str">
        <v>300 mg</v>
      </c>
      <c r="AA153" s="1972" t="str">
        <v>60 mg</v>
      </c>
      <c r="AB153" s="1972" t="str">
        <v>250 mg</v>
      </c>
      <c r="AC153" s="1972" t="str">
        <v>200 mg</v>
      </c>
      <c r="AD153" s="1972" t="str">
        <v>50 mg</v>
      </c>
      <c r="AE153" s="1972" t="str">
        <v>200 mg</v>
      </c>
      <c r="AF153" s="1972" t="str">
        <v>200/50 mg</v>
      </c>
      <c r="AG153" s="1973" t="str">
        <v>100/25 mg</v>
      </c>
    </row>
    <row r="154" spans="2:33" x14ac:dyDescent="0.2">
      <c r="B154" s="1296" t="str">
        <f>$B$26</f>
        <v>1ères lignes</v>
      </c>
      <c r="C154" s="1297"/>
      <c r="D154" s="1297"/>
      <c r="E154" s="1297"/>
      <c r="F154" s="1297"/>
      <c r="G154" s="1297"/>
      <c r="H154" s="1297"/>
      <c r="I154" s="1297"/>
      <c r="J154" s="1300"/>
      <c r="K154" s="1299"/>
      <c r="L154" s="1297"/>
      <c r="M154" s="1297"/>
      <c r="N154" s="1297"/>
      <c r="O154" s="1297"/>
      <c r="P154" s="1297"/>
      <c r="Q154" s="1297"/>
      <c r="R154" s="1297"/>
      <c r="S154" s="1297"/>
      <c r="T154" s="1297"/>
      <c r="U154" s="1297"/>
      <c r="V154" s="1297"/>
      <c r="W154" s="1297"/>
      <c r="X154" s="1297"/>
      <c r="Y154" s="1297"/>
      <c r="Z154" s="1297"/>
      <c r="AA154" s="1297"/>
      <c r="AB154" s="1297"/>
      <c r="AC154" s="1297"/>
      <c r="AD154" s="1297"/>
      <c r="AE154" s="1297"/>
      <c r="AF154" s="1297"/>
      <c r="AG154" s="1300"/>
    </row>
    <row r="155" spans="2:33" x14ac:dyDescent="0.2">
      <c r="B155" s="1301" t="str">
        <f>C$26</f>
        <v>D4T+3TC+NVP</v>
      </c>
      <c r="C155" s="1460"/>
      <c r="D155" s="1533"/>
      <c r="E155" s="1533"/>
      <c r="F155" s="1533"/>
      <c r="G155" s="1533"/>
      <c r="H155" s="1533"/>
      <c r="I155" s="1533"/>
      <c r="J155" s="1534"/>
      <c r="K155" s="1535"/>
      <c r="L155" s="1533"/>
      <c r="M155" s="1533"/>
      <c r="N155" s="1533"/>
      <c r="O155" s="1533"/>
      <c r="P155" s="1533" t="s">
        <v>225</v>
      </c>
      <c r="Q155" s="1533"/>
      <c r="R155" s="1533"/>
      <c r="S155" s="1533"/>
      <c r="T155" s="1533"/>
      <c r="U155" s="1533"/>
      <c r="V155" s="1533"/>
      <c r="W155" s="1533"/>
      <c r="X155" s="1533"/>
      <c r="Y155" s="1533"/>
      <c r="Z155" s="1533"/>
      <c r="AA155" s="1533"/>
      <c r="AB155" s="1533"/>
      <c r="AC155" s="1533"/>
      <c r="AD155" s="1533"/>
      <c r="AE155" s="1533"/>
      <c r="AF155" s="1533"/>
      <c r="AG155" s="1534"/>
    </row>
    <row r="156" spans="2:33" x14ac:dyDescent="0.2">
      <c r="B156" s="1301" t="str">
        <f>C$27</f>
        <v>AZT+3TC+NVP</v>
      </c>
      <c r="C156" s="1460"/>
      <c r="D156" s="1533"/>
      <c r="E156" s="1533"/>
      <c r="F156" s="1533"/>
      <c r="G156" s="1533"/>
      <c r="H156" s="1533"/>
      <c r="I156" s="1533"/>
      <c r="J156" s="1534"/>
      <c r="K156" s="1535"/>
      <c r="L156" s="1533" t="s">
        <v>225</v>
      </c>
      <c r="M156" s="1533"/>
      <c r="N156" s="1533"/>
      <c r="O156" s="1533"/>
      <c r="P156" s="1533"/>
      <c r="Q156" s="1533"/>
      <c r="R156" s="1533"/>
      <c r="S156" s="1533"/>
      <c r="T156" s="1533"/>
      <c r="U156" s="1533"/>
      <c r="V156" s="1533"/>
      <c r="W156" s="1533"/>
      <c r="X156" s="1533"/>
      <c r="Y156" s="1533"/>
      <c r="Z156" s="1533"/>
      <c r="AA156" s="1533"/>
      <c r="AB156" s="1533"/>
      <c r="AC156" s="1533"/>
      <c r="AD156" s="1533"/>
      <c r="AE156" s="1533"/>
      <c r="AF156" s="1533"/>
      <c r="AG156" s="1534"/>
    </row>
    <row r="157" spans="2:33" x14ac:dyDescent="0.2">
      <c r="B157" s="1301" t="str">
        <f>C$28</f>
        <v>AZT+3TC+EFV</v>
      </c>
      <c r="C157" s="1460"/>
      <c r="D157" s="1533"/>
      <c r="E157" s="1533"/>
      <c r="F157" s="1533"/>
      <c r="G157" s="1533"/>
      <c r="H157" s="1533"/>
      <c r="I157" s="1533"/>
      <c r="J157" s="1534"/>
      <c r="K157" s="1535"/>
      <c r="L157" s="1533"/>
      <c r="M157" s="1533"/>
      <c r="N157" s="1533" t="s">
        <v>225</v>
      </c>
      <c r="O157" s="1533"/>
      <c r="P157" s="1533"/>
      <c r="Q157" s="1533"/>
      <c r="R157" s="1533"/>
      <c r="S157" s="1533"/>
      <c r="T157" s="1533"/>
      <c r="U157" s="1533"/>
      <c r="V157" s="1533"/>
      <c r="W157" s="1533"/>
      <c r="X157" s="1533"/>
      <c r="Y157" s="1533"/>
      <c r="Z157" s="1533"/>
      <c r="AA157" s="1533"/>
      <c r="AB157" s="1533"/>
      <c r="AC157" s="1533"/>
      <c r="AD157" s="1533"/>
      <c r="AE157" s="1533" t="s">
        <v>225</v>
      </c>
      <c r="AF157" s="1533"/>
      <c r="AG157" s="1534"/>
    </row>
    <row r="158" spans="2:33" x14ac:dyDescent="0.2">
      <c r="B158" s="1301" t="str">
        <f>C$29</f>
        <v>LPV/r+3TC+ABC</v>
      </c>
      <c r="C158" s="1460"/>
      <c r="D158" s="1533"/>
      <c r="E158" s="1533"/>
      <c r="F158" s="1533"/>
      <c r="G158" s="1533"/>
      <c r="H158" s="1533"/>
      <c r="I158" s="1533"/>
      <c r="J158" s="1534"/>
      <c r="K158" s="1535"/>
      <c r="L158" s="1533"/>
      <c r="M158" s="1533"/>
      <c r="N158" s="1533"/>
      <c r="O158" s="1533"/>
      <c r="P158" s="1533"/>
      <c r="Q158" s="1533"/>
      <c r="R158" s="1533"/>
      <c r="S158" s="1533"/>
      <c r="T158" s="1533"/>
      <c r="U158" s="1533"/>
      <c r="V158" s="1533"/>
      <c r="W158" s="1533"/>
      <c r="X158" s="1533"/>
      <c r="Y158" s="1533"/>
      <c r="Z158" s="1533"/>
      <c r="AA158" s="1533"/>
      <c r="AB158" s="1533"/>
      <c r="AC158" s="1533"/>
      <c r="AD158" s="1533"/>
      <c r="AE158" s="1533"/>
      <c r="AF158" s="1533"/>
      <c r="AG158" s="1534"/>
    </row>
    <row r="159" spans="2:33" x14ac:dyDescent="0.2">
      <c r="B159" s="1301" t="str">
        <f>C$30</f>
        <v>ABC+3TC+NVP</v>
      </c>
      <c r="C159" s="1533"/>
      <c r="D159" s="1533"/>
      <c r="E159" s="1533"/>
      <c r="F159" s="1533"/>
      <c r="G159" s="1533"/>
      <c r="H159" s="1533"/>
      <c r="I159" s="1533"/>
      <c r="J159" s="1534"/>
      <c r="K159" s="1535"/>
      <c r="L159" s="1533"/>
      <c r="M159" s="1533"/>
      <c r="N159" s="1533"/>
      <c r="O159" s="1533"/>
      <c r="P159" s="1533"/>
      <c r="Q159" s="1533"/>
      <c r="R159" s="1533"/>
      <c r="S159" s="1533"/>
      <c r="T159" s="1533"/>
      <c r="U159" s="1533" t="s">
        <v>225</v>
      </c>
      <c r="V159" s="1533"/>
      <c r="W159" s="1533"/>
      <c r="X159" s="1533"/>
      <c r="Y159" s="1533"/>
      <c r="Z159" s="1533"/>
      <c r="AA159" s="1533"/>
      <c r="AB159" s="1533"/>
      <c r="AC159" s="1533"/>
      <c r="AD159" s="1533" t="s">
        <v>225</v>
      </c>
      <c r="AE159" s="1533"/>
      <c r="AF159" s="1533"/>
      <c r="AG159" s="1534"/>
    </row>
    <row r="160" spans="2:33" x14ac:dyDescent="0.2">
      <c r="B160" s="1301" t="str">
        <f>C$31</f>
        <v>AZT+3TC+LPV/r</v>
      </c>
      <c r="C160" s="1533"/>
      <c r="D160" s="1533"/>
      <c r="E160" s="1533"/>
      <c r="F160" s="1533"/>
      <c r="G160" s="1533"/>
      <c r="H160" s="1533"/>
      <c r="I160" s="1533"/>
      <c r="J160" s="1534"/>
      <c r="K160" s="1535"/>
      <c r="L160" s="1533"/>
      <c r="M160" s="1533"/>
      <c r="N160" s="1533" t="s">
        <v>225</v>
      </c>
      <c r="O160" s="1533"/>
      <c r="P160" s="1533"/>
      <c r="Q160" s="1533"/>
      <c r="R160" s="1533"/>
      <c r="S160" s="1533"/>
      <c r="T160" s="1533"/>
      <c r="U160" s="1533"/>
      <c r="V160" s="1533"/>
      <c r="W160" s="1533"/>
      <c r="X160" s="1533"/>
      <c r="Y160" s="1533"/>
      <c r="Z160" s="1533"/>
      <c r="AA160" s="1533"/>
      <c r="AB160" s="1533"/>
      <c r="AC160" s="1533"/>
      <c r="AD160" s="1533"/>
      <c r="AE160" s="1533"/>
      <c r="AF160" s="1533"/>
      <c r="AG160" s="1534" t="s">
        <v>225</v>
      </c>
    </row>
    <row r="161" spans="2:33" x14ac:dyDescent="0.2">
      <c r="B161" s="1296" t="str">
        <f>$B$32</f>
        <v>2èmes lignes</v>
      </c>
      <c r="C161" s="1540"/>
      <c r="D161" s="1540"/>
      <c r="E161" s="1540"/>
      <c r="F161" s="1540"/>
      <c r="G161" s="1540"/>
      <c r="H161" s="1540"/>
      <c r="I161" s="1540"/>
      <c r="J161" s="1541"/>
      <c r="K161" s="1542"/>
      <c r="L161" s="1540"/>
      <c r="M161" s="1540"/>
      <c r="N161" s="1540"/>
      <c r="O161" s="1540"/>
      <c r="P161" s="1540"/>
      <c r="Q161" s="1540"/>
      <c r="R161" s="1540"/>
      <c r="S161" s="1540"/>
      <c r="T161" s="1540"/>
      <c r="U161" s="1540"/>
      <c r="V161" s="1540"/>
      <c r="W161" s="1540"/>
      <c r="X161" s="1540"/>
      <c r="Y161" s="1540"/>
      <c r="Z161" s="1540"/>
      <c r="AA161" s="1540"/>
      <c r="AB161" s="1540"/>
      <c r="AC161" s="1540"/>
      <c r="AD161" s="1540"/>
      <c r="AE161" s="1540"/>
      <c r="AF161" s="1540"/>
      <c r="AG161" s="1541"/>
    </row>
    <row r="162" spans="2:33" x14ac:dyDescent="0.2">
      <c r="B162" s="1301" t="str">
        <f t="array" ref="B162:B165">$C$32:$C$35</f>
        <v>ABC+3TC+EFV</v>
      </c>
      <c r="C162" s="1533"/>
      <c r="D162" s="1533"/>
      <c r="E162" s="1533"/>
      <c r="F162" s="1533"/>
      <c r="G162" s="1533"/>
      <c r="H162" s="1533"/>
      <c r="I162" s="1533" t="s">
        <v>225</v>
      </c>
      <c r="J162" s="1534"/>
      <c r="K162" s="1535"/>
      <c r="L162" s="1533"/>
      <c r="M162" s="1533"/>
      <c r="N162" s="1533"/>
      <c r="O162" s="1533"/>
      <c r="P162" s="1533"/>
      <c r="Q162" s="1533"/>
      <c r="R162" s="1533"/>
      <c r="S162" s="1533"/>
      <c r="T162" s="1533"/>
      <c r="U162" s="1533" t="s">
        <v>225</v>
      </c>
      <c r="V162" s="1533"/>
      <c r="W162" s="1533"/>
      <c r="X162" s="1533"/>
      <c r="Y162" s="1533"/>
      <c r="Z162" s="1533"/>
      <c r="AA162" s="1533"/>
      <c r="AB162" s="1533"/>
      <c r="AC162" s="1533"/>
      <c r="AD162" s="1533"/>
      <c r="AE162" s="1533" t="s">
        <v>225</v>
      </c>
      <c r="AF162" s="1533"/>
      <c r="AG162" s="1534"/>
    </row>
    <row r="163" spans="2:33" x14ac:dyDescent="0.2">
      <c r="B163" s="1941" t="str">
        <v>TDF+3TC+LPV/r</v>
      </c>
      <c r="C163" s="1942"/>
      <c r="D163" s="1942"/>
      <c r="E163" s="1942"/>
      <c r="F163" s="1942"/>
      <c r="G163" s="1942"/>
      <c r="H163" s="1942"/>
      <c r="I163" s="1942" t="s">
        <v>225</v>
      </c>
      <c r="J163" s="1943"/>
      <c r="K163" s="1944"/>
      <c r="L163" s="1942"/>
      <c r="M163" s="1942"/>
      <c r="N163" s="1942" t="s">
        <v>225</v>
      </c>
      <c r="O163" s="1942"/>
      <c r="P163" s="1942"/>
      <c r="Q163" s="1942"/>
      <c r="R163" s="1942"/>
      <c r="S163" s="1942"/>
      <c r="T163" s="1942"/>
      <c r="U163" s="1942"/>
      <c r="V163" s="1942"/>
      <c r="W163" s="1942"/>
      <c r="X163" s="1942"/>
      <c r="Y163" s="1942"/>
      <c r="Z163" s="1942"/>
      <c r="AA163" s="1942"/>
      <c r="AB163" s="1942"/>
      <c r="AC163" s="1942"/>
      <c r="AD163" s="1942"/>
      <c r="AE163" s="1942"/>
      <c r="AF163" s="1942"/>
      <c r="AG163" s="1943" t="s">
        <v>225</v>
      </c>
    </row>
    <row r="164" spans="2:33" x14ac:dyDescent="0.2">
      <c r="B164" s="1941" t="str">
        <v>AZT+3TC+EFV</v>
      </c>
      <c r="C164" s="1942"/>
      <c r="D164" s="1942"/>
      <c r="E164" s="1942"/>
      <c r="F164" s="1942"/>
      <c r="G164" s="1942"/>
      <c r="H164" s="1942"/>
      <c r="I164" s="1942"/>
      <c r="J164" s="1943"/>
      <c r="K164" s="1944"/>
      <c r="L164" s="1942"/>
      <c r="M164" s="1942"/>
      <c r="N164" s="1942"/>
      <c r="O164" s="1942"/>
      <c r="P164" s="1942"/>
      <c r="Q164" s="1942"/>
      <c r="R164" s="1942"/>
      <c r="S164" s="1942"/>
      <c r="T164" s="1942"/>
      <c r="U164" s="1942"/>
      <c r="V164" s="1942"/>
      <c r="W164" s="1942"/>
      <c r="X164" s="1942"/>
      <c r="Y164" s="1942"/>
      <c r="Z164" s="1942"/>
      <c r="AA164" s="1942"/>
      <c r="AB164" s="1942"/>
      <c r="AC164" s="1942"/>
      <c r="AD164" s="1942"/>
      <c r="AE164" s="1942"/>
      <c r="AF164" s="1942"/>
      <c r="AG164" s="1943"/>
    </row>
    <row r="165" spans="2:33" ht="13.5" thickBot="1" x14ac:dyDescent="0.25">
      <c r="B165" s="1302">
        <v>0</v>
      </c>
      <c r="C165" s="1543"/>
      <c r="D165" s="1543"/>
      <c r="E165" s="1543"/>
      <c r="F165" s="1543"/>
      <c r="G165" s="1543"/>
      <c r="H165" s="1543"/>
      <c r="I165" s="1543"/>
      <c r="J165" s="1544"/>
      <c r="K165" s="1545"/>
      <c r="L165" s="1543"/>
      <c r="M165" s="1543"/>
      <c r="N165" s="1543"/>
      <c r="O165" s="1543"/>
      <c r="P165" s="1543"/>
      <c r="Q165" s="1543"/>
      <c r="R165" s="1543"/>
      <c r="S165" s="1543"/>
      <c r="T165" s="1543"/>
      <c r="U165" s="1543"/>
      <c r="V165" s="1543"/>
      <c r="W165" s="1543"/>
      <c r="X165" s="1543"/>
      <c r="Y165" s="1543"/>
      <c r="Z165" s="1543"/>
      <c r="AA165" s="1543"/>
      <c r="AB165" s="1543"/>
      <c r="AC165" s="1543"/>
      <c r="AD165" s="1543"/>
      <c r="AE165" s="1543"/>
      <c r="AF165" s="1543"/>
      <c r="AG165" s="1544"/>
    </row>
    <row r="167" spans="2:33" ht="13.5" thickBot="1" x14ac:dyDescent="0.25"/>
    <row r="168" spans="2:33" ht="13.5" thickBot="1" x14ac:dyDescent="0.25">
      <c r="B168" s="2169" t="str">
        <f>'TRAD-Data &amp; hypothesis Children'!B60</f>
        <v>De 20 à 24,9 kg</v>
      </c>
      <c r="C168" s="2170"/>
      <c r="D168" s="2170"/>
      <c r="E168" s="2170"/>
      <c r="F168" s="2171"/>
    </row>
    <row r="169" spans="2:33" ht="13.5" thickBot="1" x14ac:dyDescent="0.25"/>
    <row r="170" spans="2:33" ht="50.25" customHeight="1" x14ac:dyDescent="0.2">
      <c r="B170" s="1421" t="str">
        <f>'TRAD-Data &amp; hypothesis Children'!B95</f>
        <v>Nb de boites / mois pour l'ensemble des patients</v>
      </c>
      <c r="C170" s="1966" t="str">
        <f t="array" ref="C170:AG171">$C$116:$AG$117</f>
        <v>AZT</v>
      </c>
      <c r="D170" s="1966" t="str">
        <v>D4T</v>
      </c>
      <c r="E170" s="1966" t="str">
        <v>3TC</v>
      </c>
      <c r="F170" s="1966" t="str">
        <v>ABC</v>
      </c>
      <c r="G170" s="1966" t="str">
        <v>DDI</v>
      </c>
      <c r="H170" s="1966" t="str">
        <v>NVP</v>
      </c>
      <c r="I170" s="1966" t="str">
        <v>EFV</v>
      </c>
      <c r="J170" s="1967" t="str">
        <v>LPV/r</v>
      </c>
      <c r="K170" s="1968" t="str">
        <v>AZT+ 3TC+ NVP adulte</v>
      </c>
      <c r="L170" s="1966" t="str">
        <v>AZT+ 3TC+ NVP bébé</v>
      </c>
      <c r="M170" s="1966" t="str">
        <v>AZT+ 3TC adulte</v>
      </c>
      <c r="N170" s="1966" t="str">
        <v>AZT+ 3TC bébé</v>
      </c>
      <c r="O170" s="1966" t="str">
        <v>D4T+ 3TC+ NVP adulte</v>
      </c>
      <c r="P170" s="1966" t="str">
        <v>D4T+ 3TC+ NVP bébé</v>
      </c>
      <c r="Q170" s="1969" t="str">
        <v>D4T+ 3TC bébé</v>
      </c>
      <c r="R170" s="1966" t="str">
        <v>AZT+ 3TC+ ABC adulte</v>
      </c>
      <c r="S170" s="1966" t="str">
        <v>AZT+ 3TC+ ABC bébé</v>
      </c>
      <c r="T170" s="1966" t="str">
        <v>ABC+ 3TC adulte</v>
      </c>
      <c r="U170" s="1966" t="str">
        <v>ABC+ 3TC bébé</v>
      </c>
      <c r="V170" s="1970" t="str">
        <v>TDF+ FTC/3TC+ EFV adulte</v>
      </c>
      <c r="W170" s="1970" t="str">
        <v>TDF+ FTC/3TC adulte</v>
      </c>
      <c r="X170" s="1970" t="str">
        <v>TDF adulte</v>
      </c>
      <c r="Y170" s="1966" t="str">
        <v>3TC adulte</v>
      </c>
      <c r="Z170" s="1966" t="str">
        <v>ABC adulte</v>
      </c>
      <c r="AA170" s="1966" t="str">
        <v>ABC bébé</v>
      </c>
      <c r="AB170" s="1966" t="str">
        <v>DDI adulte</v>
      </c>
      <c r="AC170" s="1966" t="str">
        <v>NVP adulte</v>
      </c>
      <c r="AD170" s="1971" t="str">
        <v>NVP bébé</v>
      </c>
      <c r="AE170" s="1966" t="str">
        <v>EFV enfant</v>
      </c>
      <c r="AF170" s="1966" t="str">
        <v>LPV/r adulte</v>
      </c>
      <c r="AG170" s="1967" t="str">
        <v>LPV/r enfant</v>
      </c>
    </row>
    <row r="171" spans="2:33" ht="25.5" x14ac:dyDescent="0.2">
      <c r="B171" s="1332" t="str">
        <f>'TRAD-Data &amp; hypothesis Children'!B96</f>
        <v>Dosage</v>
      </c>
      <c r="C171" s="1972" t="str">
        <v>10 mg/mL</v>
      </c>
      <c r="D171" s="1972" t="str">
        <v>10 mg/mL</v>
      </c>
      <c r="E171" s="1972" t="str">
        <v>10 mg/mL</v>
      </c>
      <c r="F171" s="1972" t="str">
        <v>20 mg/mL</v>
      </c>
      <c r="G171" s="1972" t="str">
        <v>2 g</v>
      </c>
      <c r="H171" s="1972" t="str">
        <v>10 mg/mL</v>
      </c>
      <c r="I171" s="1972" t="str">
        <v>30 mg/mL</v>
      </c>
      <c r="J171" s="1973" t="str">
        <v>80/20 mg/mL</v>
      </c>
      <c r="K171" s="1974" t="str">
        <v>300/150/200 mg</v>
      </c>
      <c r="L171" s="1972" t="str">
        <v>60/30/50 mg</v>
      </c>
      <c r="M171" s="1972" t="str">
        <v>300/150 mg</v>
      </c>
      <c r="N171" s="1972" t="str">
        <v>60/30 mg</v>
      </c>
      <c r="O171" s="1972" t="str">
        <v>30/150/200 mg</v>
      </c>
      <c r="P171" s="1972" t="str">
        <v>6/30/50 mg</v>
      </c>
      <c r="Q171" s="1972" t="str">
        <v>6/30 mg</v>
      </c>
      <c r="R171" s="1972" t="str">
        <v>300/150/300 mg</v>
      </c>
      <c r="S171" s="1972" t="str">
        <v>60/30/60 mg</v>
      </c>
      <c r="T171" s="1972" t="str">
        <v>600/300 mg</v>
      </c>
      <c r="U171" s="1972" t="str">
        <v>60/30 mg</v>
      </c>
      <c r="V171" s="1972" t="str">
        <v>300/200/600 mg</v>
      </c>
      <c r="W171" s="1972" t="str">
        <v>300/200 mg</v>
      </c>
      <c r="X171" s="1972" t="str">
        <v>300 mg</v>
      </c>
      <c r="Y171" s="1972" t="str">
        <v>150 mg</v>
      </c>
      <c r="Z171" s="1972" t="str">
        <v>300 mg</v>
      </c>
      <c r="AA171" s="1972" t="str">
        <v>60 mg</v>
      </c>
      <c r="AB171" s="1972" t="str">
        <v>250 mg</v>
      </c>
      <c r="AC171" s="1972" t="str">
        <v>200 mg</v>
      </c>
      <c r="AD171" s="1972" t="str">
        <v>50 mg</v>
      </c>
      <c r="AE171" s="1972" t="str">
        <v>200 mg</v>
      </c>
      <c r="AF171" s="1972" t="str">
        <v>200/50 mg</v>
      </c>
      <c r="AG171" s="1973" t="str">
        <v>100/25 mg</v>
      </c>
    </row>
    <row r="172" spans="2:33" x14ac:dyDescent="0.2">
      <c r="B172" s="1296" t="str">
        <f>$B$26</f>
        <v>1ères lignes</v>
      </c>
      <c r="C172" s="1297"/>
      <c r="D172" s="1297"/>
      <c r="E172" s="1297"/>
      <c r="F172" s="1297"/>
      <c r="G172" s="1297"/>
      <c r="H172" s="1297"/>
      <c r="I172" s="1297"/>
      <c r="J172" s="1300"/>
      <c r="K172" s="1299"/>
      <c r="L172" s="1297"/>
      <c r="M172" s="1297"/>
      <c r="N172" s="1297"/>
      <c r="O172" s="1297"/>
      <c r="P172" s="1297"/>
      <c r="Q172" s="1297"/>
      <c r="R172" s="1297"/>
      <c r="S172" s="1297"/>
      <c r="T172" s="1297"/>
      <c r="U172" s="1297"/>
      <c r="V172" s="1297"/>
      <c r="W172" s="1297"/>
      <c r="X172" s="1297"/>
      <c r="Y172" s="1297"/>
      <c r="Z172" s="1297"/>
      <c r="AA172" s="1297"/>
      <c r="AB172" s="1297"/>
      <c r="AC172" s="1297"/>
      <c r="AD172" s="1297"/>
      <c r="AE172" s="1297"/>
      <c r="AF172" s="1297"/>
      <c r="AG172" s="1300"/>
    </row>
    <row r="173" spans="2:33" x14ac:dyDescent="0.2">
      <c r="B173" s="1301" t="str">
        <f>C$26</f>
        <v>D4T+3TC+NVP</v>
      </c>
      <c r="C173" s="1460"/>
      <c r="D173" s="1533"/>
      <c r="E173" s="1533"/>
      <c r="F173" s="1533"/>
      <c r="G173" s="1533"/>
      <c r="H173" s="1533"/>
      <c r="I173" s="1533"/>
      <c r="J173" s="1534"/>
      <c r="K173" s="1535"/>
      <c r="L173" s="1533"/>
      <c r="M173" s="1533"/>
      <c r="N173" s="1533"/>
      <c r="O173" s="1533"/>
      <c r="P173" s="1533"/>
      <c r="Q173" s="1533"/>
      <c r="R173" s="1533"/>
      <c r="S173" s="1533"/>
      <c r="T173" s="1533"/>
      <c r="U173" s="1533"/>
      <c r="V173" s="1533"/>
      <c r="W173" s="1533"/>
      <c r="X173" s="1533"/>
      <c r="Y173" s="1533"/>
      <c r="Z173" s="1533"/>
      <c r="AA173" s="1533"/>
      <c r="AB173" s="1533"/>
      <c r="AC173" s="1533"/>
      <c r="AD173" s="1533"/>
      <c r="AE173" s="1533"/>
      <c r="AF173" s="1533"/>
      <c r="AG173" s="1534"/>
    </row>
    <row r="174" spans="2:33" x14ac:dyDescent="0.2">
      <c r="B174" s="1301" t="str">
        <f>C$27</f>
        <v>AZT+3TC+NVP</v>
      </c>
      <c r="C174" s="1460"/>
      <c r="D174" s="1533"/>
      <c r="E174" s="1533"/>
      <c r="F174" s="1533"/>
      <c r="G174" s="1533"/>
      <c r="H174" s="1533"/>
      <c r="I174" s="1533"/>
      <c r="J174" s="1534"/>
      <c r="K174" s="1535"/>
      <c r="L174" s="1533" t="s">
        <v>225</v>
      </c>
      <c r="M174" s="1533"/>
      <c r="N174" s="1533"/>
      <c r="O174" s="1533"/>
      <c r="P174" s="1533"/>
      <c r="Q174" s="1533"/>
      <c r="R174" s="1533"/>
      <c r="S174" s="1533"/>
      <c r="T174" s="1533"/>
      <c r="U174" s="1533"/>
      <c r="V174" s="1533"/>
      <c r="W174" s="1533"/>
      <c r="X174" s="1533"/>
      <c r="Y174" s="1533"/>
      <c r="Z174" s="1533"/>
      <c r="AA174" s="1533"/>
      <c r="AB174" s="1533"/>
      <c r="AC174" s="1533"/>
      <c r="AD174" s="1533"/>
      <c r="AE174" s="1533"/>
      <c r="AF174" s="1533"/>
      <c r="AG174" s="1534"/>
    </row>
    <row r="175" spans="2:33" x14ac:dyDescent="0.2">
      <c r="B175" s="1301" t="str">
        <f>C$28</f>
        <v>AZT+3TC+EFV</v>
      </c>
      <c r="C175" s="1460"/>
      <c r="D175" s="1533"/>
      <c r="E175" s="1533"/>
      <c r="F175" s="1533"/>
      <c r="G175" s="1533"/>
      <c r="H175" s="1533"/>
      <c r="I175" s="1533"/>
      <c r="J175" s="1534"/>
      <c r="K175" s="1535"/>
      <c r="L175" s="1533"/>
      <c r="M175" s="1533"/>
      <c r="N175" s="1533" t="s">
        <v>225</v>
      </c>
      <c r="O175" s="1533"/>
      <c r="P175" s="1533"/>
      <c r="Q175" s="1533"/>
      <c r="R175" s="1533"/>
      <c r="S175" s="1533"/>
      <c r="T175" s="1533"/>
      <c r="U175" s="1533"/>
      <c r="V175" s="1533"/>
      <c r="W175" s="1533"/>
      <c r="X175" s="1533"/>
      <c r="Y175" s="1533"/>
      <c r="Z175" s="1533"/>
      <c r="AA175" s="1533"/>
      <c r="AB175" s="1533"/>
      <c r="AC175" s="1533"/>
      <c r="AD175" s="1533"/>
      <c r="AE175" s="1533" t="s">
        <v>225</v>
      </c>
      <c r="AF175" s="1533"/>
      <c r="AG175" s="1534"/>
    </row>
    <row r="176" spans="2:33" x14ac:dyDescent="0.2">
      <c r="B176" s="1301" t="str">
        <f>C$29</f>
        <v>LPV/r+3TC+ABC</v>
      </c>
      <c r="C176" s="1460"/>
      <c r="D176" s="1533"/>
      <c r="E176" s="1533"/>
      <c r="F176" s="1533"/>
      <c r="G176" s="1533"/>
      <c r="H176" s="1533"/>
      <c r="I176" s="1533"/>
      <c r="J176" s="1534"/>
      <c r="K176" s="1535"/>
      <c r="L176" s="1533"/>
      <c r="M176" s="1533"/>
      <c r="N176" s="1533"/>
      <c r="O176" s="1533"/>
      <c r="P176" s="1533"/>
      <c r="Q176" s="1533"/>
      <c r="R176" s="1533"/>
      <c r="S176" s="1533"/>
      <c r="T176" s="1533"/>
      <c r="U176" s="1533"/>
      <c r="V176" s="1533"/>
      <c r="W176" s="1533"/>
      <c r="X176" s="1533"/>
      <c r="Y176" s="1533"/>
      <c r="Z176" s="1533"/>
      <c r="AA176" s="1533"/>
      <c r="AB176" s="1533"/>
      <c r="AC176" s="1533"/>
      <c r="AD176" s="1533"/>
      <c r="AE176" s="1533"/>
      <c r="AF176" s="1533"/>
      <c r="AG176" s="1534"/>
    </row>
    <row r="177" spans="1:33" x14ac:dyDescent="0.2">
      <c r="B177" s="1301" t="str">
        <f>C$30</f>
        <v>ABC+3TC+NVP</v>
      </c>
      <c r="C177" s="1533"/>
      <c r="D177" s="1533"/>
      <c r="E177" s="1533"/>
      <c r="F177" s="1533"/>
      <c r="G177" s="1533"/>
      <c r="H177" s="1533"/>
      <c r="I177" s="1533"/>
      <c r="J177" s="1534"/>
      <c r="K177" s="1535"/>
      <c r="L177" s="1533"/>
      <c r="M177" s="1533"/>
      <c r="N177" s="1533"/>
      <c r="O177" s="1533"/>
      <c r="P177" s="1533"/>
      <c r="Q177" s="1533"/>
      <c r="R177" s="1533"/>
      <c r="S177" s="1533"/>
      <c r="T177" s="1533"/>
      <c r="U177" s="1533" t="s">
        <v>225</v>
      </c>
      <c r="V177" s="1533"/>
      <c r="W177" s="1533"/>
      <c r="X177" s="1533"/>
      <c r="Y177" s="1533"/>
      <c r="Z177" s="1533"/>
      <c r="AA177" s="1533"/>
      <c r="AB177" s="1533"/>
      <c r="AC177" s="1533"/>
      <c r="AD177" s="1533" t="s">
        <v>225</v>
      </c>
      <c r="AE177" s="1533"/>
      <c r="AF177" s="1533"/>
      <c r="AG177" s="1534"/>
    </row>
    <row r="178" spans="1:33" x14ac:dyDescent="0.2">
      <c r="B178" s="1301" t="str">
        <f>C$31</f>
        <v>AZT+3TC+LPV/r</v>
      </c>
      <c r="C178" s="1533"/>
      <c r="D178" s="1533"/>
      <c r="E178" s="1533"/>
      <c r="F178" s="1533"/>
      <c r="G178" s="1533"/>
      <c r="H178" s="1533"/>
      <c r="I178" s="1533"/>
      <c r="J178" s="1534"/>
      <c r="K178" s="1535"/>
      <c r="L178" s="1533"/>
      <c r="M178" s="1533"/>
      <c r="N178" s="1533" t="s">
        <v>225</v>
      </c>
      <c r="O178" s="1533"/>
      <c r="P178" s="1533"/>
      <c r="Q178" s="1533"/>
      <c r="R178" s="1533"/>
      <c r="S178" s="1533"/>
      <c r="T178" s="1533"/>
      <c r="U178" s="1533"/>
      <c r="V178" s="1533"/>
      <c r="W178" s="1533"/>
      <c r="X178" s="1533"/>
      <c r="Y178" s="1533"/>
      <c r="Z178" s="1533"/>
      <c r="AA178" s="1533"/>
      <c r="AB178" s="1533"/>
      <c r="AC178" s="1533"/>
      <c r="AD178" s="1533"/>
      <c r="AE178" s="1533"/>
      <c r="AF178" s="1533"/>
      <c r="AG178" s="1534" t="s">
        <v>225</v>
      </c>
    </row>
    <row r="179" spans="1:33" x14ac:dyDescent="0.2">
      <c r="B179" s="1296" t="str">
        <f>$B$32</f>
        <v>2èmes lignes</v>
      </c>
      <c r="C179" s="1540"/>
      <c r="D179" s="1540"/>
      <c r="E179" s="1540"/>
      <c r="F179" s="1540"/>
      <c r="G179" s="1540"/>
      <c r="H179" s="1540"/>
      <c r="I179" s="1540"/>
      <c r="J179" s="1541"/>
      <c r="K179" s="1542"/>
      <c r="L179" s="1540"/>
      <c r="M179" s="1540"/>
      <c r="N179" s="1540"/>
      <c r="O179" s="1540"/>
      <c r="P179" s="1540"/>
      <c r="Q179" s="1540"/>
      <c r="R179" s="1540"/>
      <c r="S179" s="1540"/>
      <c r="T179" s="1540"/>
      <c r="U179" s="1540"/>
      <c r="V179" s="1540"/>
      <c r="W179" s="1540"/>
      <c r="X179" s="1540"/>
      <c r="Y179" s="1540"/>
      <c r="Z179" s="1540"/>
      <c r="AA179" s="1540"/>
      <c r="AB179" s="1540"/>
      <c r="AC179" s="1540"/>
      <c r="AD179" s="1540"/>
      <c r="AE179" s="1540"/>
      <c r="AF179" s="1540"/>
      <c r="AG179" s="1541"/>
    </row>
    <row r="180" spans="1:33" x14ac:dyDescent="0.2">
      <c r="B180" s="1301" t="str">
        <f t="array" ref="B180:B183">$C$32:$C$35</f>
        <v>ABC+3TC+EFV</v>
      </c>
      <c r="C180" s="1533"/>
      <c r="D180" s="1533"/>
      <c r="E180" s="1533"/>
      <c r="F180" s="1533"/>
      <c r="G180" s="1533"/>
      <c r="H180" s="1533"/>
      <c r="I180" s="1533"/>
      <c r="J180" s="1534"/>
      <c r="K180" s="1535"/>
      <c r="L180" s="1533"/>
      <c r="M180" s="1533"/>
      <c r="N180" s="1533"/>
      <c r="O180" s="1533"/>
      <c r="P180" s="1533"/>
      <c r="Q180" s="1533"/>
      <c r="R180" s="1533"/>
      <c r="S180" s="1533"/>
      <c r="T180" s="1533"/>
      <c r="U180" s="1533" t="s">
        <v>225</v>
      </c>
      <c r="V180" s="1533"/>
      <c r="W180" s="1533"/>
      <c r="X180" s="1533"/>
      <c r="Y180" s="1533"/>
      <c r="Z180" s="1533"/>
      <c r="AA180" s="1533"/>
      <c r="AB180" s="1533"/>
      <c r="AC180" s="1533"/>
      <c r="AD180" s="1533"/>
      <c r="AE180" s="1533" t="s">
        <v>225</v>
      </c>
      <c r="AF180" s="1533"/>
      <c r="AG180" s="1534"/>
    </row>
    <row r="181" spans="1:33" x14ac:dyDescent="0.2">
      <c r="B181" s="1941" t="str">
        <v>TDF+3TC+LPV/r</v>
      </c>
      <c r="C181" s="1942"/>
      <c r="D181" s="1942"/>
      <c r="E181" s="1942"/>
      <c r="F181" s="1942"/>
      <c r="G181" s="1942"/>
      <c r="H181" s="1942"/>
      <c r="I181" s="1942"/>
      <c r="J181" s="1943"/>
      <c r="K181" s="1944"/>
      <c r="L181" s="1942"/>
      <c r="M181" s="1942"/>
      <c r="N181" s="1942"/>
      <c r="O181" s="1942"/>
      <c r="P181" s="1942"/>
      <c r="Q181" s="1942"/>
      <c r="R181" s="1942"/>
      <c r="S181" s="1942"/>
      <c r="T181" s="1942"/>
      <c r="U181" s="1942"/>
      <c r="V181" s="1942"/>
      <c r="W181" s="1942" t="s">
        <v>225</v>
      </c>
      <c r="X181" s="1942"/>
      <c r="Y181" s="1942"/>
      <c r="Z181" s="1942"/>
      <c r="AA181" s="1942"/>
      <c r="AB181" s="1942"/>
      <c r="AC181" s="1942"/>
      <c r="AD181" s="1942"/>
      <c r="AE181" s="1942"/>
      <c r="AF181" s="1942"/>
      <c r="AG181" s="1943" t="s">
        <v>225</v>
      </c>
    </row>
    <row r="182" spans="1:33" x14ac:dyDescent="0.2">
      <c r="B182" s="1941" t="str">
        <v>AZT+3TC+EFV</v>
      </c>
      <c r="C182" s="1942"/>
      <c r="D182" s="1942"/>
      <c r="E182" s="1942"/>
      <c r="F182" s="1942"/>
      <c r="G182" s="1942"/>
      <c r="H182" s="1942"/>
      <c r="I182" s="1942"/>
      <c r="J182" s="1943"/>
      <c r="K182" s="1944"/>
      <c r="L182" s="1942"/>
      <c r="M182" s="1942"/>
      <c r="N182" s="1942"/>
      <c r="O182" s="1942"/>
      <c r="P182" s="1942"/>
      <c r="Q182" s="1942"/>
      <c r="R182" s="1942"/>
      <c r="S182" s="1942"/>
      <c r="T182" s="1942"/>
      <c r="U182" s="1942"/>
      <c r="V182" s="1942"/>
      <c r="W182" s="1942"/>
      <c r="X182" s="1942"/>
      <c r="Y182" s="1942"/>
      <c r="Z182" s="1942"/>
      <c r="AA182" s="1942"/>
      <c r="AB182" s="1942"/>
      <c r="AC182" s="1942"/>
      <c r="AD182" s="1942"/>
      <c r="AE182" s="1942"/>
      <c r="AF182" s="1942"/>
      <c r="AG182" s="1943"/>
    </row>
    <row r="183" spans="1:33" ht="13.5" thickBot="1" x14ac:dyDescent="0.25">
      <c r="B183" s="1302">
        <v>0</v>
      </c>
      <c r="C183" s="1543"/>
      <c r="D183" s="1543"/>
      <c r="E183" s="1543"/>
      <c r="F183" s="1543"/>
      <c r="G183" s="1543"/>
      <c r="H183" s="1543"/>
      <c r="I183" s="1543"/>
      <c r="J183" s="1544"/>
      <c r="K183" s="1545"/>
      <c r="L183" s="1543"/>
      <c r="M183" s="1543"/>
      <c r="N183" s="1543"/>
      <c r="O183" s="1543"/>
      <c r="P183" s="1543"/>
      <c r="Q183" s="1543"/>
      <c r="R183" s="1543"/>
      <c r="S183" s="1543"/>
      <c r="T183" s="1543"/>
      <c r="U183" s="1543"/>
      <c r="V183" s="1543"/>
      <c r="W183" s="1543"/>
      <c r="X183" s="1543"/>
      <c r="Y183" s="1543"/>
      <c r="Z183" s="1543"/>
      <c r="AA183" s="1543"/>
      <c r="AB183" s="1543"/>
      <c r="AC183" s="1543"/>
      <c r="AD183" s="1543"/>
      <c r="AE183" s="1543"/>
      <c r="AF183" s="1543"/>
      <c r="AG183" s="1544"/>
    </row>
    <row r="185" spans="1:33" ht="13.5" thickBot="1" x14ac:dyDescent="0.25"/>
    <row r="186" spans="1:33" ht="13.5" thickBot="1" x14ac:dyDescent="0.25">
      <c r="B186" s="2100" t="str">
        <f>'TRAD-Data &amp; hypothesis Children'!B61</f>
        <v>Définir la dose journalière pour chaque formulation</v>
      </c>
      <c r="C186" s="2101"/>
      <c r="D186" s="2101"/>
      <c r="E186" s="2101"/>
      <c r="F186" s="2102"/>
    </row>
    <row r="188" spans="1:33" x14ac:dyDescent="0.2">
      <c r="B188" s="4" t="str">
        <f>'TRAD-Data &amp; hypothesis Children'!B62</f>
        <v>Les données présentés dans ce fichier sont tirées des recommandations 2010 de l'OMS</v>
      </c>
    </row>
    <row r="189" spans="1:33" ht="13.5" thickBot="1" x14ac:dyDescent="0.25">
      <c r="K189" s="1559"/>
      <c r="L189" s="1559"/>
      <c r="M189" s="1559"/>
      <c r="N189" s="1559"/>
      <c r="O189" s="1559"/>
      <c r="P189" s="1559"/>
      <c r="Q189" s="1559"/>
      <c r="R189" s="1559"/>
    </row>
    <row r="190" spans="1:33" ht="13.5" thickBot="1" x14ac:dyDescent="0.25">
      <c r="B190" s="2165" t="str">
        <f>'TRAD-Data &amp; hypothesis Children'!B63</f>
        <v>Formes liquides</v>
      </c>
      <c r="C190" s="2166"/>
      <c r="D190" s="2166"/>
      <c r="E190" s="2166"/>
      <c r="F190" s="2166"/>
      <c r="G190" s="2166"/>
      <c r="H190" s="2167"/>
      <c r="K190" s="1559"/>
      <c r="L190" s="1559"/>
      <c r="M190" s="1559"/>
      <c r="N190" s="1559"/>
      <c r="O190" s="1559"/>
      <c r="P190" s="1559"/>
      <c r="Q190" s="1559"/>
      <c r="R190" s="1559"/>
    </row>
    <row r="192" spans="1:33" s="260" customFormat="1" x14ac:dyDescent="0.2">
      <c r="A192" s="528"/>
      <c r="C192" s="2172" t="str">
        <f>'TRAD-Data &amp; hypothesis Children'!B64</f>
        <v>Enfants de 6 à 7 kg (tranche de poids considéré : 3 - 9,9 kg)</v>
      </c>
      <c r="D192" s="2172"/>
      <c r="E192" s="2172"/>
      <c r="F192" s="2172"/>
      <c r="G192" s="2172"/>
      <c r="H192" s="2172"/>
      <c r="I192" s="2172"/>
    </row>
    <row r="193" spans="1:9" s="260" customFormat="1" ht="13.5" thickBot="1" x14ac:dyDescent="0.25">
      <c r="A193" s="528"/>
      <c r="B193" s="625"/>
      <c r="C193" s="624"/>
      <c r="D193" s="624"/>
      <c r="E193" s="623"/>
      <c r="F193" s="623"/>
      <c r="G193" s="623"/>
      <c r="H193" s="623"/>
    </row>
    <row r="194" spans="1:9" s="260" customFormat="1" ht="51.75" thickBot="1" x14ac:dyDescent="0.25">
      <c r="A194" s="528"/>
      <c r="C194" s="368"/>
      <c r="D194" s="369" t="str">
        <f>'TRAD-Data &amp; hypothesis Children'!B65</f>
        <v>volume (mL) / jour</v>
      </c>
      <c r="E194" s="369" t="str">
        <f>'TRAD-Data &amp; hypothesis Children'!B66</f>
        <v>volume (mL) / mois</v>
      </c>
      <c r="F194" s="369" t="str">
        <f>'TRAD-Data &amp; hypothesis Children'!B67</f>
        <v>volume flacon (mL) [1]</v>
      </c>
      <c r="G194" s="369" t="str">
        <f>'TRAD-Data &amp; hypothesis Children'!B68</f>
        <v>nb de flacons / mois</v>
      </c>
      <c r="H194" s="369" t="str">
        <f>'TRAD-Data &amp; hypothesis Children'!B69</f>
        <v>nb de flacons / mois arrondi</v>
      </c>
    </row>
    <row r="195" spans="1:9" s="260" customFormat="1" x14ac:dyDescent="0.2">
      <c r="A195" s="528"/>
      <c r="C195" s="607" t="s">
        <v>39</v>
      </c>
      <c r="D195" s="1546">
        <v>18</v>
      </c>
      <c r="E195" s="626">
        <f t="shared" ref="E195:E202" si="1">D195*30</f>
        <v>540</v>
      </c>
      <c r="F195" s="1428">
        <f>'Available Stocks'!$K$55</f>
        <v>240</v>
      </c>
      <c r="G195" s="627">
        <f t="shared" ref="G195:G202" si="2">E195/F195</f>
        <v>2.25</v>
      </c>
      <c r="H195" s="627">
        <f t="shared" ref="H195:H202" si="3">ROUNDUP(E195/F195, 0)</f>
        <v>3</v>
      </c>
    </row>
    <row r="196" spans="1:9" s="260" customFormat="1" x14ac:dyDescent="0.2">
      <c r="A196" s="528"/>
      <c r="C196" s="608" t="s">
        <v>61</v>
      </c>
      <c r="D196" s="1547">
        <v>14</v>
      </c>
      <c r="E196" s="839">
        <f t="shared" si="1"/>
        <v>420</v>
      </c>
      <c r="F196" s="1429">
        <f>'Available Stocks'!$K$56</f>
        <v>240</v>
      </c>
      <c r="G196" s="840">
        <f t="shared" si="2"/>
        <v>1.75</v>
      </c>
      <c r="H196" s="840">
        <f t="shared" si="3"/>
        <v>2</v>
      </c>
    </row>
    <row r="197" spans="1:9" s="260" customFormat="1" x14ac:dyDescent="0.2">
      <c r="A197" s="528"/>
      <c r="C197" s="615" t="s">
        <v>15</v>
      </c>
      <c r="D197" s="1548">
        <v>8</v>
      </c>
      <c r="E197" s="629">
        <f t="shared" si="1"/>
        <v>240</v>
      </c>
      <c r="F197" s="1430">
        <f>'Available Stocks'!$K$57</f>
        <v>240</v>
      </c>
      <c r="G197" s="630">
        <f t="shared" si="2"/>
        <v>1</v>
      </c>
      <c r="H197" s="630">
        <f t="shared" si="3"/>
        <v>1</v>
      </c>
    </row>
    <row r="198" spans="1:9" s="260" customFormat="1" x14ac:dyDescent="0.2">
      <c r="A198" s="528"/>
      <c r="C198" s="615" t="s">
        <v>25</v>
      </c>
      <c r="D198" s="1548">
        <v>6</v>
      </c>
      <c r="E198" s="629">
        <f t="shared" si="1"/>
        <v>180</v>
      </c>
      <c r="F198" s="1430">
        <f>'Available Stocks'!$K$58</f>
        <v>240</v>
      </c>
      <c r="G198" s="630">
        <f t="shared" si="2"/>
        <v>0.75</v>
      </c>
      <c r="H198" s="630">
        <f t="shared" si="3"/>
        <v>1</v>
      </c>
    </row>
    <row r="199" spans="1:9" s="260" customFormat="1" x14ac:dyDescent="0.2">
      <c r="A199" s="528"/>
      <c r="C199" s="615" t="s">
        <v>28</v>
      </c>
      <c r="D199" s="1548">
        <v>10</v>
      </c>
      <c r="E199" s="629">
        <f t="shared" si="1"/>
        <v>300</v>
      </c>
      <c r="F199" s="1430">
        <f>'Available Stocks'!$K$59</f>
        <v>200</v>
      </c>
      <c r="G199" s="632">
        <f t="shared" si="2"/>
        <v>1.5</v>
      </c>
      <c r="H199" s="632">
        <f t="shared" si="3"/>
        <v>2</v>
      </c>
    </row>
    <row r="200" spans="1:9" s="260" customFormat="1" x14ac:dyDescent="0.2">
      <c r="A200" s="528"/>
      <c r="C200" s="634" t="s">
        <v>19</v>
      </c>
      <c r="D200" s="1548">
        <v>14</v>
      </c>
      <c r="E200" s="629">
        <f t="shared" si="1"/>
        <v>420</v>
      </c>
      <c r="F200" s="1430">
        <f>'Available Stocks'!$K$60</f>
        <v>240</v>
      </c>
      <c r="G200" s="630">
        <f t="shared" si="2"/>
        <v>1.75</v>
      </c>
      <c r="H200" s="630">
        <f t="shared" si="3"/>
        <v>2</v>
      </c>
    </row>
    <row r="201" spans="1:9" s="260" customFormat="1" x14ac:dyDescent="0.2">
      <c r="A201" s="528"/>
      <c r="C201" s="634" t="s">
        <v>17</v>
      </c>
      <c r="D201" s="1548"/>
      <c r="E201" s="629">
        <f t="shared" si="1"/>
        <v>0</v>
      </c>
      <c r="F201" s="1431">
        <f>'Available Stocks'!$K$61</f>
        <v>180</v>
      </c>
      <c r="G201" s="630">
        <f t="shared" si="2"/>
        <v>0</v>
      </c>
      <c r="H201" s="630">
        <f t="shared" si="3"/>
        <v>0</v>
      </c>
    </row>
    <row r="202" spans="1:9" s="260" customFormat="1" ht="13.5" thickBot="1" x14ac:dyDescent="0.25">
      <c r="A202" s="528"/>
      <c r="C202" s="609" t="s">
        <v>33</v>
      </c>
      <c r="D202" s="1549">
        <v>3</v>
      </c>
      <c r="E202" s="635">
        <f t="shared" si="1"/>
        <v>90</v>
      </c>
      <c r="F202" s="1432">
        <f>'Available Stocks'!$K$62</f>
        <v>60</v>
      </c>
      <c r="G202" s="636">
        <f t="shared" si="2"/>
        <v>1.5</v>
      </c>
      <c r="H202" s="636">
        <f t="shared" si="3"/>
        <v>2</v>
      </c>
    </row>
    <row r="203" spans="1:9" s="260" customFormat="1" x14ac:dyDescent="0.2">
      <c r="A203" s="528"/>
      <c r="B203" s="623"/>
      <c r="C203" s="624"/>
      <c r="D203" s="624"/>
      <c r="E203" s="623"/>
      <c r="F203" s="623"/>
      <c r="G203" s="623"/>
      <c r="H203" s="623"/>
    </row>
    <row r="204" spans="1:9" s="260" customFormat="1" x14ac:dyDescent="0.2">
      <c r="A204" s="528"/>
      <c r="C204" s="1555" t="s">
        <v>676</v>
      </c>
      <c r="D204" s="1556"/>
      <c r="E204" s="1556"/>
      <c r="F204" s="1557"/>
      <c r="G204" s="1557"/>
      <c r="H204" s="1557"/>
      <c r="I204" s="1557"/>
    </row>
    <row r="205" spans="1:9" s="260" customFormat="1" x14ac:dyDescent="0.2">
      <c r="A205" s="528"/>
      <c r="C205" s="1558" t="s">
        <v>240</v>
      </c>
      <c r="D205" s="1558" t="str">
        <f>'TRAD-Data &amp; hypothesis Children'!B71</f>
        <v>Le volume est notifié dans la feuille "Stocks disponible"</v>
      </c>
      <c r="E205" s="624"/>
      <c r="F205" s="623"/>
      <c r="G205" s="623"/>
      <c r="H205" s="623"/>
      <c r="I205" s="623"/>
    </row>
    <row r="206" spans="1:9" s="260" customFormat="1" x14ac:dyDescent="0.2">
      <c r="A206" s="528"/>
      <c r="C206" s="623"/>
      <c r="D206" s="624"/>
      <c r="E206" s="624"/>
      <c r="F206" s="623"/>
      <c r="G206" s="623"/>
      <c r="H206" s="623"/>
      <c r="I206" s="623"/>
    </row>
    <row r="207" spans="1:9" s="260" customFormat="1" x14ac:dyDescent="0.2">
      <c r="A207" s="528"/>
      <c r="B207" s="528"/>
      <c r="C207" s="2172" t="str">
        <f>'TRAD-Data &amp; hypothesis Children'!B72</f>
        <v>Enfants de 12 à 14,9 kg (tranche de poids considéré : 10 - 14,9 kg)</v>
      </c>
      <c r="D207" s="2172"/>
      <c r="E207" s="2172"/>
      <c r="F207" s="2172"/>
      <c r="G207" s="2172"/>
      <c r="H207" s="2172"/>
      <c r="I207" s="2172"/>
    </row>
    <row r="208" spans="1:9" s="260" customFormat="1" ht="13.5" thickBot="1" x14ac:dyDescent="0.25">
      <c r="A208" s="528"/>
      <c r="B208" s="623"/>
      <c r="C208" s="624"/>
      <c r="D208" s="624"/>
      <c r="E208" s="623"/>
      <c r="F208" s="623"/>
      <c r="G208" s="623"/>
      <c r="H208" s="623"/>
    </row>
    <row r="209" spans="1:9" s="260" customFormat="1" ht="51.75" thickBot="1" x14ac:dyDescent="0.25">
      <c r="A209" s="528"/>
      <c r="C209" s="368"/>
      <c r="D209" s="369" t="str">
        <f>'TRAD-Data &amp; hypothesis Children'!B65</f>
        <v>volume (mL) / jour</v>
      </c>
      <c r="E209" s="369" t="str">
        <f>'TRAD-Data &amp; hypothesis Children'!B66</f>
        <v>volume (mL) / mois</v>
      </c>
      <c r="F209" s="369" t="str">
        <f>'TRAD-Data &amp; hypothesis Children'!B67</f>
        <v>volume flacon (mL) [1]</v>
      </c>
      <c r="G209" s="369" t="str">
        <f>'TRAD-Data &amp; hypothesis Children'!B68</f>
        <v>nb de flacons / mois</v>
      </c>
      <c r="H209" s="369" t="str">
        <f>'TRAD-Data &amp; hypothesis Children'!B69</f>
        <v>nb de flacons / mois arrondi</v>
      </c>
    </row>
    <row r="210" spans="1:9" s="260" customFormat="1" x14ac:dyDescent="0.2">
      <c r="A210" s="528"/>
      <c r="C210" s="607" t="s">
        <v>39</v>
      </c>
      <c r="D210" s="1546">
        <v>24</v>
      </c>
      <c r="E210" s="626">
        <f t="shared" ref="E210:E217" si="4">D210*30</f>
        <v>720</v>
      </c>
      <c r="F210" s="1428">
        <f>'Available Stocks'!$K$55</f>
        <v>240</v>
      </c>
      <c r="G210" s="627">
        <f t="shared" ref="G210:G217" si="5">E210/F210</f>
        <v>3</v>
      </c>
      <c r="H210" s="627">
        <f t="shared" ref="H210:H217" si="6">ROUNDUP(E210/F210, 0)</f>
        <v>3</v>
      </c>
    </row>
    <row r="211" spans="1:9" s="260" customFormat="1" x14ac:dyDescent="0.2">
      <c r="A211" s="528"/>
      <c r="C211" s="615" t="s">
        <v>61</v>
      </c>
      <c r="D211" s="1548">
        <v>24</v>
      </c>
      <c r="E211" s="629">
        <f t="shared" si="4"/>
        <v>720</v>
      </c>
      <c r="F211" s="1429">
        <f>'Available Stocks'!$K$56</f>
        <v>240</v>
      </c>
      <c r="G211" s="630">
        <f t="shared" si="5"/>
        <v>3</v>
      </c>
      <c r="H211" s="630">
        <f t="shared" si="6"/>
        <v>3</v>
      </c>
    </row>
    <row r="212" spans="1:9" s="260" customFormat="1" x14ac:dyDescent="0.2">
      <c r="A212" s="528"/>
      <c r="C212" s="615" t="s">
        <v>15</v>
      </c>
      <c r="D212" s="1548">
        <v>12</v>
      </c>
      <c r="E212" s="629">
        <f t="shared" si="4"/>
        <v>360</v>
      </c>
      <c r="F212" s="1430">
        <f>'Available Stocks'!$K$57</f>
        <v>240</v>
      </c>
      <c r="G212" s="630">
        <f t="shared" si="5"/>
        <v>1.5</v>
      </c>
      <c r="H212" s="630">
        <f t="shared" si="6"/>
        <v>2</v>
      </c>
    </row>
    <row r="213" spans="1:9" s="260" customFormat="1" x14ac:dyDescent="0.2">
      <c r="A213" s="528"/>
      <c r="C213" s="615" t="s">
        <v>25</v>
      </c>
      <c r="D213" s="1548">
        <v>12</v>
      </c>
      <c r="E213" s="629">
        <f t="shared" si="4"/>
        <v>360</v>
      </c>
      <c r="F213" s="1430">
        <f>'Available Stocks'!$K$58</f>
        <v>240</v>
      </c>
      <c r="G213" s="630">
        <f t="shared" si="5"/>
        <v>1.5</v>
      </c>
      <c r="H213" s="630">
        <f t="shared" si="6"/>
        <v>2</v>
      </c>
    </row>
    <row r="214" spans="1:9" s="260" customFormat="1" x14ac:dyDescent="0.2">
      <c r="A214" s="528"/>
      <c r="C214" s="615" t="s">
        <v>28</v>
      </c>
      <c r="D214" s="1548">
        <v>14</v>
      </c>
      <c r="E214" s="629">
        <f t="shared" si="4"/>
        <v>420</v>
      </c>
      <c r="F214" s="1430">
        <f>'Available Stocks'!$K$59</f>
        <v>200</v>
      </c>
      <c r="G214" s="632">
        <f t="shared" si="5"/>
        <v>2.1</v>
      </c>
      <c r="H214" s="632">
        <f t="shared" si="6"/>
        <v>3</v>
      </c>
    </row>
    <row r="215" spans="1:9" s="260" customFormat="1" x14ac:dyDescent="0.2">
      <c r="A215" s="528"/>
      <c r="C215" s="634" t="s">
        <v>19</v>
      </c>
      <c r="D215" s="1548">
        <v>20</v>
      </c>
      <c r="E215" s="629">
        <f t="shared" si="4"/>
        <v>600</v>
      </c>
      <c r="F215" s="1430">
        <f>'Available Stocks'!$K$60</f>
        <v>240</v>
      </c>
      <c r="G215" s="630">
        <f t="shared" si="5"/>
        <v>2.5</v>
      </c>
      <c r="H215" s="630">
        <f t="shared" si="6"/>
        <v>3</v>
      </c>
    </row>
    <row r="216" spans="1:9" s="260" customFormat="1" x14ac:dyDescent="0.2">
      <c r="A216" s="528"/>
      <c r="C216" s="634" t="s">
        <v>17</v>
      </c>
      <c r="D216" s="1548">
        <v>7</v>
      </c>
      <c r="E216" s="629">
        <f t="shared" si="4"/>
        <v>210</v>
      </c>
      <c r="F216" s="1431">
        <f>'Available Stocks'!$K$61</f>
        <v>180</v>
      </c>
      <c r="G216" s="630">
        <f>E216/F216</f>
        <v>1.1666666666666667</v>
      </c>
      <c r="H216" s="630">
        <f>ROUNDUP(E216/F216, 0)</f>
        <v>2</v>
      </c>
    </row>
    <row r="217" spans="1:9" s="260" customFormat="1" ht="13.5" thickBot="1" x14ac:dyDescent="0.25">
      <c r="A217" s="528"/>
      <c r="C217" s="609" t="s">
        <v>33</v>
      </c>
      <c r="D217" s="1549">
        <v>4</v>
      </c>
      <c r="E217" s="635">
        <f t="shared" si="4"/>
        <v>120</v>
      </c>
      <c r="F217" s="1432">
        <f>'Available Stocks'!$K$62</f>
        <v>60</v>
      </c>
      <c r="G217" s="636">
        <f t="shared" si="5"/>
        <v>2</v>
      </c>
      <c r="H217" s="636">
        <f t="shared" si="6"/>
        <v>2</v>
      </c>
    </row>
    <row r="218" spans="1:9" s="260" customFormat="1" x14ac:dyDescent="0.2">
      <c r="A218" s="528"/>
      <c r="B218" s="623"/>
      <c r="C218" s="624"/>
      <c r="D218" s="624"/>
      <c r="E218" s="623"/>
      <c r="F218" s="623"/>
      <c r="G218" s="623"/>
      <c r="H218" s="623"/>
    </row>
    <row r="219" spans="1:9" s="260" customFormat="1" x14ac:dyDescent="0.2">
      <c r="A219" s="528"/>
    </row>
    <row r="220" spans="1:9" s="260" customFormat="1" x14ac:dyDescent="0.2">
      <c r="A220" s="528"/>
      <c r="C220" s="2172" t="str">
        <f>'TRAD-Data &amp; hypothesis Children'!B73</f>
        <v>Enfants de 15 à 20 kg (tranche de poids considéré : 17 - 19,9 kg)</v>
      </c>
      <c r="D220" s="2172"/>
      <c r="E220" s="2172"/>
      <c r="F220" s="2172"/>
      <c r="G220" s="2172"/>
      <c r="H220" s="2172"/>
      <c r="I220" s="2172"/>
    </row>
    <row r="221" spans="1:9" s="260" customFormat="1" ht="13.5" thickBot="1" x14ac:dyDescent="0.25">
      <c r="A221" s="528"/>
      <c r="B221" s="623"/>
      <c r="C221" s="624"/>
      <c r="D221" s="624"/>
      <c r="E221" s="623"/>
      <c r="F221" s="623"/>
      <c r="G221" s="623"/>
      <c r="H221" s="623"/>
    </row>
    <row r="222" spans="1:9" s="260" customFormat="1" ht="51.75" thickBot="1" x14ac:dyDescent="0.25">
      <c r="A222" s="528"/>
      <c r="C222" s="368"/>
      <c r="D222" s="369" t="str">
        <f>'TRAD-Data &amp; hypothesis Children'!B65</f>
        <v>volume (mL) / jour</v>
      </c>
      <c r="E222" s="369" t="str">
        <f>'TRAD-Data &amp; hypothesis Children'!B66</f>
        <v>volume (mL) / mois</v>
      </c>
      <c r="F222" s="369" t="str">
        <f>'TRAD-Data &amp; hypothesis Children'!B67</f>
        <v>volume flacon (mL) [1]</v>
      </c>
      <c r="G222" s="369" t="str">
        <f>'TRAD-Data &amp; hypothesis Children'!B68</f>
        <v>nb de flacons / mois</v>
      </c>
      <c r="H222" s="369" t="str">
        <f>'TRAD-Data &amp; hypothesis Children'!B69</f>
        <v>nb de flacons / mois arrondi</v>
      </c>
    </row>
    <row r="223" spans="1:9" s="260" customFormat="1" x14ac:dyDescent="0.2">
      <c r="A223" s="528"/>
      <c r="C223" s="607" t="s">
        <v>39</v>
      </c>
      <c r="D223" s="1546">
        <v>30</v>
      </c>
      <c r="E223" s="626">
        <f t="shared" ref="E223:E230" si="7">D223*30</f>
        <v>900</v>
      </c>
      <c r="F223" s="1428">
        <f>'Available Stocks'!$K$55</f>
        <v>240</v>
      </c>
      <c r="G223" s="627">
        <f t="shared" ref="G223:G228" si="8">E223/F223</f>
        <v>3.75</v>
      </c>
      <c r="H223" s="627">
        <f t="shared" ref="H223:H228" si="9">ROUNDUP(E223/F223, 0)</f>
        <v>4</v>
      </c>
    </row>
    <row r="224" spans="1:9" s="260" customFormat="1" x14ac:dyDescent="0.2">
      <c r="A224" s="528"/>
      <c r="C224" s="615" t="s">
        <v>61</v>
      </c>
      <c r="D224" s="1548">
        <v>30</v>
      </c>
      <c r="E224" s="629">
        <f t="shared" si="7"/>
        <v>900</v>
      </c>
      <c r="F224" s="1429">
        <f>'Available Stocks'!$K$56</f>
        <v>240</v>
      </c>
      <c r="G224" s="630">
        <f t="shared" si="8"/>
        <v>3.75</v>
      </c>
      <c r="H224" s="630">
        <f t="shared" si="9"/>
        <v>4</v>
      </c>
    </row>
    <row r="225" spans="1:8" s="260" customFormat="1" x14ac:dyDescent="0.2">
      <c r="A225" s="528"/>
      <c r="C225" s="615" t="s">
        <v>15</v>
      </c>
      <c r="D225" s="1548">
        <v>15</v>
      </c>
      <c r="E225" s="629">
        <f t="shared" si="7"/>
        <v>450</v>
      </c>
      <c r="F225" s="1430">
        <f>'Available Stocks'!$K$57</f>
        <v>240</v>
      </c>
      <c r="G225" s="630">
        <f t="shared" si="8"/>
        <v>1.875</v>
      </c>
      <c r="H225" s="630">
        <f t="shared" si="9"/>
        <v>2</v>
      </c>
    </row>
    <row r="226" spans="1:8" s="260" customFormat="1" x14ac:dyDescent="0.2">
      <c r="A226" s="528"/>
      <c r="C226" s="615" t="s">
        <v>25</v>
      </c>
      <c r="D226" s="1548">
        <v>15</v>
      </c>
      <c r="E226" s="629">
        <f t="shared" si="7"/>
        <v>450</v>
      </c>
      <c r="F226" s="1430">
        <f>'Available Stocks'!$K$58</f>
        <v>240</v>
      </c>
      <c r="G226" s="630">
        <f t="shared" si="8"/>
        <v>1.875</v>
      </c>
      <c r="H226" s="630">
        <f t="shared" si="9"/>
        <v>2</v>
      </c>
    </row>
    <row r="227" spans="1:8" s="260" customFormat="1" x14ac:dyDescent="0.2">
      <c r="A227" s="528"/>
      <c r="C227" s="615" t="s">
        <v>28</v>
      </c>
      <c r="D227" s="1548">
        <v>20</v>
      </c>
      <c r="E227" s="629">
        <f t="shared" si="7"/>
        <v>600</v>
      </c>
      <c r="F227" s="1430">
        <f>'Available Stocks'!$K$59</f>
        <v>200</v>
      </c>
      <c r="G227" s="632">
        <f t="shared" si="8"/>
        <v>3</v>
      </c>
      <c r="H227" s="632">
        <f t="shared" si="9"/>
        <v>3</v>
      </c>
    </row>
    <row r="228" spans="1:8" s="260" customFormat="1" x14ac:dyDescent="0.2">
      <c r="A228" s="528"/>
      <c r="C228" s="634" t="s">
        <v>19</v>
      </c>
      <c r="D228" s="1548">
        <v>24</v>
      </c>
      <c r="E228" s="629">
        <f t="shared" si="7"/>
        <v>720</v>
      </c>
      <c r="F228" s="1430">
        <f>'Available Stocks'!$K$60</f>
        <v>240</v>
      </c>
      <c r="G228" s="630">
        <f t="shared" si="8"/>
        <v>3</v>
      </c>
      <c r="H228" s="630">
        <f t="shared" si="9"/>
        <v>3</v>
      </c>
    </row>
    <row r="229" spans="1:8" s="260" customFormat="1" x14ac:dyDescent="0.2">
      <c r="A229" s="528"/>
      <c r="C229" s="634" t="s">
        <v>17</v>
      </c>
      <c r="D229" s="1548">
        <v>13</v>
      </c>
      <c r="E229" s="629">
        <f t="shared" si="7"/>
        <v>390</v>
      </c>
      <c r="F229" s="1431">
        <f>'Available Stocks'!$K$61</f>
        <v>180</v>
      </c>
      <c r="G229" s="630">
        <f>E229/F229</f>
        <v>2.1666666666666665</v>
      </c>
      <c r="H229" s="630">
        <f>ROUNDUP(E229/F229, 0)</f>
        <v>3</v>
      </c>
    </row>
    <row r="230" spans="1:8" s="260" customFormat="1" ht="13.5" thickBot="1" x14ac:dyDescent="0.25">
      <c r="A230" s="528"/>
      <c r="C230" s="609" t="s">
        <v>33</v>
      </c>
      <c r="D230" s="1549">
        <v>5</v>
      </c>
      <c r="E230" s="635">
        <f t="shared" si="7"/>
        <v>150</v>
      </c>
      <c r="F230" s="1432">
        <f>'Available Stocks'!$K$62</f>
        <v>60</v>
      </c>
      <c r="G230" s="636">
        <f t="shared" ref="G230" si="10">E230/F230</f>
        <v>2.5</v>
      </c>
      <c r="H230" s="636">
        <f t="shared" ref="H230" si="11">ROUNDUP(E230/F230, 0)</f>
        <v>3</v>
      </c>
    </row>
    <row r="231" spans="1:8" s="260" customFormat="1" x14ac:dyDescent="0.2">
      <c r="A231" s="528"/>
      <c r="B231" s="623"/>
      <c r="C231" s="624"/>
      <c r="D231" s="624"/>
      <c r="E231" s="623"/>
      <c r="F231" s="623"/>
      <c r="G231" s="623"/>
      <c r="H231" s="623"/>
    </row>
    <row r="232" spans="1:8" s="260" customFormat="1" ht="13.5" thickBot="1" x14ac:dyDescent="0.25">
      <c r="A232" s="528"/>
    </row>
    <row r="233" spans="1:8" s="260" customFormat="1" ht="13.5" thickBot="1" x14ac:dyDescent="0.25">
      <c r="A233" s="528"/>
      <c r="B233" s="2165" t="str">
        <f>'TRAD-Data &amp; hypothesis Children'!B74</f>
        <v>Formes solides</v>
      </c>
      <c r="C233" s="2166"/>
      <c r="D233" s="2166"/>
      <c r="E233" s="2166"/>
      <c r="F233" s="2166"/>
      <c r="G233" s="2166"/>
      <c r="H233" s="2167"/>
    </row>
    <row r="234" spans="1:8" s="260" customFormat="1" x14ac:dyDescent="0.2">
      <c r="A234" s="528"/>
    </row>
    <row r="235" spans="1:8" s="260" customFormat="1" ht="13.5" thickBot="1" x14ac:dyDescent="0.25">
      <c r="A235" s="528"/>
      <c r="E235" s="2168" t="str">
        <f>'TRAD-Data &amp; hypothesis Children'!B97</f>
        <v>Poids envisagés</v>
      </c>
      <c r="F235" s="2168"/>
      <c r="G235" s="2168"/>
      <c r="H235" s="2168"/>
    </row>
    <row r="236" spans="1:8" s="260" customFormat="1" ht="13.5" thickBot="1" x14ac:dyDescent="0.25">
      <c r="A236" s="528"/>
      <c r="C236" s="368" t="str">
        <f>'TRAD-Data &amp; hypothesis Children'!B75</f>
        <v>Formes</v>
      </c>
      <c r="D236" s="1584" t="str">
        <f>'TRAD-Data &amp; hypothesis Children'!B96</f>
        <v>Dosage</v>
      </c>
      <c r="E236" s="1584" t="s">
        <v>206</v>
      </c>
      <c r="F236" s="1584" t="s">
        <v>207</v>
      </c>
      <c r="G236" s="1584" t="s">
        <v>208</v>
      </c>
      <c r="H236" s="710" t="s">
        <v>112</v>
      </c>
    </row>
    <row r="237" spans="1:8" s="260" customFormat="1" ht="13.5" customHeight="1" x14ac:dyDescent="0.2">
      <c r="A237" s="528"/>
      <c r="C237" s="2159" t="str">
        <f>'TRAD-Data &amp; hypothesis Children'!B76</f>
        <v>Nb de boites / mois / patient</v>
      </c>
      <c r="D237" s="2160"/>
      <c r="E237" s="2160"/>
      <c r="F237" s="2160"/>
      <c r="G237" s="2160"/>
      <c r="H237" s="2160"/>
    </row>
    <row r="238" spans="1:8" s="260" customFormat="1" x14ac:dyDescent="0.2">
      <c r="A238" s="528"/>
      <c r="C238" s="849" t="str">
        <f t="array" ref="C238:D260">TRANSPOSE(K116:AG117)</f>
        <v>AZT+ 3TC+ NVP adulte</v>
      </c>
      <c r="D238" s="1172" t="str">
        <v>300/150/200 mg</v>
      </c>
      <c r="E238" s="1550"/>
      <c r="F238" s="1550"/>
      <c r="G238" s="1550">
        <v>1</v>
      </c>
      <c r="H238" s="1551">
        <v>1</v>
      </c>
    </row>
    <row r="239" spans="1:8" s="260" customFormat="1" x14ac:dyDescent="0.2">
      <c r="A239" s="528"/>
      <c r="C239" s="849" t="str">
        <v>AZT+ 3TC+ NVP bébé</v>
      </c>
      <c r="D239" s="1172" t="str">
        <v>60/30/50 mg</v>
      </c>
      <c r="E239" s="1550">
        <v>1.5</v>
      </c>
      <c r="F239" s="1550">
        <v>2</v>
      </c>
      <c r="G239" s="1550">
        <v>2.5</v>
      </c>
      <c r="H239" s="1551">
        <v>3</v>
      </c>
    </row>
    <row r="240" spans="1:8" s="260" customFormat="1" x14ac:dyDescent="0.2">
      <c r="A240" s="528"/>
      <c r="C240" s="849" t="str">
        <v>AZT+ 3TC adulte</v>
      </c>
      <c r="D240" s="1172" t="str">
        <v>300/150 mg</v>
      </c>
      <c r="E240" s="1550"/>
      <c r="F240" s="1550"/>
      <c r="G240" s="1550">
        <v>1</v>
      </c>
      <c r="H240" s="1551">
        <v>1</v>
      </c>
    </row>
    <row r="241" spans="1:8" s="260" customFormat="1" x14ac:dyDescent="0.2">
      <c r="A241" s="528"/>
      <c r="C241" s="849" t="str">
        <v>AZT+ 3TC bébé</v>
      </c>
      <c r="D241" s="1172" t="str">
        <v>60/30 mg</v>
      </c>
      <c r="E241" s="1550">
        <v>1.5</v>
      </c>
      <c r="F241" s="1550">
        <v>2</v>
      </c>
      <c r="G241" s="1550">
        <v>2.5</v>
      </c>
      <c r="H241" s="1551">
        <v>3</v>
      </c>
    </row>
    <row r="242" spans="1:8" s="260" customFormat="1" x14ac:dyDescent="0.2">
      <c r="A242" s="528"/>
      <c r="C242" s="849" t="str">
        <v>D4T+ 3TC+ NVP adulte</v>
      </c>
      <c r="D242" s="1172" t="str">
        <v>30/150/200 mg</v>
      </c>
      <c r="E242" s="1550"/>
      <c r="F242" s="1550"/>
      <c r="G242" s="1550">
        <v>1</v>
      </c>
      <c r="H242" s="1551">
        <v>1</v>
      </c>
    </row>
    <row r="243" spans="1:8" s="260" customFormat="1" x14ac:dyDescent="0.2">
      <c r="A243" s="528"/>
      <c r="C243" s="849" t="str">
        <v>D4T+ 3TC+ NVP bébé</v>
      </c>
      <c r="D243" s="1172" t="str">
        <v>6/30/50 mg</v>
      </c>
      <c r="E243" s="1550">
        <v>1.5</v>
      </c>
      <c r="F243" s="1550">
        <v>2</v>
      </c>
      <c r="G243" s="1550">
        <v>2.5</v>
      </c>
      <c r="H243" s="1551">
        <v>3</v>
      </c>
    </row>
    <row r="244" spans="1:8" s="260" customFormat="1" x14ac:dyDescent="0.2">
      <c r="A244" s="528"/>
      <c r="C244" s="849" t="str">
        <v>D4T+ 3TC bébé</v>
      </c>
      <c r="D244" s="1172" t="str">
        <v>6/30 mg</v>
      </c>
      <c r="E244" s="1550">
        <v>1.5</v>
      </c>
      <c r="F244" s="1550">
        <v>2</v>
      </c>
      <c r="G244" s="1550">
        <v>2.5</v>
      </c>
      <c r="H244" s="1551">
        <v>3</v>
      </c>
    </row>
    <row r="245" spans="1:8" s="260" customFormat="1" x14ac:dyDescent="0.2">
      <c r="A245" s="528"/>
      <c r="C245" s="849" t="str">
        <v>AZT+ 3TC+ ABC adulte</v>
      </c>
      <c r="D245" s="1172" t="str">
        <v>300/150/300 mg</v>
      </c>
      <c r="E245" s="1550"/>
      <c r="F245" s="1550"/>
      <c r="G245" s="1550">
        <v>1</v>
      </c>
      <c r="H245" s="1551">
        <v>1</v>
      </c>
    </row>
    <row r="246" spans="1:8" s="260" customFormat="1" x14ac:dyDescent="0.2">
      <c r="A246" s="528"/>
      <c r="C246" s="849" t="str">
        <v>AZT+ 3TC+ ABC bébé</v>
      </c>
      <c r="D246" s="1172" t="str">
        <v>60/30/60 mg</v>
      </c>
      <c r="E246" s="1550">
        <v>1.5</v>
      </c>
      <c r="F246" s="1550">
        <v>2</v>
      </c>
      <c r="G246" s="1550">
        <v>2.5</v>
      </c>
      <c r="H246" s="1551">
        <v>3</v>
      </c>
    </row>
    <row r="247" spans="1:8" s="260" customFormat="1" x14ac:dyDescent="0.2">
      <c r="A247" s="528"/>
      <c r="C247" s="849" t="str">
        <v>ABC+ 3TC adulte</v>
      </c>
      <c r="D247" s="1172" t="str">
        <v>600/300 mg</v>
      </c>
      <c r="E247" s="1550"/>
      <c r="F247" s="1550"/>
      <c r="G247" s="1550">
        <v>1</v>
      </c>
      <c r="H247" s="1551">
        <v>1</v>
      </c>
    </row>
    <row r="248" spans="1:8" s="260" customFormat="1" x14ac:dyDescent="0.2">
      <c r="A248" s="528"/>
      <c r="C248" s="849" t="str">
        <v>ABC+ 3TC bébé</v>
      </c>
      <c r="D248" s="1172" t="str">
        <v>60/30 mg</v>
      </c>
      <c r="E248" s="1550">
        <v>1.5</v>
      </c>
      <c r="F248" s="1550">
        <v>2</v>
      </c>
      <c r="G248" s="1550">
        <v>2.5</v>
      </c>
      <c r="H248" s="1551">
        <v>3</v>
      </c>
    </row>
    <row r="249" spans="1:8" s="260" customFormat="1" x14ac:dyDescent="0.2">
      <c r="A249" s="528"/>
      <c r="C249" s="849" t="str">
        <v>TDF+ FTC/3TC+ EFV adulte</v>
      </c>
      <c r="D249" s="1172" t="str">
        <v>300/200/600 mg</v>
      </c>
      <c r="E249" s="1550"/>
      <c r="F249" s="1550"/>
      <c r="G249" s="1550"/>
      <c r="H249" s="1551">
        <v>1</v>
      </c>
    </row>
    <row r="250" spans="1:8" s="260" customFormat="1" x14ac:dyDescent="0.2">
      <c r="A250" s="528"/>
      <c r="C250" s="849" t="str">
        <v>TDF+ FTC/3TC adulte</v>
      </c>
      <c r="D250" s="1172" t="str">
        <v>300/200 mg</v>
      </c>
      <c r="E250" s="1550"/>
      <c r="F250" s="1550"/>
      <c r="G250" s="1550"/>
      <c r="H250" s="1551">
        <v>1</v>
      </c>
    </row>
    <row r="251" spans="1:8" s="260" customFormat="1" x14ac:dyDescent="0.2">
      <c r="A251" s="528"/>
      <c r="C251" s="849" t="str">
        <v>TDF adulte</v>
      </c>
      <c r="D251" s="1172" t="str">
        <v>300 mg</v>
      </c>
      <c r="E251" s="1550"/>
      <c r="F251" s="1550"/>
      <c r="G251" s="1550"/>
      <c r="H251" s="1551">
        <v>1</v>
      </c>
    </row>
    <row r="252" spans="1:8" s="260" customFormat="1" x14ac:dyDescent="0.2">
      <c r="A252" s="528"/>
      <c r="C252" s="849" t="str">
        <v>3TC adulte</v>
      </c>
      <c r="D252" s="1172" t="str">
        <v>150 mg</v>
      </c>
      <c r="E252" s="1550"/>
      <c r="F252" s="1550"/>
      <c r="G252" s="1550">
        <v>0.5</v>
      </c>
      <c r="H252" s="1551">
        <v>1</v>
      </c>
    </row>
    <row r="253" spans="1:8" s="260" customFormat="1" x14ac:dyDescent="0.2">
      <c r="A253" s="528"/>
      <c r="C253" s="849" t="str">
        <v>ABC adulte</v>
      </c>
      <c r="D253" s="1172" t="str">
        <v>300 mg</v>
      </c>
      <c r="E253" s="1550"/>
      <c r="F253" s="1550"/>
      <c r="G253" s="1550">
        <v>0.5</v>
      </c>
      <c r="H253" s="1551">
        <v>1</v>
      </c>
    </row>
    <row r="254" spans="1:8" s="260" customFormat="1" x14ac:dyDescent="0.2">
      <c r="A254" s="528"/>
      <c r="C254" s="849" t="str">
        <v>ABC bébé</v>
      </c>
      <c r="D254" s="1172" t="str">
        <v>60 mg</v>
      </c>
      <c r="E254" s="1550">
        <v>1.5</v>
      </c>
      <c r="F254" s="1550">
        <v>2</v>
      </c>
      <c r="G254" s="1550">
        <v>2.5</v>
      </c>
      <c r="H254" s="1551">
        <v>3</v>
      </c>
    </row>
    <row r="255" spans="1:8" s="260" customFormat="1" x14ac:dyDescent="0.2">
      <c r="A255" s="528"/>
      <c r="C255" s="849" t="str">
        <v>DDI adulte</v>
      </c>
      <c r="D255" s="1172" t="str">
        <v>250 mg</v>
      </c>
      <c r="E255" s="1550"/>
      <c r="F255" s="1550"/>
      <c r="G255" s="1550"/>
      <c r="H255" s="1551">
        <v>1</v>
      </c>
    </row>
    <row r="256" spans="1:8" s="260" customFormat="1" x14ac:dyDescent="0.2">
      <c r="A256" s="528"/>
      <c r="C256" s="850" t="str">
        <v>NVP adulte</v>
      </c>
      <c r="D256" s="1172" t="str">
        <v>200 mg</v>
      </c>
      <c r="E256" s="1550"/>
      <c r="F256" s="1550"/>
      <c r="G256" s="1981">
        <v>0.75</v>
      </c>
      <c r="H256" s="1982">
        <v>1</v>
      </c>
    </row>
    <row r="257" spans="1:8" s="260" customFormat="1" x14ac:dyDescent="0.2">
      <c r="A257" s="528"/>
      <c r="C257" s="850" t="str">
        <v>NVP bébé</v>
      </c>
      <c r="D257" s="1172" t="str">
        <v>50 mg</v>
      </c>
      <c r="E257" s="1550">
        <v>1.5</v>
      </c>
      <c r="F257" s="1550">
        <v>2</v>
      </c>
      <c r="G257" s="1981">
        <v>2.5</v>
      </c>
      <c r="H257" s="1982">
        <v>3</v>
      </c>
    </row>
    <row r="258" spans="1:8" s="260" customFormat="1" x14ac:dyDescent="0.2">
      <c r="A258" s="528"/>
      <c r="C258" s="850" t="str">
        <v>EFV enfant</v>
      </c>
      <c r="D258" s="1172" t="str">
        <v>200 mg</v>
      </c>
      <c r="E258" s="1552"/>
      <c r="F258" s="1981">
        <v>1</v>
      </c>
      <c r="G258" s="1981">
        <v>1.5</v>
      </c>
      <c r="H258" s="1982">
        <v>1.5</v>
      </c>
    </row>
    <row r="259" spans="1:8" s="260" customFormat="1" x14ac:dyDescent="0.2">
      <c r="A259" s="528"/>
      <c r="C259" s="849" t="str">
        <v>LPV/r adulte</v>
      </c>
      <c r="D259" s="1172" t="str">
        <v>200/50 mg</v>
      </c>
      <c r="E259" s="1550"/>
      <c r="F259" s="1550"/>
      <c r="G259" s="1550">
        <v>0.5</v>
      </c>
      <c r="H259" s="1551">
        <v>0.5</v>
      </c>
    </row>
    <row r="260" spans="1:8" s="260" customFormat="1" ht="13.5" thickBot="1" x14ac:dyDescent="0.25">
      <c r="A260" s="528"/>
      <c r="C260" s="849" t="str">
        <v>LPV/r enfant</v>
      </c>
      <c r="D260" s="1190" t="str">
        <v>100/25 mg</v>
      </c>
      <c r="E260" s="1553"/>
      <c r="F260" s="1553">
        <v>1.5</v>
      </c>
      <c r="G260" s="1553">
        <v>2</v>
      </c>
      <c r="H260" s="1554">
        <v>2</v>
      </c>
    </row>
    <row r="261" spans="1:8" s="260" customFormat="1" x14ac:dyDescent="0.2">
      <c r="A261" s="528"/>
      <c r="C261" s="1356"/>
      <c r="D261" s="1357"/>
      <c r="E261" s="1357"/>
      <c r="F261" s="1357"/>
      <c r="G261" s="1357"/>
    </row>
  </sheetData>
  <sheetProtection password="D0E7" sheet="1" objects="1" scenarios="1"/>
  <mergeCells count="40">
    <mergeCell ref="B233:H233"/>
    <mergeCell ref="E235:H235"/>
    <mergeCell ref="B114:F114"/>
    <mergeCell ref="B74:F74"/>
    <mergeCell ref="C76:G76"/>
    <mergeCell ref="B132:F132"/>
    <mergeCell ref="B150:F150"/>
    <mergeCell ref="B168:F168"/>
    <mergeCell ref="B186:F186"/>
    <mergeCell ref="C220:I220"/>
    <mergeCell ref="B190:H190"/>
    <mergeCell ref="C192:I192"/>
    <mergeCell ref="C207:I207"/>
    <mergeCell ref="B101:F101"/>
    <mergeCell ref="D103:N103"/>
    <mergeCell ref="I8:J8"/>
    <mergeCell ref="D99:N99"/>
    <mergeCell ref="B93:M93"/>
    <mergeCell ref="D95:N95"/>
    <mergeCell ref="D97:N97"/>
    <mergeCell ref="D98:N98"/>
    <mergeCell ref="B86:F86"/>
    <mergeCell ref="B88:J88"/>
    <mergeCell ref="B90:K90"/>
    <mergeCell ref="C237:H237"/>
    <mergeCell ref="A2:M2"/>
    <mergeCell ref="B50:F50"/>
    <mergeCell ref="K50:M50"/>
    <mergeCell ref="D52:H52"/>
    <mergeCell ref="K4:M4"/>
    <mergeCell ref="I7:J7"/>
    <mergeCell ref="D7:G7"/>
    <mergeCell ref="B23:L23"/>
    <mergeCell ref="C48:L48"/>
    <mergeCell ref="K21:M21"/>
    <mergeCell ref="B39:F39"/>
    <mergeCell ref="K39:M39"/>
    <mergeCell ref="E45:F45"/>
    <mergeCell ref="B64:F64"/>
    <mergeCell ref="K64:M64"/>
  </mergeCells>
  <phoneticPr fontId="12" type="noConversion"/>
  <pageMargins left="0.25" right="0.25" top="0.75" bottom="0.75" header="0.3" footer="0.3"/>
  <pageSetup scale="84" orientation="portrait" r:id="rId1"/>
  <rowBreaks count="1" manualBreakCount="1">
    <brk id="37" max="16383" man="1"/>
  </rowBreaks>
  <legacyDrawing r:id="rId2"/>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706"/>
  <sheetViews>
    <sheetView topLeftCell="A84" zoomScale="70" zoomScaleNormal="70" zoomScalePageLayoutView="70" workbookViewId="0">
      <selection activeCell="B97" sqref="B97:B99"/>
    </sheetView>
  </sheetViews>
  <sheetFormatPr baseColWidth="10" defaultColWidth="11.5" defaultRowHeight="15" x14ac:dyDescent="0.2"/>
  <cols>
    <col min="1" max="1" width="6" style="1614" customWidth="1"/>
    <col min="2" max="2" width="62.83203125" style="1689" customWidth="1"/>
    <col min="3" max="3" width="6.1640625" style="1614" customWidth="1"/>
    <col min="4" max="5" width="96.6640625" style="1614" customWidth="1"/>
    <col min="6" max="16384" width="11.5" style="1614"/>
  </cols>
  <sheetData>
    <row r="1" spans="2:5" x14ac:dyDescent="0.2">
      <c r="B1" s="1689" t="s">
        <v>827</v>
      </c>
      <c r="D1" s="1662" t="s">
        <v>754</v>
      </c>
      <c r="E1" s="1663" t="s">
        <v>753</v>
      </c>
    </row>
    <row r="2" spans="2:5" s="1623" customFormat="1" x14ac:dyDescent="0.2">
      <c r="B2" s="1631" t="str">
        <f>IF(Presentation!$D$2="Anglais",'TRAD-Data &amp; hypothesis Children'!E2,IF(Presentation!$D$2="Français",'TRAD-Data &amp; hypothesis Children'!D2,""))</f>
        <v>Etape 2 : Hypothèses &amp; Données ENFANTS</v>
      </c>
      <c r="D2" s="1617" t="s">
        <v>1242</v>
      </c>
      <c r="E2" s="1617" t="s">
        <v>1360</v>
      </c>
    </row>
    <row r="3" spans="2:5" s="1623" customFormat="1" ht="30" x14ac:dyDescent="0.2">
      <c r="B3" s="1631" t="str">
        <f>IF(Presentation!$D$2="Anglais",'TRAD-Data &amp; hypothesis Children'!E3,IF(Presentation!$D$2="Français",'TRAD-Data &amp; hypothesis Children'!D3,""))</f>
        <v>Evolution du nombre de patients Adultes sous ARV au cours de la période</v>
      </c>
      <c r="D3" s="1617" t="s">
        <v>833</v>
      </c>
      <c r="E3" s="1617" t="s">
        <v>1361</v>
      </c>
    </row>
    <row r="4" spans="2:5" s="1623" customFormat="1" x14ac:dyDescent="0.2">
      <c r="B4" s="1631" t="str">
        <f>IF(Presentation!$D$2="Anglais",'TRAD-Data &amp; hypothesis Children'!E4,IF(Presentation!$D$2="Français",'TRAD-Data &amp; hypothesis Children'!D4,""))</f>
        <v>Année</v>
      </c>
      <c r="D4" s="1617" t="s">
        <v>843</v>
      </c>
      <c r="E4" s="1617" t="s">
        <v>423</v>
      </c>
    </row>
    <row r="5" spans="2:5" s="1623" customFormat="1" x14ac:dyDescent="0.2">
      <c r="B5" s="1631" t="str">
        <f>IF(Presentation!$D$2="Anglais",'TRAD-Data &amp; hypothesis Children'!E5,IF(Presentation!$D$2="Français",'TRAD-Data &amp; hypothesis Children'!D5,""))</f>
        <v>Enfant</v>
      </c>
      <c r="D5" s="1617" t="s">
        <v>1243</v>
      </c>
      <c r="E5" s="1617" t="s">
        <v>1244</v>
      </c>
    </row>
    <row r="6" spans="2:5" s="1623" customFormat="1" x14ac:dyDescent="0.2">
      <c r="B6" s="1631" t="str">
        <f>IF(Presentation!$D$2="Anglais",'TRAD-Data &amp; hypothesis Children'!E6,IF(Presentation!$D$2="Français",'TRAD-Data &amp; hypothesis Children'!D6,""))</f>
        <v>Nombre de patient en début d'année [1]</v>
      </c>
      <c r="D6" s="1617" t="s">
        <v>1237</v>
      </c>
      <c r="E6" s="1617" t="s">
        <v>1362</v>
      </c>
    </row>
    <row r="7" spans="2:5" s="1623" customFormat="1" x14ac:dyDescent="0.2">
      <c r="B7" s="1631" t="str">
        <f>IF(Presentation!$D$2="Anglais",'TRAD-Data &amp; hypothesis Children'!E7,IF(Presentation!$D$2="Français",'TRAD-Data &amp; hypothesis Children'!D7,""))</f>
        <v>Nb d'inclusion / mois</v>
      </c>
      <c r="D7" s="1617" t="s">
        <v>875</v>
      </c>
      <c r="E7" s="1617" t="s">
        <v>1363</v>
      </c>
    </row>
    <row r="8" spans="2:5" s="1623" customFormat="1" x14ac:dyDescent="0.2">
      <c r="B8" s="1631" t="str">
        <f>IF(Presentation!$D$2="Anglais",'TRAD-Data &amp; hypothesis Children'!E8,IF(Presentation!$D$2="Français",'TRAD-Data &amp; hypothesis Children'!D8,""))</f>
        <v>Nb d'inclusion / période</v>
      </c>
      <c r="D8" s="1617" t="s">
        <v>876</v>
      </c>
      <c r="E8" s="1617" t="s">
        <v>1364</v>
      </c>
    </row>
    <row r="9" spans="2:5" s="1623" customFormat="1" x14ac:dyDescent="0.2">
      <c r="B9" s="1631" t="str">
        <f>IF(Presentation!$D$2="Anglais",'TRAD-Data &amp; hypothesis Children'!E9,IF(Presentation!$D$2="Français",'TRAD-Data &amp; hypothesis Children'!D9,""))</f>
        <v>TOTAL à la fin de l'année</v>
      </c>
      <c r="D9" s="1617" t="s">
        <v>835</v>
      </c>
      <c r="E9" s="1617" t="s">
        <v>424</v>
      </c>
    </row>
    <row r="10" spans="2:5" s="1623" customFormat="1" x14ac:dyDescent="0.2">
      <c r="B10" s="1631" t="str">
        <f>IF(Presentation!$D$2="Anglais",'TRAD-Data &amp; hypothesis Children'!E10,IF(Presentation!$D$2="Français",'TRAD-Data &amp; hypothesis Children'!D10,""))</f>
        <v>Période réelle de l'année si ajustement voulu [2]</v>
      </c>
      <c r="D10" s="1617" t="s">
        <v>836</v>
      </c>
      <c r="E10" s="1617" t="s">
        <v>1365</v>
      </c>
    </row>
    <row r="11" spans="2:5" s="1623" customFormat="1" x14ac:dyDescent="0.2">
      <c r="B11" s="1631" t="str">
        <f>IF(Presentation!$D$2="Anglais",'TRAD-Data &amp; hypothesis Children'!E11,IF(Presentation!$D$2="Français",'TRAD-Data &amp; hypothesis Children'!D11,""))</f>
        <v>Nombre total de patients  attendu à la fin de la période</v>
      </c>
      <c r="D11" s="1617" t="s">
        <v>873</v>
      </c>
      <c r="E11" s="1617" t="s">
        <v>454</v>
      </c>
    </row>
    <row r="12" spans="2:5" s="1623" customFormat="1" x14ac:dyDescent="0.2">
      <c r="B12" s="1631" t="str">
        <f>IF(Presentation!$D$2="Anglais",'TRAD-Data &amp; hypothesis Children'!E12,IF(Presentation!$D$2="Français",'TRAD-Data &amp; hypothesis Children'!D12,""))</f>
        <v>Commentaires</v>
      </c>
      <c r="D12" s="1617" t="s">
        <v>242</v>
      </c>
      <c r="E12" s="1617" t="s">
        <v>413</v>
      </c>
    </row>
    <row r="13" spans="2:5" s="1623" customFormat="1" x14ac:dyDescent="0.2">
      <c r="B13" s="1631" t="str">
        <f>IF(Presentation!$D$2="Anglais",'TRAD-Data &amp; hypothesis Children'!E13,IF(Presentation!$D$2="Français",'TRAD-Data &amp; hypothesis Children'!D13,""))</f>
        <v>en début d'année ou au début de la période quantifiée</v>
      </c>
      <c r="D13" s="1617" t="s">
        <v>837</v>
      </c>
      <c r="E13" s="1617" t="s">
        <v>1366</v>
      </c>
    </row>
    <row r="14" spans="2:5" s="1623" customFormat="1" ht="30" x14ac:dyDescent="0.2">
      <c r="B14" s="1631" t="str">
        <f>IF(Presentation!$D$2="Anglais",'TRAD-Data &amp; hypothesis Children'!E14,IF(Presentation!$D$2="Français",'TRAD-Data &amp; hypothesis Children'!D14,""))</f>
        <v>se reporter aux données saisies dans la feuille "Données générales"</v>
      </c>
      <c r="D14" s="1617" t="s">
        <v>838</v>
      </c>
      <c r="E14" s="1617" t="s">
        <v>493</v>
      </c>
    </row>
    <row r="15" spans="2:5" s="1623" customFormat="1" ht="30" x14ac:dyDescent="0.2">
      <c r="B15" s="1631" t="str">
        <f>IF(Presentation!$D$2="Anglais",'TRAD-Data &amp; hypothesis Children'!E15,IF(Presentation!$D$2="Français",'TRAD-Data &amp; hypothesis Children'!D15,""))</f>
        <v>Répartition des enfants par schémas thérapeutiques au début de la période quantifiée</v>
      </c>
      <c r="D15" s="1617" t="s">
        <v>1245</v>
      </c>
      <c r="E15" s="1617" t="s">
        <v>1367</v>
      </c>
    </row>
    <row r="16" spans="2:5" s="1623" customFormat="1" ht="60" x14ac:dyDescent="0.2">
      <c r="B16" s="1631" t="str">
        <f>IF(Presentation!$D$2="Anglais",'TRAD-Data &amp; hypothesis Children'!E16,IF(Presentation!$D$2="Français",'TRAD-Data &amp; hypothesis Children'!D16,""))</f>
        <v>Indiquez la proportion de patients dans chaque schéma thérapeutique. Le nombre de patients est automatiquement calculé à partir du nombre total de patients dans le earlyd'année (cellule D9)</v>
      </c>
      <c r="D16" s="1617" t="s">
        <v>1509</v>
      </c>
      <c r="E16" s="1617" t="s">
        <v>1368</v>
      </c>
    </row>
    <row r="17" spans="2:5" s="1623" customFormat="1" x14ac:dyDescent="0.2">
      <c r="B17" s="1631" t="str">
        <f>IF(Presentation!$D$2="Anglais",'TRAD-Data &amp; hypothesis Children'!E17,IF(Presentation!$D$2="Français",'TRAD-Data &amp; hypothesis Children'!D17,""))</f>
        <v>Schémas thérapeutiques</v>
      </c>
      <c r="D17" s="1617" t="s">
        <v>840</v>
      </c>
      <c r="E17" s="1617" t="s">
        <v>943</v>
      </c>
    </row>
    <row r="18" spans="2:5" s="1623" customFormat="1" x14ac:dyDescent="0.2">
      <c r="B18" s="1631" t="str">
        <f>IF(Presentation!$D$2="Anglais",'TRAD-Data &amp; hypothesis Children'!E18,IF(Presentation!$D$2="Français",'TRAD-Data &amp; hypothesis Children'!D18,""))</f>
        <v>Répartition (%)</v>
      </c>
      <c r="D18" s="1617" t="s">
        <v>1253</v>
      </c>
      <c r="E18" s="1617" t="s">
        <v>457</v>
      </c>
    </row>
    <row r="19" spans="2:5" s="1623" customFormat="1" x14ac:dyDescent="0.2">
      <c r="B19" s="1631" t="str">
        <f>IF(Presentation!$D$2="Anglais",'TRAD-Data &amp; hypothesis Children'!E19,IF(Presentation!$D$2="Français",'TRAD-Data &amp; hypothesis Children'!D19,""))</f>
        <v>Nb de patients prévus au début de la période quantifiée</v>
      </c>
      <c r="D19" s="1617" t="s">
        <v>841</v>
      </c>
      <c r="E19" s="1617" t="s">
        <v>1369</v>
      </c>
    </row>
    <row r="20" spans="2:5" s="1623" customFormat="1" x14ac:dyDescent="0.2">
      <c r="B20" s="1631" t="str">
        <f>IF(Presentation!$D$2="Anglais",'TRAD-Data &amp; hypothesis Children'!E20,IF(Presentation!$D$2="Français",'TRAD-Data &amp; hypothesis Children'!D20,""))</f>
        <v>1ères lignes</v>
      </c>
      <c r="D20" s="1617" t="s">
        <v>134</v>
      </c>
      <c r="E20" s="1617" t="s">
        <v>426</v>
      </c>
    </row>
    <row r="21" spans="2:5" s="1623" customFormat="1" x14ac:dyDescent="0.2">
      <c r="B21" s="1631" t="str">
        <f>IF(Presentation!$D$2="Anglais",'TRAD-Data &amp; hypothesis Children'!E21,IF(Presentation!$D$2="Français",'TRAD-Data &amp; hypothesis Children'!D21,""))</f>
        <v>2èmes lignes</v>
      </c>
      <c r="D21" s="1617" t="s">
        <v>64</v>
      </c>
      <c r="E21" s="1617" t="s">
        <v>427</v>
      </c>
    </row>
    <row r="22" spans="2:5" s="1623" customFormat="1" x14ac:dyDescent="0.2">
      <c r="B22" s="1631" t="str">
        <f>IF(Presentation!$D$2="Anglais",'TRAD-Data &amp; hypothesis Children'!E22,IF(Presentation!$D$2="Français",'TRAD-Data &amp; hypothesis Children'!D22,""))</f>
        <v>3èmes lignes</v>
      </c>
      <c r="D22" s="1617" t="s">
        <v>187</v>
      </c>
      <c r="E22" s="1617" t="s">
        <v>428</v>
      </c>
    </row>
    <row r="23" spans="2:5" s="1623" customFormat="1" x14ac:dyDescent="0.2">
      <c r="B23" s="1631" t="str">
        <f>IF(Presentation!$D$2="Anglais",'TRAD-Data &amp; hypothesis Children'!E23,IF(Presentation!$D$2="Français",'TRAD-Data &amp; hypothesis Children'!D23,""))</f>
        <v>Répartition  en fonction des catégories de poids</v>
      </c>
      <c r="D23" s="1617" t="s">
        <v>1246</v>
      </c>
      <c r="E23" s="1617" t="s">
        <v>467</v>
      </c>
    </row>
    <row r="24" spans="2:5" s="1623" customFormat="1" ht="30" x14ac:dyDescent="0.2">
      <c r="B24" s="1631" t="str">
        <f>IF(Presentation!$D$2="Anglais",'TRAD-Data &amp; hypothesis Children'!E24,IF(Presentation!$D$2="Français",'TRAD-Data &amp; hypothesis Children'!D24,""))</f>
        <v>Définir les hypothèses de répartition par catégories de poids</v>
      </c>
      <c r="D24" s="1617" t="s">
        <v>1247</v>
      </c>
      <c r="E24" s="1617" t="s">
        <v>466</v>
      </c>
    </row>
    <row r="25" spans="2:5" s="1623" customFormat="1" x14ac:dyDescent="0.2">
      <c r="B25" s="1631" t="str">
        <f>IF(Presentation!$D$2="Anglais",'TRAD-Data &amp; hypothesis Children'!E25,IF(Presentation!$D$2="Français",'TRAD-Data &amp; hypothesis Children'!D25,""))</f>
        <v xml:space="preserve">Poids </v>
      </c>
      <c r="D25" s="1617" t="s">
        <v>1250</v>
      </c>
      <c r="E25" s="1617" t="s">
        <v>1248</v>
      </c>
    </row>
    <row r="26" spans="2:5" s="1623" customFormat="1" x14ac:dyDescent="0.2">
      <c r="B26" s="1631" t="str">
        <f>IF(Presentation!$D$2="Anglais",'TRAD-Data &amp; hypothesis Children'!E26,IF(Presentation!$D$2="Français",'TRAD-Data &amp; hypothesis Children'!D26,""))</f>
        <v>Pourcentage</v>
      </c>
      <c r="D26" s="1617" t="s">
        <v>125</v>
      </c>
      <c r="E26" s="1617" t="s">
        <v>1249</v>
      </c>
    </row>
    <row r="27" spans="2:5" s="1623" customFormat="1" x14ac:dyDescent="0.2">
      <c r="B27" s="1631" t="str">
        <f>IF(Presentation!$D$2="Anglais",'TRAD-Data &amp; hypothesis Children'!E27,IF(Presentation!$D$2="Français",'TRAD-Data &amp; hypothesis Children'!D27,""))</f>
        <v>caps</v>
      </c>
      <c r="D27" s="1617" t="s">
        <v>1481</v>
      </c>
      <c r="E27" s="1617" t="s">
        <v>1483</v>
      </c>
    </row>
    <row r="28" spans="2:5" s="1623" customFormat="1" ht="45" x14ac:dyDescent="0.2">
      <c r="B28" s="1631" t="str">
        <f>IF(Presentation!$D$2="Anglais",'TRAD-Data &amp; hypothesis Children'!E28,IF(Presentation!$D$2="Français",'TRAD-Data &amp; hypothesis Children'!D28,""))</f>
        <v>Le total peut dépasser 100% dans le but de garantir une disponibilité suffisante des formes galéniques pédiatriques</v>
      </c>
      <c r="D28" s="1617" t="s">
        <v>1259</v>
      </c>
      <c r="E28" s="1617" t="s">
        <v>568</v>
      </c>
    </row>
    <row r="29" spans="2:5" s="1623" customFormat="1" x14ac:dyDescent="0.2">
      <c r="B29" s="1631" t="str">
        <f>IF(Presentation!$D$2="Anglais",'TRAD-Data &amp; hypothesis Children'!E29,IF(Presentation!$D$2="Français",'TRAD-Data &amp; hypothesis Children'!D29,""))</f>
        <v>nb de patient total 3èmes lignes</v>
      </c>
      <c r="D29" s="1617" t="s">
        <v>195</v>
      </c>
      <c r="E29" s="1617" t="s">
        <v>458</v>
      </c>
    </row>
    <row r="30" spans="2:5" s="1623" customFormat="1" ht="30" x14ac:dyDescent="0.2">
      <c r="B30" s="1631" t="str">
        <f>IF(Presentation!$D$2="Anglais",'TRAD-Data &amp; hypothesis Children'!E30,IF(Presentation!$D$2="Français",'TRAD-Data &amp; hypothesis Children'!D30,""))</f>
        <v>Choisir la forme galénique qui sera plus utile par rapport aux  besoins de chaque schéma thérapeutique</v>
      </c>
      <c r="D30" s="1617" t="s">
        <v>1258</v>
      </c>
      <c r="E30" s="1617" t="s">
        <v>1370</v>
      </c>
    </row>
    <row r="31" spans="2:5" s="1623" customFormat="1" ht="30" x14ac:dyDescent="0.2">
      <c r="B31" s="1631" t="str">
        <f>IF(Presentation!$D$2="Anglais",'TRAD-Data &amp; hypothesis Children'!E31,IF(Presentation!$D$2="Français",'TRAD-Data &amp; hypothesis Children'!D31,""))</f>
        <v>Tous les produits inclus dans les outils sont préqualifiés  selon la politique d'assurance qualité du Fond  Mondial</v>
      </c>
      <c r="D31" s="1617" t="s">
        <v>1255</v>
      </c>
      <c r="E31" s="1617" t="s">
        <v>751</v>
      </c>
    </row>
    <row r="32" spans="2:5" s="1623" customFormat="1" x14ac:dyDescent="0.2">
      <c r="B32" s="1631" t="str">
        <f>IF(Presentation!$D$2="Anglais",'TRAD-Data &amp; hypothesis Children'!E32,IF(Presentation!$D$2="Français",'TRAD-Data &amp; hypothesis Children'!D32,""))</f>
        <v>Avertissement</v>
      </c>
      <c r="D32" s="1617" t="s">
        <v>1256</v>
      </c>
      <c r="E32" s="1617" t="s">
        <v>508</v>
      </c>
    </row>
    <row r="33" spans="2:14" s="1623" customFormat="1" ht="30" x14ac:dyDescent="0.2">
      <c r="B33" s="1631" t="str">
        <f>IF(Presentation!$D$2="Anglais",'TRAD-Data &amp; hypothesis Children'!E33,IF(Presentation!$D$2="Français",'TRAD-Data &amp; hypothesis Children'!D33,""))</f>
        <v>Ne choisir qu'un seul schéma thérapeutique et une forme galénique</v>
      </c>
      <c r="D33" s="1617" t="s">
        <v>880</v>
      </c>
      <c r="E33" s="1617" t="s">
        <v>566</v>
      </c>
      <c r="F33" s="1624"/>
      <c r="G33" s="1624"/>
      <c r="H33" s="1624"/>
      <c r="I33" s="1624"/>
      <c r="J33" s="1624"/>
      <c r="K33" s="1624"/>
      <c r="L33" s="1624"/>
      <c r="M33" s="1624"/>
      <c r="N33" s="1624"/>
    </row>
    <row r="34" spans="2:14" s="1623" customFormat="1" ht="45" x14ac:dyDescent="0.2">
      <c r="B34" s="1631" t="str">
        <f>IF(Presentation!$D$2="Anglais",'TRAD-Data &amp; hypothesis Children'!E34,IF(Presentation!$D$2="Français",'TRAD-Data &amp; hypothesis Children'!D34,""))</f>
        <v>Ces choix ne concernent pas la période d'initiation NVP. Nous avions considéré que l'initiation avec NVP ne se fait qu'avec les solutions buvables.</v>
      </c>
      <c r="D34" s="1617" t="s">
        <v>1257</v>
      </c>
      <c r="E34" s="1617" t="s">
        <v>1371</v>
      </c>
      <c r="F34" s="1624"/>
      <c r="G34" s="1624"/>
      <c r="H34" s="1624"/>
      <c r="I34" s="1624"/>
      <c r="J34" s="1624"/>
      <c r="K34" s="1624"/>
      <c r="L34" s="1624"/>
      <c r="M34" s="1624"/>
      <c r="N34" s="1624"/>
    </row>
    <row r="35" spans="2:14" s="1623" customFormat="1" x14ac:dyDescent="0.2">
      <c r="B35" s="1631" t="str">
        <f>IF(Presentation!$D$2="Anglais",'TRAD-Data &amp; hypothesis Children'!E35,IF(Presentation!$D$2="Français",'TRAD-Data &amp; hypothesis Children'!D35,""))</f>
        <v>Répartition des Initiations en 1ère lignes</v>
      </c>
      <c r="D35" s="1617" t="s">
        <v>842</v>
      </c>
      <c r="E35" s="1617" t="s">
        <v>1372</v>
      </c>
    </row>
    <row r="36" spans="2:14" s="1623" customFormat="1" x14ac:dyDescent="0.2">
      <c r="B36" s="1631" t="str">
        <f>IF(Presentation!$D$2="Anglais",'TRAD-Data &amp; hypothesis Children'!E36,IF(Presentation!$D$2="Français",'TRAD-Data &amp; hypothesis Children'!D36,""))</f>
        <v>Proportion</v>
      </c>
      <c r="D36" s="1617" t="s">
        <v>51</v>
      </c>
      <c r="E36" s="1617" t="s">
        <v>51</v>
      </c>
    </row>
    <row r="37" spans="2:14" s="1623" customFormat="1" x14ac:dyDescent="0.2">
      <c r="B37" s="1631" t="str">
        <f>IF(Presentation!$D$2="Anglais",'TRAD-Data &amp; hypothesis Children'!E37,IF(Presentation!$D$2="Français",'TRAD-Data &amp; hypothesis Children'!D37,""))</f>
        <v>Initiations</v>
      </c>
      <c r="D37" s="1617" t="s">
        <v>286</v>
      </c>
      <c r="E37" s="1617" t="s">
        <v>286</v>
      </c>
    </row>
    <row r="38" spans="2:14" s="1623" customFormat="1" ht="30" x14ac:dyDescent="0.2">
      <c r="B38" s="1631" t="str">
        <f>IF(Presentation!$D$2="Anglais",'TRAD-Data &amp; hypothesis Children'!E38,IF(Presentation!$D$2="Français",'TRAD-Data &amp; hypothesis Children'!D38,""))</f>
        <v>Répartition des enfants qui sont supposés transiter de la 1ère ligne a la 2ème lignes thérapeutiques</v>
      </c>
      <c r="D38" s="1617" t="s">
        <v>1373</v>
      </c>
      <c r="E38" s="1617" t="s">
        <v>1374</v>
      </c>
    </row>
    <row r="39" spans="2:14" s="1623" customFormat="1" x14ac:dyDescent="0.2">
      <c r="B39" s="1631" t="str">
        <f>IF(Presentation!$D$2="Anglais",'TRAD-Data &amp; hypothesis Children'!E39,IF(Presentation!$D$2="Français",'TRAD-Data &amp; hypothesis Children'!D39,""))</f>
        <v>Schémas thérapeutiques</v>
      </c>
      <c r="D39" s="1617" t="s">
        <v>840</v>
      </c>
      <c r="E39" s="1617" t="s">
        <v>943</v>
      </c>
    </row>
    <row r="40" spans="2:14" s="1623" customFormat="1" x14ac:dyDescent="0.2">
      <c r="B40" s="1631" t="str">
        <f>IF(Presentation!$D$2="Anglais",'TRAD-Data &amp; hypothesis Children'!E40,IF(Presentation!$D$2="Français",'TRAD-Data &amp; hypothesis Children'!D40,""))</f>
        <v>Choix de la formulation thérapeutique</v>
      </c>
      <c r="D40" s="1617" t="s">
        <v>1254</v>
      </c>
      <c r="E40" s="1617" t="s">
        <v>1375</v>
      </c>
    </row>
    <row r="41" spans="2:14" s="1623" customFormat="1" x14ac:dyDescent="0.2">
      <c r="B41" s="1631" t="str">
        <f>IF(Presentation!$D$2="Anglais",'TRAD-Data &amp; hypothesis Children'!E41,IF(Presentation!$D$2="Français",'TRAD-Data &amp; hypothesis Children'!D41,""))</f>
        <v>Proportion d'enfants en 2ème ligne / total des enfants</v>
      </c>
      <c r="D41" s="1617" t="s">
        <v>1252</v>
      </c>
      <c r="E41" s="1617" t="s">
        <v>1251</v>
      </c>
    </row>
    <row r="42" spans="2:14" s="1623" customFormat="1" x14ac:dyDescent="0.2">
      <c r="B42" s="1631" t="str">
        <f>IF(Presentation!$D$2="Anglais",'TRAD-Data &amp; hypothesis Children'!E42,IF(Presentation!$D$2="Français",'TRAD-Data &amp; hypothesis Children'!D42,""))</f>
        <v>Répartition selon les molécules de deuxièmes lignes</v>
      </c>
      <c r="D42" s="1626" t="s">
        <v>1624</v>
      </c>
      <c r="E42" s="1626" t="s">
        <v>1625</v>
      </c>
    </row>
    <row r="43" spans="2:14" s="1623" customFormat="1" x14ac:dyDescent="0.2">
      <c r="B43" s="1631" t="str">
        <f>IF(Presentation!$D$2="Anglais",'TRAD-Data &amp; hypothesis Children'!E43,IF(Presentation!$D$2="Français",'TRAD-Data &amp; hypothesis Children'!D43,""))</f>
        <v>Répartition</v>
      </c>
      <c r="D43" s="1626" t="s">
        <v>899</v>
      </c>
      <c r="E43" s="1626" t="s">
        <v>460</v>
      </c>
    </row>
    <row r="44" spans="2:14" s="1623" customFormat="1" x14ac:dyDescent="0.2">
      <c r="B44" s="1631" t="str">
        <f>IF(Presentation!$D$2="Anglais",'TRAD-Data &amp; hypothesis Children'!E44,IF(Presentation!$D$2="Français",'TRAD-Data &amp; hypothesis Children'!D44,""))</f>
        <v>3èmes lignes</v>
      </c>
      <c r="D44" s="1617" t="s">
        <v>187</v>
      </c>
      <c r="E44" s="1617" t="s">
        <v>428</v>
      </c>
    </row>
    <row r="45" spans="2:14" s="1623" customFormat="1" x14ac:dyDescent="0.2">
      <c r="B45" s="1631" t="str">
        <f>IF(Presentation!$D$2="Anglais",'TRAD-Data &amp; hypothesis Children'!E45,IF(Presentation!$D$2="Français",'TRAD-Data &amp; hypothesis Children'!D45,""))</f>
        <v>Commentaires</v>
      </c>
      <c r="D45" s="1617" t="s">
        <v>242</v>
      </c>
      <c r="E45" s="1617" t="s">
        <v>440</v>
      </c>
    </row>
    <row r="46" spans="2:14" s="1623" customFormat="1" ht="30" x14ac:dyDescent="0.2">
      <c r="B46" s="1631" t="str">
        <f>IF(Presentation!$D$2="Anglais",'TRAD-Data &amp; hypothesis Children'!E46,IF(Presentation!$D$2="Français",'TRAD-Data &amp; hypothesis Children'!D46,""))</f>
        <v>les quantités de RTV sont calculées en fonction du boost défini ci-dessous</v>
      </c>
      <c r="D46" s="1617" t="s">
        <v>851</v>
      </c>
      <c r="E46" s="1617" t="s">
        <v>1376</v>
      </c>
    </row>
    <row r="47" spans="2:14" s="1623" customFormat="1" x14ac:dyDescent="0.2">
      <c r="B47" s="1631" t="str">
        <f>IF(Presentation!$D$2="Anglais",'TRAD-Data &amp; hypothesis Children'!E47,IF(Presentation!$D$2="Français",'TRAD-Data &amp; hypothesis Children'!D47,""))</f>
        <v>Choisir l'association  la plus utile, au regard des besoins</v>
      </c>
      <c r="D47" s="1617" t="s">
        <v>1260</v>
      </c>
      <c r="E47" s="1617" t="s">
        <v>1377</v>
      </c>
    </row>
    <row r="48" spans="2:14" s="1623" customFormat="1" ht="30" x14ac:dyDescent="0.2">
      <c r="B48" s="1631" t="str">
        <f>IF(Presentation!$D$2="Anglais",'TRAD-Data &amp; hypothesis Children'!E48,IF(Presentation!$D$2="Français",'TRAD-Data &amp; hypothesis Children'!D48,""))</f>
        <v>Attention au choix de la forme galénique même s'il n'y a aucun patient sous ce schéma thérapeutique</v>
      </c>
      <c r="D48" s="1617" t="s">
        <v>1261</v>
      </c>
      <c r="E48" s="1617" t="s">
        <v>1378</v>
      </c>
    </row>
    <row r="49" spans="2:10" s="1623" customFormat="1" x14ac:dyDescent="0.2">
      <c r="B49" s="1631" t="str">
        <f>IF(Presentation!$D$2="Anglais",'TRAD-Data &amp; hypothesis Children'!E49,IF(Presentation!$D$2="Français",'TRAD-Data &amp; hypothesis Children'!D49,""))</f>
        <v>Initiation du schéma NVP</v>
      </c>
      <c r="D49" s="1626" t="s">
        <v>881</v>
      </c>
      <c r="E49" s="1626" t="s">
        <v>1379</v>
      </c>
    </row>
    <row r="50" spans="2:10" s="1623" customFormat="1" x14ac:dyDescent="0.2">
      <c r="B50" s="1631" t="str">
        <f>IF(Presentation!$D$2="Anglais",'TRAD-Data &amp; hypothesis Children'!E50,IF(Presentation!$D$2="Français",'TRAD-Data &amp; hypothesis Children'!D50,""))</f>
        <v>Schéma thérapeutique</v>
      </c>
      <c r="D50" s="1617" t="s">
        <v>180</v>
      </c>
      <c r="E50" s="1617" t="s">
        <v>1380</v>
      </c>
    </row>
    <row r="51" spans="2:10" s="1623" customFormat="1" x14ac:dyDescent="0.2">
      <c r="B51" s="1631" t="str">
        <f>IF(Presentation!$D$2="Anglais",'TRAD-Data &amp; hypothesis Children'!E51,IF(Presentation!$D$2="Français",'TRAD-Data &amp; hypothesis Children'!D51,""))</f>
        <v>Seul avec FDC : AZT+3TC &amp; AZT+3TC+NVP</v>
      </c>
      <c r="D51" s="1617" t="s">
        <v>1291</v>
      </c>
      <c r="E51" s="1617" t="s">
        <v>724</v>
      </c>
      <c r="F51" s="1617"/>
      <c r="G51" s="1617"/>
      <c r="H51" s="1617"/>
      <c r="I51" s="1617"/>
      <c r="J51" s="1617"/>
    </row>
    <row r="52" spans="2:10" s="1623" customFormat="1" x14ac:dyDescent="0.2">
      <c r="B52" s="1631" t="str">
        <f>IF(Presentation!$D$2="Anglais",'TRAD-Data &amp; hypothesis Children'!E52,IF(Presentation!$D$2="Français",'TRAD-Data &amp; hypothesis Children'!D52,""))</f>
        <v>Avec NVP sirop + FDC : AZT+3TC</v>
      </c>
      <c r="D52" s="1617" t="s">
        <v>1292</v>
      </c>
      <c r="E52" s="1617" t="s">
        <v>725</v>
      </c>
      <c r="F52" s="1617"/>
      <c r="G52" s="1617"/>
      <c r="H52" s="1617"/>
      <c r="I52" s="1617"/>
      <c r="J52" s="1617"/>
    </row>
    <row r="53" spans="2:10" s="1623" customFormat="1" x14ac:dyDescent="0.2">
      <c r="B53" s="1631" t="str">
        <f>IF(Presentation!$D$2="Anglais",'TRAD-Data &amp; hypothesis Children'!E53,IF(Presentation!$D$2="Français",'TRAD-Data &amp; hypothesis Children'!D53,""))</f>
        <v>Avec NVP sirop +  suspension buvable  AZT &amp; 3TC</v>
      </c>
      <c r="D53" s="1617" t="s">
        <v>1293</v>
      </c>
      <c r="E53" s="1617" t="s">
        <v>726</v>
      </c>
      <c r="F53" s="1617"/>
      <c r="G53" s="1617"/>
      <c r="H53" s="1617"/>
      <c r="I53" s="1617"/>
      <c r="J53" s="1617"/>
    </row>
    <row r="54" spans="2:10" s="1623" customFormat="1" x14ac:dyDescent="0.2">
      <c r="B54" s="1631" t="str">
        <f>IF(Presentation!$D$2="Anglais",'TRAD-Data &amp; hypothesis Children'!E54,IF(Presentation!$D$2="Français",'TRAD-Data &amp; hypothesis Children'!D54,""))</f>
        <v>Seul avec FDC : D4T+3TC+NVP qd &amp; D4T+3TC qd</v>
      </c>
      <c r="D54" s="1617" t="s">
        <v>1294</v>
      </c>
      <c r="E54" s="1617" t="s">
        <v>736</v>
      </c>
      <c r="F54" s="1617"/>
      <c r="G54" s="1617"/>
      <c r="H54" s="1617"/>
      <c r="I54" s="1617"/>
      <c r="J54" s="1617"/>
    </row>
    <row r="55" spans="2:10" s="1623" customFormat="1" x14ac:dyDescent="0.2">
      <c r="B55" s="1631" t="str">
        <f>IF(Presentation!$D$2="Anglais",'TRAD-Data &amp; hypothesis Children'!E55,IF(Presentation!$D$2="Français",'TRAD-Data &amp; hypothesis Children'!D55,""))</f>
        <v>Avec NVP sirop + FDC : D4T+3TC</v>
      </c>
      <c r="D55" s="1617" t="s">
        <v>1295</v>
      </c>
      <c r="E55" s="1617" t="s">
        <v>737</v>
      </c>
      <c r="F55" s="1617"/>
      <c r="G55" s="1617"/>
      <c r="H55" s="1617"/>
      <c r="I55" s="1617"/>
      <c r="J55" s="1617"/>
    </row>
    <row r="56" spans="2:10" s="1623" customFormat="1" x14ac:dyDescent="0.2">
      <c r="B56" s="1631" t="str">
        <f>IF(Presentation!$D$2="Anglais",'TRAD-Data &amp; hypothesis Children'!E56,IF(Presentation!$D$2="Français",'TRAD-Data &amp; hypothesis Children'!D56,""))</f>
        <v>Avec NVP sirop +  suspension buvable  D4T &amp; 3TC</v>
      </c>
      <c r="D56" s="1617" t="s">
        <v>1296</v>
      </c>
      <c r="E56" s="1617" t="s">
        <v>727</v>
      </c>
      <c r="F56" s="1617"/>
      <c r="G56" s="1617"/>
      <c r="H56" s="1617"/>
      <c r="I56" s="1617"/>
      <c r="J56" s="1617"/>
    </row>
    <row r="57" spans="2:10" s="1623" customFormat="1" x14ac:dyDescent="0.2">
      <c r="B57" s="1631" t="str">
        <f>IF(Presentation!$D$2="Anglais",'TRAD-Data &amp; hypothesis Children'!E57,IF(Presentation!$D$2="Français",'TRAD-Data &amp; hypothesis Children'!D57,""))</f>
        <v>De 3 à 9,9 kg</v>
      </c>
      <c r="D57" s="1617" t="s">
        <v>1297</v>
      </c>
      <c r="E57" s="1617" t="s">
        <v>667</v>
      </c>
      <c r="F57" s="1617"/>
      <c r="G57" s="1617"/>
      <c r="H57" s="1617"/>
      <c r="I57" s="1617"/>
      <c r="J57" s="1617"/>
    </row>
    <row r="58" spans="2:10" s="1623" customFormat="1" x14ac:dyDescent="0.2">
      <c r="B58" s="1631" t="str">
        <f>IF(Presentation!$D$2="Anglais",'TRAD-Data &amp; hypothesis Children'!E58,IF(Presentation!$D$2="Français",'TRAD-Data &amp; hypothesis Children'!D58,""))</f>
        <v>De 10 à 14,9 kg</v>
      </c>
      <c r="D58" s="1617" t="s">
        <v>1298</v>
      </c>
      <c r="E58" s="1617" t="s">
        <v>666</v>
      </c>
      <c r="F58" s="1617"/>
      <c r="G58" s="1617"/>
      <c r="H58" s="1617"/>
      <c r="I58" s="1617"/>
      <c r="J58" s="1617"/>
    </row>
    <row r="59" spans="2:10" s="1623" customFormat="1" x14ac:dyDescent="0.2">
      <c r="B59" s="1631" t="str">
        <f>IF(Presentation!$D$2="Anglais",'TRAD-Data &amp; hypothesis Children'!E59,IF(Presentation!$D$2="Français",'TRAD-Data &amp; hypothesis Children'!D59,""))</f>
        <v>De 15  à 19,9 kg</v>
      </c>
      <c r="D59" s="1617" t="s">
        <v>1299</v>
      </c>
      <c r="E59" s="1617" t="s">
        <v>668</v>
      </c>
      <c r="F59" s="1617"/>
      <c r="G59" s="1617"/>
      <c r="H59" s="1617"/>
      <c r="I59" s="1617"/>
      <c r="J59" s="1617"/>
    </row>
    <row r="60" spans="2:10" s="1623" customFormat="1" x14ac:dyDescent="0.2">
      <c r="B60" s="1631" t="str">
        <f>IF(Presentation!$D$2="Anglais",'TRAD-Data &amp; hypothesis Children'!E60,IF(Presentation!$D$2="Français",'TRAD-Data &amp; hypothesis Children'!D60,""))</f>
        <v>De 20 à 24,9 kg</v>
      </c>
      <c r="D60" s="1617" t="s">
        <v>1300</v>
      </c>
      <c r="E60" s="1617" t="s">
        <v>669</v>
      </c>
      <c r="F60" s="1617"/>
      <c r="G60" s="1617"/>
      <c r="H60" s="1617"/>
      <c r="I60" s="1617"/>
      <c r="J60" s="1617"/>
    </row>
    <row r="61" spans="2:10" s="1623" customFormat="1" x14ac:dyDescent="0.2">
      <c r="B61" s="1631" t="str">
        <f>IF(Presentation!$D$2="Anglais",'TRAD-Data &amp; hypothesis Children'!E61,IF(Presentation!$D$2="Français",'TRAD-Data &amp; hypothesis Children'!D61,""))</f>
        <v>Définir la dose journalière pour chaque formulation</v>
      </c>
      <c r="D61" s="1617" t="s">
        <v>1301</v>
      </c>
      <c r="E61" s="1617" t="s">
        <v>677</v>
      </c>
      <c r="F61" s="1617"/>
      <c r="G61" s="1617"/>
      <c r="H61" s="1617"/>
      <c r="I61" s="1617"/>
      <c r="J61" s="1617"/>
    </row>
    <row r="62" spans="2:10" s="1623" customFormat="1" ht="30" x14ac:dyDescent="0.2">
      <c r="B62" s="1631" t="str">
        <f>IF(Presentation!$D$2="Anglais",'TRAD-Data &amp; hypothesis Children'!E62,IF(Presentation!$D$2="Français",'TRAD-Data &amp; hypothesis Children'!D62,""))</f>
        <v>Les données présentés dans ce fichier sont tirées des recommandations 2010 de l'OMS</v>
      </c>
      <c r="D62" s="1617" t="s">
        <v>1302</v>
      </c>
      <c r="E62" s="1617" t="s">
        <v>1381</v>
      </c>
      <c r="F62" s="1617"/>
      <c r="G62" s="1617"/>
      <c r="H62" s="1617"/>
      <c r="I62" s="1617"/>
      <c r="J62" s="1617"/>
    </row>
    <row r="63" spans="2:10" s="1623" customFormat="1" x14ac:dyDescent="0.2">
      <c r="B63" s="1631" t="str">
        <f>IF(Presentation!$D$2="Anglais",'TRAD-Data &amp; hypothesis Children'!E63,IF(Presentation!$D$2="Français",'TRAD-Data &amp; hypothesis Children'!D63,""))</f>
        <v>Formes liquides</v>
      </c>
      <c r="D63" s="1617" t="s">
        <v>1303</v>
      </c>
      <c r="E63" s="1617" t="s">
        <v>720</v>
      </c>
      <c r="F63" s="1617"/>
      <c r="G63" s="1617"/>
      <c r="H63" s="1617"/>
      <c r="I63" s="1617"/>
      <c r="J63" s="1617"/>
    </row>
    <row r="64" spans="2:10" s="1623" customFormat="1" x14ac:dyDescent="0.2">
      <c r="B64" s="1631" t="str">
        <f>IF(Presentation!$D$2="Anglais",'TRAD-Data &amp; hypothesis Children'!E64,IF(Presentation!$D$2="Français",'TRAD-Data &amp; hypothesis Children'!D64,""))</f>
        <v>Enfants de 6 à 7 kg (tranche de poids considéré : 3 - 9,9 kg)</v>
      </c>
      <c r="D64" s="1617" t="s">
        <v>1304</v>
      </c>
      <c r="E64" s="1617" t="s">
        <v>1510</v>
      </c>
      <c r="F64" s="1617"/>
      <c r="G64" s="1617"/>
      <c r="H64" s="1617"/>
      <c r="I64" s="1617"/>
      <c r="J64" s="1617"/>
    </row>
    <row r="65" spans="2:10" s="1623" customFormat="1" x14ac:dyDescent="0.2">
      <c r="B65" s="1631" t="str">
        <f>IF(Presentation!$D$2="Anglais",'TRAD-Data &amp; hypothesis Children'!E65,IF(Presentation!$D$2="Français",'TRAD-Data &amp; hypothesis Children'!D65,""))</f>
        <v>volume (mL) / jour</v>
      </c>
      <c r="D65" s="1617" t="s">
        <v>120</v>
      </c>
      <c r="E65" s="1617" t="s">
        <v>1305</v>
      </c>
      <c r="F65" s="1617"/>
      <c r="G65" s="1617"/>
      <c r="H65" s="1617"/>
      <c r="I65" s="1617"/>
      <c r="J65" s="1617"/>
    </row>
    <row r="66" spans="2:10" s="1623" customFormat="1" x14ac:dyDescent="0.2">
      <c r="B66" s="1631" t="str">
        <f>IF(Presentation!$D$2="Anglais",'TRAD-Data &amp; hypothesis Children'!E66,IF(Presentation!$D$2="Français",'TRAD-Data &amp; hypothesis Children'!D66,""))</f>
        <v>volume (mL) / mois</v>
      </c>
      <c r="D66" s="1617" t="s">
        <v>121</v>
      </c>
      <c r="E66" s="1617" t="s">
        <v>1306</v>
      </c>
      <c r="F66" s="1617"/>
      <c r="G66" s="1617"/>
      <c r="H66" s="1617"/>
      <c r="I66" s="1617"/>
      <c r="J66" s="1617"/>
    </row>
    <row r="67" spans="2:10" s="1623" customFormat="1" x14ac:dyDescent="0.2">
      <c r="B67" s="1631" t="str">
        <f>IF(Presentation!$D$2="Anglais",'TRAD-Data &amp; hypothesis Children'!E67,IF(Presentation!$D$2="Français",'TRAD-Data &amp; hypothesis Children'!D67,""))</f>
        <v>volume flacon (mL) [1]</v>
      </c>
      <c r="D67" s="1617" t="s">
        <v>675</v>
      </c>
      <c r="E67" s="1617" t="s">
        <v>1307</v>
      </c>
      <c r="F67" s="1617"/>
      <c r="G67" s="1617"/>
      <c r="H67" s="1617"/>
      <c r="I67" s="1617"/>
      <c r="J67" s="1617"/>
    </row>
    <row r="68" spans="2:10" s="1623" customFormat="1" x14ac:dyDescent="0.2">
      <c r="B68" s="1631" t="str">
        <f>IF(Presentation!$D$2="Anglais",'TRAD-Data &amp; hypothesis Children'!E68,IF(Presentation!$D$2="Français",'TRAD-Data &amp; hypothesis Children'!D68,""))</f>
        <v>nb de flacons / mois</v>
      </c>
      <c r="D68" s="1617" t="s">
        <v>215</v>
      </c>
      <c r="E68" s="1617" t="s">
        <v>1127</v>
      </c>
      <c r="F68" s="1617"/>
      <c r="G68" s="1617"/>
      <c r="H68" s="1617"/>
      <c r="I68" s="1617"/>
      <c r="J68" s="1617"/>
    </row>
    <row r="69" spans="2:10" s="1623" customFormat="1" x14ac:dyDescent="0.2">
      <c r="B69" s="1631" t="str">
        <f>IF(Presentation!$D$2="Anglais",'TRAD-Data &amp; hypothesis Children'!E69,IF(Presentation!$D$2="Français",'TRAD-Data &amp; hypothesis Children'!D69,""))</f>
        <v>nb de flacons / mois arrondi</v>
      </c>
      <c r="D69" s="1617" t="s">
        <v>216</v>
      </c>
      <c r="E69" s="1617" t="s">
        <v>1128</v>
      </c>
      <c r="F69" s="1617"/>
      <c r="G69" s="1617"/>
      <c r="H69" s="1617"/>
      <c r="I69" s="1617"/>
      <c r="J69" s="1617"/>
    </row>
    <row r="70" spans="2:10" s="1623" customFormat="1" x14ac:dyDescent="0.2">
      <c r="B70" s="1631" t="str">
        <f>IF(Presentation!$D$2="Anglais",'TRAD-Data &amp; hypothesis Children'!E70,IF(Presentation!$D$2="Français",'TRAD-Data &amp; hypothesis Children'!D70,""))</f>
        <v>Note</v>
      </c>
      <c r="D70" s="1617" t="s">
        <v>676</v>
      </c>
      <c r="E70" s="1617" t="s">
        <v>676</v>
      </c>
      <c r="F70" s="1617"/>
      <c r="G70" s="1617"/>
      <c r="H70" s="1617"/>
      <c r="I70" s="1617"/>
      <c r="J70" s="1617"/>
    </row>
    <row r="71" spans="2:10" s="1623" customFormat="1" x14ac:dyDescent="0.2">
      <c r="B71" s="1631" t="str">
        <f>IF(Presentation!$D$2="Anglais",'TRAD-Data &amp; hypothesis Children'!E71,IF(Presentation!$D$2="Français",'TRAD-Data &amp; hypothesis Children'!D71,""))</f>
        <v>Le volume est notifié dans la feuille "Stocks disponible"</v>
      </c>
      <c r="D71" s="1617" t="s">
        <v>1308</v>
      </c>
      <c r="E71" s="1617" t="s">
        <v>678</v>
      </c>
      <c r="F71" s="1617"/>
      <c r="G71" s="1617"/>
      <c r="H71" s="1617"/>
      <c r="I71" s="1617"/>
      <c r="J71" s="1617"/>
    </row>
    <row r="72" spans="2:10" s="1623" customFormat="1" ht="30" x14ac:dyDescent="0.2">
      <c r="B72" s="1631" t="str">
        <f>IF(Presentation!$D$2="Anglais",'TRAD-Data &amp; hypothesis Children'!E72,IF(Presentation!$D$2="Français",'TRAD-Data &amp; hypothesis Children'!D72,""))</f>
        <v>Enfants de 12 à 14,9 kg (tranche de poids considéré : 10 - 14,9 kg)</v>
      </c>
      <c r="D72" s="1617" t="s">
        <v>1309</v>
      </c>
      <c r="E72" s="1617" t="s">
        <v>1511</v>
      </c>
      <c r="F72" s="1617"/>
      <c r="G72" s="1617"/>
      <c r="H72" s="1617"/>
      <c r="I72" s="1617"/>
      <c r="J72" s="1617"/>
    </row>
    <row r="73" spans="2:10" s="1623" customFormat="1" ht="30" x14ac:dyDescent="0.2">
      <c r="B73" s="1631" t="str">
        <f>IF(Presentation!$D$2="Anglais",'TRAD-Data &amp; hypothesis Children'!E73,IF(Presentation!$D$2="Français",'TRAD-Data &amp; hypothesis Children'!D73,""))</f>
        <v>Enfants de 15 à 20 kg (tranche de poids considéré : 17 - 19,9 kg)</v>
      </c>
      <c r="D73" s="1617" t="s">
        <v>1310</v>
      </c>
      <c r="E73" s="1617" t="s">
        <v>1512</v>
      </c>
      <c r="F73" s="1617"/>
      <c r="G73" s="1617"/>
      <c r="H73" s="1617"/>
      <c r="I73" s="1617"/>
      <c r="J73" s="1617"/>
    </row>
    <row r="74" spans="2:10" s="1623" customFormat="1" x14ac:dyDescent="0.2">
      <c r="B74" s="1631" t="str">
        <f>IF(Presentation!$D$2="Anglais",'TRAD-Data &amp; hypothesis Children'!E74,IF(Presentation!$D$2="Français",'TRAD-Data &amp; hypothesis Children'!D74,""))</f>
        <v>Formes solides</v>
      </c>
      <c r="D74" s="1617" t="s">
        <v>1311</v>
      </c>
      <c r="E74" s="1617" t="s">
        <v>679</v>
      </c>
      <c r="F74" s="1617"/>
      <c r="G74" s="1617"/>
      <c r="H74" s="1617"/>
      <c r="I74" s="1617"/>
      <c r="J74" s="1617"/>
    </row>
    <row r="75" spans="2:10" s="1623" customFormat="1" x14ac:dyDescent="0.2">
      <c r="B75" s="1631" t="str">
        <f>IF(Presentation!$D$2="Anglais",'TRAD-Data &amp; hypothesis Children'!E75,IF(Presentation!$D$2="Français",'TRAD-Data &amp; hypothesis Children'!D75,""))</f>
        <v>Formes</v>
      </c>
      <c r="D75" s="1617" t="s">
        <v>1312</v>
      </c>
      <c r="E75" s="1617" t="s">
        <v>750</v>
      </c>
      <c r="F75" s="1617"/>
      <c r="G75" s="1617"/>
      <c r="H75" s="1617"/>
      <c r="I75" s="1617"/>
      <c r="J75" s="1617"/>
    </row>
    <row r="76" spans="2:10" s="1623" customFormat="1" x14ac:dyDescent="0.2">
      <c r="B76" s="1631" t="str">
        <f>IF(Presentation!$D$2="Anglais",'TRAD-Data &amp; hypothesis Children'!E76,IF(Presentation!$D$2="Français",'TRAD-Data &amp; hypothesis Children'!D76,""))</f>
        <v>Nb de boites / mois / patient</v>
      </c>
      <c r="D76" s="1617" t="s">
        <v>127</v>
      </c>
      <c r="E76" s="1617" t="s">
        <v>1313</v>
      </c>
      <c r="F76" s="1617"/>
      <c r="G76" s="1617"/>
      <c r="H76" s="1617"/>
      <c r="I76" s="1617"/>
      <c r="J76" s="1617"/>
    </row>
    <row r="77" spans="2:10" s="1623" customFormat="1" x14ac:dyDescent="0.2">
      <c r="B77" s="1631" t="str">
        <f>IF(Presentation!$D$2="Anglais",'TRAD-Data &amp; hypothesis Children'!E77,IF(Presentation!$D$2="Français",'TRAD-Data &amp; hypothesis Children'!D77,""))</f>
        <v>AZT+3TC+NVP adulte</v>
      </c>
      <c r="D77" s="1617" t="s">
        <v>394</v>
      </c>
      <c r="E77" s="1617" t="s">
        <v>1146</v>
      </c>
      <c r="F77" s="1617"/>
      <c r="G77" s="1617"/>
      <c r="H77" s="1617"/>
      <c r="I77" s="1617"/>
      <c r="J77" s="1617"/>
    </row>
    <row r="78" spans="2:10" s="1623" customFormat="1" x14ac:dyDescent="0.2">
      <c r="B78" s="1631" t="str">
        <f>IF(Presentation!$D$2="Anglais",'TRAD-Data &amp; hypothesis Children'!E78,IF(Presentation!$D$2="Français",'TRAD-Data &amp; hypothesis Children'!D78,""))</f>
        <v>AZT+3TC+NVP bébé</v>
      </c>
      <c r="D78" s="1617" t="s">
        <v>1136</v>
      </c>
      <c r="E78" s="1617" t="s">
        <v>386</v>
      </c>
      <c r="F78" s="1617"/>
      <c r="G78" s="1617"/>
      <c r="H78" s="1617"/>
      <c r="I78" s="1617"/>
      <c r="J78" s="1617"/>
    </row>
    <row r="79" spans="2:10" s="1623" customFormat="1" x14ac:dyDescent="0.2">
      <c r="B79" s="1631" t="str">
        <f>IF(Presentation!$D$2="Anglais",'TRAD-Data &amp; hypothesis Children'!E79,IF(Presentation!$D$2="Français",'TRAD-Data &amp; hypothesis Children'!D79,""))</f>
        <v>AZT+3TC adulte</v>
      </c>
      <c r="D79" s="1617" t="s">
        <v>395</v>
      </c>
      <c r="E79" s="1617" t="s">
        <v>1147</v>
      </c>
      <c r="F79" s="1617"/>
      <c r="G79" s="1617"/>
      <c r="H79" s="1617"/>
      <c r="I79" s="1617"/>
      <c r="J79" s="1617"/>
    </row>
    <row r="80" spans="2:10" s="1623" customFormat="1" x14ac:dyDescent="0.2">
      <c r="B80" s="1631" t="str">
        <f>IF(Presentation!$D$2="Anglais",'TRAD-Data &amp; hypothesis Children'!E80,IF(Presentation!$D$2="Français",'TRAD-Data &amp; hypothesis Children'!D80,""))</f>
        <v>AZT+3TC bébé</v>
      </c>
      <c r="D80" s="1617" t="s">
        <v>1137</v>
      </c>
      <c r="E80" s="1617" t="s">
        <v>387</v>
      </c>
      <c r="F80" s="1617"/>
      <c r="G80" s="1617"/>
      <c r="H80" s="1617"/>
      <c r="I80" s="1617"/>
      <c r="J80" s="1617"/>
    </row>
    <row r="81" spans="2:10" s="1623" customFormat="1" x14ac:dyDescent="0.2">
      <c r="B81" s="1631" t="str">
        <f>IF(Presentation!$D$2="Anglais",'TRAD-Data &amp; hypothesis Children'!E81,IF(Presentation!$D$2="Français",'TRAD-Data &amp; hypothesis Children'!D81,""))</f>
        <v>D4T+3TC+NVP adulte</v>
      </c>
      <c r="D81" s="1617" t="s">
        <v>393</v>
      </c>
      <c r="E81" s="1617" t="s">
        <v>1148</v>
      </c>
      <c r="F81" s="1617"/>
      <c r="G81" s="1617"/>
      <c r="H81" s="1617"/>
      <c r="I81" s="1617"/>
      <c r="J81" s="1617"/>
    </row>
    <row r="82" spans="2:10" s="1623" customFormat="1" x14ac:dyDescent="0.2">
      <c r="B82" s="1631" t="str">
        <f>IF(Presentation!$D$2="Anglais",'TRAD-Data &amp; hypothesis Children'!E82,IF(Presentation!$D$2="Français",'TRAD-Data &amp; hypothesis Children'!D82,""))</f>
        <v>D4T+3TC+NVP bébé</v>
      </c>
      <c r="D82" s="1617" t="s">
        <v>1138</v>
      </c>
      <c r="E82" s="1617" t="s">
        <v>392</v>
      </c>
      <c r="F82" s="1617"/>
      <c r="G82" s="1617"/>
      <c r="H82" s="1617"/>
      <c r="I82" s="1617"/>
      <c r="J82" s="1617"/>
    </row>
    <row r="83" spans="2:10" s="1623" customFormat="1" x14ac:dyDescent="0.2">
      <c r="B83" s="1631" t="str">
        <f>IF(Presentation!$D$2="Anglais",'TRAD-Data &amp; hypothesis Children'!E83,IF(Presentation!$D$2="Français",'TRAD-Data &amp; hypothesis Children'!D83,""))</f>
        <v>D4T+3TC bébé</v>
      </c>
      <c r="D83" s="1617" t="s">
        <v>1139</v>
      </c>
      <c r="E83" s="1617" t="s">
        <v>735</v>
      </c>
      <c r="F83" s="1617"/>
      <c r="G83" s="1617"/>
      <c r="H83" s="1617"/>
      <c r="I83" s="1617"/>
      <c r="J83" s="1617"/>
    </row>
    <row r="84" spans="2:10" s="1623" customFormat="1" x14ac:dyDescent="0.2">
      <c r="B84" s="1631" t="str">
        <f>IF(Presentation!$D$2="Anglais",'TRAD-Data &amp; hypothesis Children'!E84,IF(Presentation!$D$2="Français",'TRAD-Data &amp; hypothesis Children'!D84,""))</f>
        <v>AZT+3TC+ABC adulte</v>
      </c>
      <c r="D84" s="1617" t="s">
        <v>650</v>
      </c>
      <c r="E84" s="1617" t="s">
        <v>1149</v>
      </c>
      <c r="F84" s="1617"/>
      <c r="G84" s="1617"/>
      <c r="H84" s="1617"/>
      <c r="I84" s="1617"/>
      <c r="J84" s="1617"/>
    </row>
    <row r="85" spans="2:10" s="1623" customFormat="1" x14ac:dyDescent="0.2">
      <c r="B85" s="1631" t="str">
        <f>IF(Presentation!$D$2="Anglais",'TRAD-Data &amp; hypothesis Children'!E85,IF(Presentation!$D$2="Français",'TRAD-Data &amp; hypothesis Children'!D85,""))</f>
        <v>AZT+3TC+ABC bébé</v>
      </c>
      <c r="D85" s="1617" t="s">
        <v>1140</v>
      </c>
      <c r="E85" s="1617" t="s">
        <v>635</v>
      </c>
      <c r="F85" s="1617"/>
      <c r="G85" s="1617"/>
      <c r="H85" s="1617"/>
      <c r="I85" s="1617"/>
      <c r="J85" s="1617"/>
    </row>
    <row r="86" spans="2:10" s="1623" customFormat="1" x14ac:dyDescent="0.2">
      <c r="B86" s="1631" t="str">
        <f>IF(Presentation!$D$2="Anglais",'TRAD-Data &amp; hypothesis Children'!E86,IF(Presentation!$D$2="Français",'TRAD-Data &amp; hypothesis Children'!D86,""))</f>
        <v>ABC+3TC adulte</v>
      </c>
      <c r="D86" s="1617" t="s">
        <v>743</v>
      </c>
      <c r="E86" s="1617" t="s">
        <v>1150</v>
      </c>
      <c r="F86" s="1617"/>
      <c r="G86" s="1617"/>
      <c r="H86" s="1617"/>
      <c r="I86" s="1617"/>
      <c r="J86" s="1617"/>
    </row>
    <row r="87" spans="2:10" s="1623" customFormat="1" x14ac:dyDescent="0.2">
      <c r="B87" s="1631" t="str">
        <f>IF(Presentation!$D$2="Anglais",'TRAD-Data &amp; hypothesis Children'!E87,IF(Presentation!$D$2="Français",'TRAD-Data &amp; hypothesis Children'!D87,""))</f>
        <v>ABC+3TC bébé</v>
      </c>
      <c r="D87" s="1617" t="s">
        <v>1141</v>
      </c>
      <c r="E87" s="1617" t="s">
        <v>575</v>
      </c>
      <c r="F87" s="1617"/>
      <c r="G87" s="1617"/>
      <c r="H87" s="1617"/>
      <c r="I87" s="1617"/>
      <c r="J87" s="1617"/>
    </row>
    <row r="88" spans="2:10" s="1623" customFormat="1" x14ac:dyDescent="0.2">
      <c r="B88" s="1631" t="str">
        <f>IF(Presentation!$D$2="Anglais",'TRAD-Data &amp; hypothesis Children'!E88,IF(Presentation!$D$2="Français",'TRAD-Data &amp; hypothesis Children'!D88,""))</f>
        <v>3TC bébé</v>
      </c>
      <c r="D88" s="1617" t="s">
        <v>1142</v>
      </c>
      <c r="E88" s="1617" t="s">
        <v>749</v>
      </c>
      <c r="F88" s="1617"/>
      <c r="G88" s="1617"/>
      <c r="H88" s="1617"/>
      <c r="I88" s="1617"/>
      <c r="J88" s="1617"/>
    </row>
    <row r="89" spans="2:10" s="1623" customFormat="1" x14ac:dyDescent="0.2">
      <c r="B89" s="1631" t="str">
        <f>IF(Presentation!$D$2="Anglais",'TRAD-Data &amp; hypothesis Children'!E89,IF(Presentation!$D$2="Français",'TRAD-Data &amp; hypothesis Children'!D89,""))</f>
        <v>ABC adulte</v>
      </c>
      <c r="D89" s="1617" t="s">
        <v>651</v>
      </c>
      <c r="E89" s="1617" t="s">
        <v>1151</v>
      </c>
      <c r="F89" s="1617"/>
      <c r="G89" s="1617"/>
      <c r="H89" s="1617"/>
      <c r="I89" s="1617"/>
      <c r="J89" s="1617"/>
    </row>
    <row r="90" spans="2:10" s="1623" customFormat="1" x14ac:dyDescent="0.2">
      <c r="B90" s="1631" t="str">
        <f>IF(Presentation!$D$2="Anglais",'TRAD-Data &amp; hypothesis Children'!E90,IF(Presentation!$D$2="Français",'TRAD-Data &amp; hypothesis Children'!D90,""))</f>
        <v>ABC bébé</v>
      </c>
      <c r="D90" s="1617" t="s">
        <v>1143</v>
      </c>
      <c r="E90" s="1617" t="s">
        <v>648</v>
      </c>
      <c r="F90" s="1617"/>
      <c r="G90" s="1617"/>
      <c r="H90" s="1617"/>
      <c r="I90" s="1617"/>
      <c r="J90" s="1617"/>
    </row>
    <row r="91" spans="2:10" s="1623" customFormat="1" x14ac:dyDescent="0.2">
      <c r="B91" s="1631" t="str">
        <f>IF(Presentation!$D$2="Anglais",'TRAD-Data &amp; hypothesis Children'!E91,IF(Presentation!$D$2="Français",'TRAD-Data &amp; hypothesis Children'!D91,""))</f>
        <v>NVP cp</v>
      </c>
      <c r="D91" s="1617" t="s">
        <v>674</v>
      </c>
      <c r="E91" s="1617" t="s">
        <v>1314</v>
      </c>
      <c r="F91" s="1617"/>
      <c r="G91" s="1617"/>
      <c r="H91" s="1617"/>
      <c r="I91" s="1617"/>
      <c r="J91" s="1617"/>
    </row>
    <row r="92" spans="2:10" s="1623" customFormat="1" x14ac:dyDescent="0.2">
      <c r="B92" s="1631" t="str">
        <f>IF(Presentation!$D$2="Anglais",'TRAD-Data &amp; hypothesis Children'!E92,IF(Presentation!$D$2="Français",'TRAD-Data &amp; hypothesis Children'!D92,""))</f>
        <v>NVP bébé</v>
      </c>
      <c r="D92" s="1617" t="s">
        <v>1144</v>
      </c>
      <c r="E92" s="1617" t="s">
        <v>747</v>
      </c>
      <c r="F92" s="1617"/>
      <c r="G92" s="1617"/>
      <c r="H92" s="1617"/>
      <c r="I92" s="1617"/>
      <c r="J92" s="1617"/>
    </row>
    <row r="93" spans="2:10" s="1623" customFormat="1" x14ac:dyDescent="0.2">
      <c r="B93" s="1631" t="str">
        <f>IF(Presentation!$D$2="Anglais",'TRAD-Data &amp; hypothesis Children'!E93,IF(Presentation!$D$2="Français",'TRAD-Data &amp; hypothesis Children'!D93,""))</f>
        <v xml:space="preserve">LPV/r adulte </v>
      </c>
      <c r="D93" s="1617" t="s">
        <v>748</v>
      </c>
      <c r="E93" s="1617" t="s">
        <v>1315</v>
      </c>
      <c r="F93" s="1617"/>
      <c r="G93" s="1617"/>
      <c r="H93" s="1617"/>
      <c r="I93" s="1617"/>
      <c r="J93" s="1617"/>
    </row>
    <row r="94" spans="2:10" s="1623" customFormat="1" x14ac:dyDescent="0.2">
      <c r="B94" s="1631" t="str">
        <f>IF(Presentation!$D$2="Anglais",'TRAD-Data &amp; hypothesis Children'!E94,IF(Presentation!$D$2="Français",'TRAD-Data &amp; hypothesis Children'!D94,""))</f>
        <v>LPV/r bébé</v>
      </c>
      <c r="D94" s="1617" t="s">
        <v>1145</v>
      </c>
      <c r="E94" s="1617" t="s">
        <v>638</v>
      </c>
      <c r="F94" s="1617"/>
      <c r="G94" s="1617"/>
      <c r="H94" s="1617"/>
      <c r="I94" s="1617"/>
      <c r="J94" s="1617"/>
    </row>
    <row r="95" spans="2:10" s="1623" customFormat="1" x14ac:dyDescent="0.2">
      <c r="B95" s="1631" t="str">
        <f>IF(Presentation!$D$2="Anglais",'TRAD-Data &amp; hypothesis Children'!E95,IF(Presentation!$D$2="Français",'TRAD-Data &amp; hypothesis Children'!D95,""))</f>
        <v>Nb de boites / mois pour l'ensemble des patients</v>
      </c>
      <c r="D95" s="1623" t="s">
        <v>128</v>
      </c>
      <c r="E95" s="1617" t="s">
        <v>1316</v>
      </c>
    </row>
    <row r="96" spans="2:10" s="1623" customFormat="1" x14ac:dyDescent="0.2">
      <c r="B96" s="1631" t="str">
        <f>IF(Presentation!$D$2="Anglais",'TRAD-Data &amp; hypothesis Children'!E96,IF(Presentation!$D$2="Français",'TRAD-Data &amp; hypothesis Children'!D96,""))</f>
        <v>Dosage</v>
      </c>
      <c r="D96" s="1617" t="s">
        <v>2</v>
      </c>
      <c r="E96" s="1617" t="s">
        <v>1317</v>
      </c>
    </row>
    <row r="97" spans="2:8" s="1623" customFormat="1" x14ac:dyDescent="0.2">
      <c r="B97" s="1631" t="str">
        <f>IF(Presentation!$D$2="Anglais",'TRAD-Data &amp; hypothesis Children'!E97,IF(Presentation!$D$2="Français",'TRAD-Data &amp; hypothesis Children'!D97,""))</f>
        <v>Poids envisagés</v>
      </c>
      <c r="D97" s="1618" t="s">
        <v>126</v>
      </c>
      <c r="E97" s="1617" t="s">
        <v>1132</v>
      </c>
      <c r="F97" s="1618"/>
      <c r="G97" s="1618"/>
      <c r="H97" s="1618"/>
    </row>
    <row r="98" spans="2:8" s="1623" customFormat="1" ht="45" x14ac:dyDescent="0.2">
      <c r="B98" s="1631" t="str">
        <f>IF(Presentation!$D$2="Anglais",'TRAD-Data &amp; hypothesis Children'!E98,IF(Presentation!$D$2="Français",'TRAD-Data &amp; hypothesis Children'!D98,""))</f>
        <v>Pour les enfants comme pour les adultes, les patients passés en 2ème ligne sont défalqués des premières lignes</v>
      </c>
      <c r="D98" s="1623" t="s">
        <v>1717</v>
      </c>
      <c r="E98" s="1623" t="s">
        <v>1719</v>
      </c>
    </row>
    <row r="99" spans="2:8" s="1623" customFormat="1" ht="75" x14ac:dyDescent="0.2">
      <c r="B99" s="1631" t="str">
        <f>IF(Presentation!$D$2="Anglais",'TRAD-Data &amp; hypothesis Children'!E99,IF(Presentation!$D$2="Français",'TRAD-Data &amp; hypothesis Children'!D99,""))</f>
        <v>Par contre, étant donné les besoins limités pour enfants, pour éviter des sous estimations, il n'est pas possible de défalquer les besoins sur les 1ère ligne. Les besoins sont donc pris en compte sur la première ligne ligne et la 2ème ligne et réajusté tous les ans.</v>
      </c>
      <c r="D99" s="1623" t="s">
        <v>1718</v>
      </c>
      <c r="E99" s="1623" t="s">
        <v>1721</v>
      </c>
    </row>
    <row r="100" spans="2:8" s="1623" customFormat="1" x14ac:dyDescent="0.2">
      <c r="B100" s="1631"/>
    </row>
    <row r="101" spans="2:8" s="1623" customFormat="1" x14ac:dyDescent="0.2">
      <c r="B101" s="1631"/>
    </row>
    <row r="102" spans="2:8" s="1623" customFormat="1" x14ac:dyDescent="0.2">
      <c r="B102" s="1631"/>
    </row>
    <row r="103" spans="2:8" s="1623" customFormat="1" x14ac:dyDescent="0.2">
      <c r="B103" s="1631"/>
    </row>
    <row r="104" spans="2:8" s="1623" customFormat="1" x14ac:dyDescent="0.2">
      <c r="B104" s="1631"/>
    </row>
    <row r="105" spans="2:8" s="1623" customFormat="1" x14ac:dyDescent="0.2">
      <c r="B105" s="1631"/>
    </row>
    <row r="106" spans="2:8" s="1623" customFormat="1" x14ac:dyDescent="0.2">
      <c r="B106" s="1631"/>
    </row>
    <row r="107" spans="2:8" s="1623" customFormat="1" x14ac:dyDescent="0.2">
      <c r="B107" s="1631"/>
    </row>
    <row r="108" spans="2:8" s="1623" customFormat="1" x14ac:dyDescent="0.2">
      <c r="B108" s="1631"/>
    </row>
    <row r="109" spans="2:8" s="1623" customFormat="1" x14ac:dyDescent="0.2">
      <c r="B109" s="1631"/>
    </row>
    <row r="110" spans="2:8" s="1623" customFormat="1" x14ac:dyDescent="0.2">
      <c r="B110" s="1631"/>
    </row>
    <row r="111" spans="2:8" s="1623" customFormat="1" x14ac:dyDescent="0.2">
      <c r="B111" s="1631"/>
    </row>
    <row r="112" spans="2:8" s="1623" customFormat="1" x14ac:dyDescent="0.2">
      <c r="B112" s="1631"/>
    </row>
    <row r="113" spans="2:2" s="1623" customFormat="1" x14ac:dyDescent="0.2">
      <c r="B113" s="1631"/>
    </row>
    <row r="114" spans="2:2" s="1623" customFormat="1" x14ac:dyDescent="0.2">
      <c r="B114" s="1631"/>
    </row>
    <row r="115" spans="2:2" s="1623" customFormat="1" x14ac:dyDescent="0.2">
      <c r="B115" s="1631"/>
    </row>
    <row r="116" spans="2:2" s="1623" customFormat="1" x14ac:dyDescent="0.2">
      <c r="B116" s="1631"/>
    </row>
    <row r="117" spans="2:2" s="1623" customFormat="1" x14ac:dyDescent="0.2">
      <c r="B117" s="1631"/>
    </row>
    <row r="118" spans="2:2" s="1623" customFormat="1" x14ac:dyDescent="0.2">
      <c r="B118" s="1631"/>
    </row>
    <row r="119" spans="2:2" s="1623" customFormat="1" x14ac:dyDescent="0.2">
      <c r="B119" s="1631"/>
    </row>
    <row r="120" spans="2:2" s="1623" customFormat="1" x14ac:dyDescent="0.2">
      <c r="B120" s="1631"/>
    </row>
    <row r="121" spans="2:2" s="1623" customFormat="1" x14ac:dyDescent="0.2">
      <c r="B121" s="1631"/>
    </row>
    <row r="122" spans="2:2" s="1623" customFormat="1" x14ac:dyDescent="0.2">
      <c r="B122" s="1631"/>
    </row>
    <row r="123" spans="2:2" s="1623" customFormat="1" x14ac:dyDescent="0.2">
      <c r="B123" s="1631"/>
    </row>
    <row r="124" spans="2:2" s="1623" customFormat="1" x14ac:dyDescent="0.2">
      <c r="B124" s="1631"/>
    </row>
    <row r="125" spans="2:2" s="1623" customFormat="1" x14ac:dyDescent="0.2">
      <c r="B125" s="1631"/>
    </row>
    <row r="126" spans="2:2" s="1623" customFormat="1" x14ac:dyDescent="0.2">
      <c r="B126" s="1631"/>
    </row>
    <row r="127" spans="2:2" s="1623" customFormat="1" x14ac:dyDescent="0.2">
      <c r="B127" s="1631"/>
    </row>
    <row r="128" spans="2:2" s="1623" customFormat="1" x14ac:dyDescent="0.2">
      <c r="B128" s="1631"/>
    </row>
    <row r="129" spans="2:2" s="1623" customFormat="1" x14ac:dyDescent="0.2">
      <c r="B129" s="1631"/>
    </row>
    <row r="130" spans="2:2" s="1623" customFormat="1" x14ac:dyDescent="0.2">
      <c r="B130" s="1631"/>
    </row>
    <row r="131" spans="2:2" s="1623" customFormat="1" x14ac:dyDescent="0.2">
      <c r="B131" s="1631"/>
    </row>
    <row r="132" spans="2:2" s="1623" customFormat="1" x14ac:dyDescent="0.2">
      <c r="B132" s="1631"/>
    </row>
    <row r="133" spans="2:2" s="1623" customFormat="1" x14ac:dyDescent="0.2">
      <c r="B133" s="1631"/>
    </row>
    <row r="134" spans="2:2" s="1623" customFormat="1" x14ac:dyDescent="0.2">
      <c r="B134" s="1631"/>
    </row>
    <row r="135" spans="2:2" s="1623" customFormat="1" x14ac:dyDescent="0.2">
      <c r="B135" s="1631"/>
    </row>
    <row r="136" spans="2:2" s="1623" customFormat="1" x14ac:dyDescent="0.2">
      <c r="B136" s="1631"/>
    </row>
    <row r="137" spans="2:2" s="1623" customFormat="1" x14ac:dyDescent="0.2">
      <c r="B137" s="1631"/>
    </row>
    <row r="138" spans="2:2" s="1623" customFormat="1" x14ac:dyDescent="0.2">
      <c r="B138" s="1631"/>
    </row>
    <row r="139" spans="2:2" s="1623" customFormat="1" x14ac:dyDescent="0.2">
      <c r="B139" s="1631"/>
    </row>
    <row r="140" spans="2:2" s="1623" customFormat="1" x14ac:dyDescent="0.2">
      <c r="B140" s="1631"/>
    </row>
    <row r="141" spans="2:2" s="1623" customFormat="1" x14ac:dyDescent="0.2">
      <c r="B141" s="1631"/>
    </row>
    <row r="142" spans="2:2" s="1623" customFormat="1" x14ac:dyDescent="0.2">
      <c r="B142" s="1631"/>
    </row>
    <row r="143" spans="2:2" s="1623" customFormat="1" x14ac:dyDescent="0.2">
      <c r="B143" s="1631"/>
    </row>
    <row r="144" spans="2:2" s="1623" customFormat="1" x14ac:dyDescent="0.2">
      <c r="B144" s="1631"/>
    </row>
    <row r="145" spans="2:2" s="1623" customFormat="1" x14ac:dyDescent="0.2">
      <c r="B145" s="1631"/>
    </row>
    <row r="146" spans="2:2" s="1623" customFormat="1" x14ac:dyDescent="0.2">
      <c r="B146" s="1631"/>
    </row>
    <row r="147" spans="2:2" s="1623" customFormat="1" x14ac:dyDescent="0.2">
      <c r="B147" s="1631"/>
    </row>
    <row r="148" spans="2:2" s="1623" customFormat="1" x14ac:dyDescent="0.2">
      <c r="B148" s="1631"/>
    </row>
    <row r="149" spans="2:2" s="1623" customFormat="1" x14ac:dyDescent="0.2">
      <c r="B149" s="1631"/>
    </row>
    <row r="150" spans="2:2" s="1623" customFormat="1" x14ac:dyDescent="0.2">
      <c r="B150" s="1631"/>
    </row>
    <row r="151" spans="2:2" s="1623" customFormat="1" x14ac:dyDescent="0.2">
      <c r="B151" s="1631"/>
    </row>
    <row r="152" spans="2:2" s="1623" customFormat="1" x14ac:dyDescent="0.2">
      <c r="B152" s="1631"/>
    </row>
    <row r="153" spans="2:2" s="1623" customFormat="1" x14ac:dyDescent="0.2">
      <c r="B153" s="1631"/>
    </row>
    <row r="154" spans="2:2" s="1623" customFormat="1" x14ac:dyDescent="0.2">
      <c r="B154" s="1631"/>
    </row>
    <row r="155" spans="2:2" s="1623" customFormat="1" x14ac:dyDescent="0.2">
      <c r="B155" s="1631"/>
    </row>
    <row r="156" spans="2:2" s="1623" customFormat="1" x14ac:dyDescent="0.2">
      <c r="B156" s="1631"/>
    </row>
    <row r="157" spans="2:2" s="1623" customFormat="1" x14ac:dyDescent="0.2">
      <c r="B157" s="1631"/>
    </row>
    <row r="158" spans="2:2" s="1623" customFormat="1" x14ac:dyDescent="0.2">
      <c r="B158" s="1631"/>
    </row>
    <row r="159" spans="2:2" s="1623" customFormat="1" x14ac:dyDescent="0.2">
      <c r="B159" s="1631"/>
    </row>
    <row r="160" spans="2:2" s="1623" customFormat="1" x14ac:dyDescent="0.2">
      <c r="B160" s="1631"/>
    </row>
    <row r="161" spans="2:2" s="1623" customFormat="1" x14ac:dyDescent="0.2">
      <c r="B161" s="1631"/>
    </row>
    <row r="162" spans="2:2" s="1623" customFormat="1" x14ac:dyDescent="0.2">
      <c r="B162" s="1631"/>
    </row>
    <row r="163" spans="2:2" s="1623" customFormat="1" x14ac:dyDescent="0.2">
      <c r="B163" s="1631"/>
    </row>
    <row r="164" spans="2:2" s="1623" customFormat="1" x14ac:dyDescent="0.2">
      <c r="B164" s="1631"/>
    </row>
    <row r="165" spans="2:2" s="1623" customFormat="1" x14ac:dyDescent="0.2">
      <c r="B165" s="1631"/>
    </row>
    <row r="166" spans="2:2" s="1623" customFormat="1" x14ac:dyDescent="0.2">
      <c r="B166" s="1631"/>
    </row>
    <row r="167" spans="2:2" s="1623" customFormat="1" x14ac:dyDescent="0.2">
      <c r="B167" s="1631"/>
    </row>
    <row r="168" spans="2:2" s="1623" customFormat="1" x14ac:dyDescent="0.2">
      <c r="B168" s="1631"/>
    </row>
    <row r="169" spans="2:2" s="1623" customFormat="1" x14ac:dyDescent="0.2">
      <c r="B169" s="1631"/>
    </row>
    <row r="170" spans="2:2" s="1623" customFormat="1" x14ac:dyDescent="0.2">
      <c r="B170" s="1631"/>
    </row>
    <row r="171" spans="2:2" s="1623" customFormat="1" x14ac:dyDescent="0.2">
      <c r="B171" s="1631"/>
    </row>
    <row r="172" spans="2:2" s="1623" customFormat="1" x14ac:dyDescent="0.2">
      <c r="B172" s="1631"/>
    </row>
    <row r="173" spans="2:2" s="1623" customFormat="1" x14ac:dyDescent="0.2">
      <c r="B173" s="1631"/>
    </row>
    <row r="174" spans="2:2" s="1623" customFormat="1" x14ac:dyDescent="0.2">
      <c r="B174" s="1631"/>
    </row>
    <row r="175" spans="2:2" s="1623" customFormat="1" x14ac:dyDescent="0.2">
      <c r="B175" s="1631"/>
    </row>
    <row r="176" spans="2:2" s="1623" customFormat="1" x14ac:dyDescent="0.2">
      <c r="B176" s="1631"/>
    </row>
    <row r="177" spans="2:2" s="1623" customFormat="1" x14ac:dyDescent="0.2">
      <c r="B177" s="1631"/>
    </row>
    <row r="178" spans="2:2" s="1623" customFormat="1" x14ac:dyDescent="0.2">
      <c r="B178" s="1631"/>
    </row>
    <row r="179" spans="2:2" s="1623" customFormat="1" x14ac:dyDescent="0.2">
      <c r="B179" s="1631"/>
    </row>
    <row r="180" spans="2:2" s="1623" customFormat="1" x14ac:dyDescent="0.2">
      <c r="B180" s="1631"/>
    </row>
    <row r="181" spans="2:2" s="1623" customFormat="1" x14ac:dyDescent="0.2">
      <c r="B181" s="1631"/>
    </row>
    <row r="182" spans="2:2" s="1623" customFormat="1" x14ac:dyDescent="0.2">
      <c r="B182" s="1631"/>
    </row>
    <row r="183" spans="2:2" s="1623" customFormat="1" x14ac:dyDescent="0.2">
      <c r="B183" s="1631"/>
    </row>
    <row r="184" spans="2:2" s="1623" customFormat="1" x14ac:dyDescent="0.2">
      <c r="B184" s="1631"/>
    </row>
    <row r="185" spans="2:2" s="1623" customFormat="1" x14ac:dyDescent="0.2">
      <c r="B185" s="1631"/>
    </row>
    <row r="186" spans="2:2" s="1623" customFormat="1" x14ac:dyDescent="0.2">
      <c r="B186" s="1631"/>
    </row>
    <row r="187" spans="2:2" s="1623" customFormat="1" x14ac:dyDescent="0.2">
      <c r="B187" s="1631"/>
    </row>
    <row r="188" spans="2:2" s="1623" customFormat="1" x14ac:dyDescent="0.2">
      <c r="B188" s="1631"/>
    </row>
    <row r="189" spans="2:2" s="1623" customFormat="1" x14ac:dyDescent="0.2">
      <c r="B189" s="1631"/>
    </row>
    <row r="190" spans="2:2" s="1623" customFormat="1" x14ac:dyDescent="0.2">
      <c r="B190" s="1631"/>
    </row>
    <row r="191" spans="2:2" s="1623" customFormat="1" x14ac:dyDescent="0.2">
      <c r="B191" s="1631"/>
    </row>
    <row r="192" spans="2:2" s="1623" customFormat="1" x14ac:dyDescent="0.2">
      <c r="B192" s="1631"/>
    </row>
    <row r="193" spans="2:2" s="1623" customFormat="1" x14ac:dyDescent="0.2">
      <c r="B193" s="1631"/>
    </row>
    <row r="194" spans="2:2" s="1623" customFormat="1" x14ac:dyDescent="0.2">
      <c r="B194" s="1631"/>
    </row>
    <row r="195" spans="2:2" s="1623" customFormat="1" x14ac:dyDescent="0.2">
      <c r="B195" s="1631"/>
    </row>
    <row r="196" spans="2:2" s="1623" customFormat="1" x14ac:dyDescent="0.2">
      <c r="B196" s="1631"/>
    </row>
    <row r="197" spans="2:2" s="1623" customFormat="1" x14ac:dyDescent="0.2">
      <c r="B197" s="1631"/>
    </row>
    <row r="198" spans="2:2" s="1623" customFormat="1" x14ac:dyDescent="0.2">
      <c r="B198" s="1631"/>
    </row>
    <row r="199" spans="2:2" s="1623" customFormat="1" x14ac:dyDescent="0.2">
      <c r="B199" s="1631"/>
    </row>
    <row r="200" spans="2:2" s="1623" customFormat="1" x14ac:dyDescent="0.2">
      <c r="B200" s="1631"/>
    </row>
    <row r="201" spans="2:2" s="1623" customFormat="1" x14ac:dyDescent="0.2">
      <c r="B201" s="1631"/>
    </row>
    <row r="202" spans="2:2" s="1623" customFormat="1" x14ac:dyDescent="0.2">
      <c r="B202" s="1631"/>
    </row>
    <row r="203" spans="2:2" s="1623" customFormat="1" x14ac:dyDescent="0.2">
      <c r="B203" s="1631"/>
    </row>
    <row r="204" spans="2:2" s="1623" customFormat="1" x14ac:dyDescent="0.2">
      <c r="B204" s="1631"/>
    </row>
    <row r="205" spans="2:2" s="1623" customFormat="1" x14ac:dyDescent="0.2">
      <c r="B205" s="1631"/>
    </row>
    <row r="206" spans="2:2" s="1623" customFormat="1" x14ac:dyDescent="0.2">
      <c r="B206" s="1631"/>
    </row>
    <row r="207" spans="2:2" s="1623" customFormat="1" x14ac:dyDescent="0.2">
      <c r="B207" s="1631"/>
    </row>
    <row r="208" spans="2:2" s="1623" customFormat="1" x14ac:dyDescent="0.2">
      <c r="B208" s="1631"/>
    </row>
    <row r="209" spans="2:2" s="1623" customFormat="1" x14ac:dyDescent="0.2">
      <c r="B209" s="1631"/>
    </row>
    <row r="210" spans="2:2" s="1623" customFormat="1" x14ac:dyDescent="0.2">
      <c r="B210" s="1631"/>
    </row>
    <row r="211" spans="2:2" s="1623" customFormat="1" x14ac:dyDescent="0.2">
      <c r="B211" s="1631"/>
    </row>
    <row r="212" spans="2:2" s="1623" customFormat="1" x14ac:dyDescent="0.2">
      <c r="B212" s="1631"/>
    </row>
    <row r="213" spans="2:2" s="1623" customFormat="1" x14ac:dyDescent="0.2">
      <c r="B213" s="1631"/>
    </row>
    <row r="214" spans="2:2" s="1623" customFormat="1" x14ac:dyDescent="0.2">
      <c r="B214" s="1631"/>
    </row>
    <row r="215" spans="2:2" s="1623" customFormat="1" x14ac:dyDescent="0.2">
      <c r="B215" s="1631"/>
    </row>
    <row r="216" spans="2:2" s="1623" customFormat="1" x14ac:dyDescent="0.2">
      <c r="B216" s="1631"/>
    </row>
    <row r="217" spans="2:2" s="1623" customFormat="1" x14ac:dyDescent="0.2">
      <c r="B217" s="1631"/>
    </row>
    <row r="218" spans="2:2" s="1623" customFormat="1" x14ac:dyDescent="0.2">
      <c r="B218" s="1631"/>
    </row>
    <row r="219" spans="2:2" s="1623" customFormat="1" x14ac:dyDescent="0.2">
      <c r="B219" s="1631"/>
    </row>
    <row r="220" spans="2:2" s="1623" customFormat="1" x14ac:dyDescent="0.2">
      <c r="B220" s="1631"/>
    </row>
    <row r="221" spans="2:2" s="1623" customFormat="1" x14ac:dyDescent="0.2">
      <c r="B221" s="1631"/>
    </row>
    <row r="222" spans="2:2" s="1623" customFormat="1" x14ac:dyDescent="0.2">
      <c r="B222" s="1631"/>
    </row>
    <row r="223" spans="2:2" s="1623" customFormat="1" x14ac:dyDescent="0.2">
      <c r="B223" s="1631"/>
    </row>
    <row r="224" spans="2:2" s="1623" customFormat="1" x14ac:dyDescent="0.2">
      <c r="B224" s="1631"/>
    </row>
    <row r="225" spans="2:2" s="1623" customFormat="1" x14ac:dyDescent="0.2">
      <c r="B225" s="1631"/>
    </row>
    <row r="226" spans="2:2" s="1623" customFormat="1" x14ac:dyDescent="0.2">
      <c r="B226" s="1631"/>
    </row>
    <row r="227" spans="2:2" s="1623" customFormat="1" x14ac:dyDescent="0.2">
      <c r="B227" s="1631"/>
    </row>
    <row r="228" spans="2:2" s="1623" customFormat="1" x14ac:dyDescent="0.2">
      <c r="B228" s="1631"/>
    </row>
    <row r="229" spans="2:2" s="1623" customFormat="1" x14ac:dyDescent="0.2">
      <c r="B229" s="1631"/>
    </row>
    <row r="230" spans="2:2" s="1623" customFormat="1" x14ac:dyDescent="0.2">
      <c r="B230" s="1631"/>
    </row>
    <row r="231" spans="2:2" s="1623" customFormat="1" x14ac:dyDescent="0.2">
      <c r="B231" s="1631"/>
    </row>
    <row r="232" spans="2:2" s="1623" customFormat="1" x14ac:dyDescent="0.2">
      <c r="B232" s="1631"/>
    </row>
    <row r="233" spans="2:2" s="1623" customFormat="1" x14ac:dyDescent="0.2">
      <c r="B233" s="1631"/>
    </row>
    <row r="234" spans="2:2" s="1623" customFormat="1" x14ac:dyDescent="0.2">
      <c r="B234" s="1631"/>
    </row>
    <row r="235" spans="2:2" s="1623" customFormat="1" x14ac:dyDescent="0.2">
      <c r="B235" s="1631"/>
    </row>
    <row r="236" spans="2:2" s="1623" customFormat="1" x14ac:dyDescent="0.2">
      <c r="B236" s="1631"/>
    </row>
    <row r="237" spans="2:2" s="1623" customFormat="1" x14ac:dyDescent="0.2">
      <c r="B237" s="1631"/>
    </row>
    <row r="238" spans="2:2" s="1623" customFormat="1" x14ac:dyDescent="0.2">
      <c r="B238" s="1631"/>
    </row>
    <row r="239" spans="2:2" s="1623" customFormat="1" x14ac:dyDescent="0.2">
      <c r="B239" s="1631"/>
    </row>
    <row r="240" spans="2:2" s="1623" customFormat="1" x14ac:dyDescent="0.2">
      <c r="B240" s="1631"/>
    </row>
    <row r="241" spans="2:2" s="1623" customFormat="1" x14ac:dyDescent="0.2">
      <c r="B241" s="1631"/>
    </row>
    <row r="242" spans="2:2" s="1623" customFormat="1" x14ac:dyDescent="0.2">
      <c r="B242" s="1631"/>
    </row>
    <row r="243" spans="2:2" s="1623" customFormat="1" x14ac:dyDescent="0.2">
      <c r="B243" s="1631"/>
    </row>
    <row r="244" spans="2:2" s="1623" customFormat="1" x14ac:dyDescent="0.2">
      <c r="B244" s="1631"/>
    </row>
    <row r="245" spans="2:2" s="1623" customFormat="1" x14ac:dyDescent="0.2">
      <c r="B245" s="1631"/>
    </row>
    <row r="246" spans="2:2" s="1623" customFormat="1" x14ac:dyDescent="0.2">
      <c r="B246" s="1631"/>
    </row>
    <row r="247" spans="2:2" s="1623" customFormat="1" x14ac:dyDescent="0.2">
      <c r="B247" s="1631"/>
    </row>
    <row r="248" spans="2:2" s="1623" customFormat="1" x14ac:dyDescent="0.2">
      <c r="B248" s="1631"/>
    </row>
    <row r="249" spans="2:2" s="1623" customFormat="1" x14ac:dyDescent="0.2">
      <c r="B249" s="1631"/>
    </row>
    <row r="250" spans="2:2" s="1623" customFormat="1" x14ac:dyDescent="0.2">
      <c r="B250" s="1631"/>
    </row>
    <row r="251" spans="2:2" s="1623" customFormat="1" x14ac:dyDescent="0.2">
      <c r="B251" s="1631"/>
    </row>
    <row r="252" spans="2:2" s="1623" customFormat="1" x14ac:dyDescent="0.2">
      <c r="B252" s="1631"/>
    </row>
    <row r="253" spans="2:2" s="1623" customFormat="1" x14ac:dyDescent="0.2">
      <c r="B253" s="1631"/>
    </row>
    <row r="254" spans="2:2" s="1623" customFormat="1" x14ac:dyDescent="0.2">
      <c r="B254" s="1631"/>
    </row>
    <row r="255" spans="2:2" s="1623" customFormat="1" x14ac:dyDescent="0.2">
      <c r="B255" s="1631"/>
    </row>
    <row r="256" spans="2:2" s="1623" customFormat="1" x14ac:dyDescent="0.2">
      <c r="B256" s="1631"/>
    </row>
    <row r="257" spans="2:2" s="1623" customFormat="1" x14ac:dyDescent="0.2">
      <c r="B257" s="1631"/>
    </row>
    <row r="258" spans="2:2" s="1623" customFormat="1" x14ac:dyDescent="0.2">
      <c r="B258" s="1631"/>
    </row>
    <row r="259" spans="2:2" s="1623" customFormat="1" x14ac:dyDescent="0.2">
      <c r="B259" s="1631"/>
    </row>
    <row r="260" spans="2:2" s="1623" customFormat="1" x14ac:dyDescent="0.2">
      <c r="B260" s="1631"/>
    </row>
    <row r="261" spans="2:2" s="1623" customFormat="1" x14ac:dyDescent="0.2">
      <c r="B261" s="1631"/>
    </row>
    <row r="262" spans="2:2" s="1623" customFormat="1" x14ac:dyDescent="0.2">
      <c r="B262" s="1631"/>
    </row>
    <row r="263" spans="2:2" s="1623" customFormat="1" x14ac:dyDescent="0.2">
      <c r="B263" s="1631"/>
    </row>
    <row r="264" spans="2:2" s="1623" customFormat="1" x14ac:dyDescent="0.2">
      <c r="B264" s="1631"/>
    </row>
    <row r="265" spans="2:2" s="1623" customFormat="1" x14ac:dyDescent="0.2">
      <c r="B265" s="1631"/>
    </row>
    <row r="266" spans="2:2" s="1623" customFormat="1" x14ac:dyDescent="0.2">
      <c r="B266" s="1631"/>
    </row>
    <row r="267" spans="2:2" s="1623" customFormat="1" x14ac:dyDescent="0.2">
      <c r="B267" s="1631"/>
    </row>
    <row r="268" spans="2:2" s="1623" customFormat="1" x14ac:dyDescent="0.2">
      <c r="B268" s="1631"/>
    </row>
    <row r="269" spans="2:2" s="1623" customFormat="1" x14ac:dyDescent="0.2">
      <c r="B269" s="1631"/>
    </row>
    <row r="270" spans="2:2" s="1623" customFormat="1" x14ac:dyDescent="0.2">
      <c r="B270" s="1631"/>
    </row>
    <row r="271" spans="2:2" s="1623" customFormat="1" x14ac:dyDescent="0.2">
      <c r="B271" s="1631"/>
    </row>
    <row r="272" spans="2:2" s="1623" customFormat="1" x14ac:dyDescent="0.2">
      <c r="B272" s="1631"/>
    </row>
    <row r="273" spans="2:2" s="1623" customFormat="1" x14ac:dyDescent="0.2">
      <c r="B273" s="1631"/>
    </row>
    <row r="274" spans="2:2" s="1623" customFormat="1" x14ac:dyDescent="0.2">
      <c r="B274" s="1631"/>
    </row>
    <row r="275" spans="2:2" s="1623" customFormat="1" x14ac:dyDescent="0.2">
      <c r="B275" s="1631"/>
    </row>
    <row r="276" spans="2:2" s="1623" customFormat="1" x14ac:dyDescent="0.2">
      <c r="B276" s="1631"/>
    </row>
    <row r="277" spans="2:2" s="1623" customFormat="1" x14ac:dyDescent="0.2">
      <c r="B277" s="1631"/>
    </row>
    <row r="278" spans="2:2" s="1623" customFormat="1" x14ac:dyDescent="0.2">
      <c r="B278" s="1631"/>
    </row>
    <row r="279" spans="2:2" s="1623" customFormat="1" x14ac:dyDescent="0.2">
      <c r="B279" s="1631"/>
    </row>
    <row r="280" spans="2:2" s="1623" customFormat="1" x14ac:dyDescent="0.2">
      <c r="B280" s="1631"/>
    </row>
    <row r="281" spans="2:2" s="1623" customFormat="1" x14ac:dyDescent="0.2">
      <c r="B281" s="1631"/>
    </row>
    <row r="282" spans="2:2" s="1623" customFormat="1" x14ac:dyDescent="0.2">
      <c r="B282" s="1631"/>
    </row>
    <row r="283" spans="2:2" s="1623" customFormat="1" x14ac:dyDescent="0.2">
      <c r="B283" s="1631"/>
    </row>
    <row r="284" spans="2:2" s="1623" customFormat="1" x14ac:dyDescent="0.2">
      <c r="B284" s="1631"/>
    </row>
    <row r="285" spans="2:2" s="1623" customFormat="1" x14ac:dyDescent="0.2">
      <c r="B285" s="1631"/>
    </row>
    <row r="286" spans="2:2" s="1623" customFormat="1" x14ac:dyDescent="0.2">
      <c r="B286" s="1631"/>
    </row>
    <row r="287" spans="2:2" s="1623" customFormat="1" x14ac:dyDescent="0.2">
      <c r="B287" s="1631"/>
    </row>
    <row r="288" spans="2:2" s="1623" customFormat="1" x14ac:dyDescent="0.2">
      <c r="B288" s="1631"/>
    </row>
    <row r="289" spans="2:2" s="1623" customFormat="1" x14ac:dyDescent="0.2">
      <c r="B289" s="1631"/>
    </row>
    <row r="290" spans="2:2" s="1623" customFormat="1" x14ac:dyDescent="0.2">
      <c r="B290" s="1631"/>
    </row>
    <row r="291" spans="2:2" s="1623" customFormat="1" x14ac:dyDescent="0.2">
      <c r="B291" s="1631"/>
    </row>
    <row r="292" spans="2:2" s="1623" customFormat="1" x14ac:dyDescent="0.2">
      <c r="B292" s="1631"/>
    </row>
    <row r="293" spans="2:2" s="1623" customFormat="1" x14ac:dyDescent="0.2">
      <c r="B293" s="1631"/>
    </row>
    <row r="294" spans="2:2" s="1623" customFormat="1" x14ac:dyDescent="0.2">
      <c r="B294" s="1631"/>
    </row>
    <row r="295" spans="2:2" s="1623" customFormat="1" x14ac:dyDescent="0.2">
      <c r="B295" s="1631"/>
    </row>
    <row r="296" spans="2:2" s="1623" customFormat="1" x14ac:dyDescent="0.2">
      <c r="B296" s="1631"/>
    </row>
    <row r="297" spans="2:2" s="1623" customFormat="1" x14ac:dyDescent="0.2">
      <c r="B297" s="1631"/>
    </row>
    <row r="298" spans="2:2" s="1623" customFormat="1" x14ac:dyDescent="0.2">
      <c r="B298" s="1631"/>
    </row>
    <row r="299" spans="2:2" s="1623" customFormat="1" x14ac:dyDescent="0.2">
      <c r="B299" s="1631"/>
    </row>
    <row r="300" spans="2:2" s="1623" customFormat="1" x14ac:dyDescent="0.2">
      <c r="B300" s="1631"/>
    </row>
    <row r="301" spans="2:2" s="1623" customFormat="1" x14ac:dyDescent="0.2">
      <c r="B301" s="1631"/>
    </row>
    <row r="302" spans="2:2" s="1623" customFormat="1" x14ac:dyDescent="0.2">
      <c r="B302" s="1631"/>
    </row>
    <row r="303" spans="2:2" s="1623" customFormat="1" x14ac:dyDescent="0.2">
      <c r="B303" s="1631"/>
    </row>
    <row r="304" spans="2:2" s="1623" customFormat="1" x14ac:dyDescent="0.2">
      <c r="B304" s="1631"/>
    </row>
    <row r="305" spans="2:2" s="1623" customFormat="1" x14ac:dyDescent="0.2">
      <c r="B305" s="1631"/>
    </row>
    <row r="306" spans="2:2" s="1623" customFormat="1" x14ac:dyDescent="0.2">
      <c r="B306" s="1631"/>
    </row>
    <row r="307" spans="2:2" s="1623" customFormat="1" x14ac:dyDescent="0.2">
      <c r="B307" s="1631"/>
    </row>
    <row r="308" spans="2:2" s="1623" customFormat="1" x14ac:dyDescent="0.2">
      <c r="B308" s="1631"/>
    </row>
    <row r="309" spans="2:2" s="1623" customFormat="1" x14ac:dyDescent="0.2">
      <c r="B309" s="1631"/>
    </row>
    <row r="310" spans="2:2" s="1623" customFormat="1" x14ac:dyDescent="0.2">
      <c r="B310" s="1631"/>
    </row>
    <row r="311" spans="2:2" s="1623" customFormat="1" x14ac:dyDescent="0.2">
      <c r="B311" s="1631"/>
    </row>
    <row r="312" spans="2:2" s="1623" customFormat="1" x14ac:dyDescent="0.2">
      <c r="B312" s="1631"/>
    </row>
    <row r="313" spans="2:2" s="1623" customFormat="1" x14ac:dyDescent="0.2">
      <c r="B313" s="1631"/>
    </row>
    <row r="314" spans="2:2" s="1623" customFormat="1" x14ac:dyDescent="0.2">
      <c r="B314" s="1631"/>
    </row>
    <row r="315" spans="2:2" s="1623" customFormat="1" x14ac:dyDescent="0.2">
      <c r="B315" s="1631"/>
    </row>
    <row r="316" spans="2:2" s="1623" customFormat="1" x14ac:dyDescent="0.2">
      <c r="B316" s="1631"/>
    </row>
    <row r="317" spans="2:2" s="1623" customFormat="1" x14ac:dyDescent="0.2">
      <c r="B317" s="1631"/>
    </row>
    <row r="318" spans="2:2" s="1623" customFormat="1" x14ac:dyDescent="0.2">
      <c r="B318" s="1631"/>
    </row>
    <row r="319" spans="2:2" s="1623" customFormat="1" x14ac:dyDescent="0.2">
      <c r="B319" s="1631"/>
    </row>
    <row r="320" spans="2:2" s="1623" customFormat="1" x14ac:dyDescent="0.2">
      <c r="B320" s="1631"/>
    </row>
    <row r="321" spans="2:2" s="1623" customFormat="1" x14ac:dyDescent="0.2">
      <c r="B321" s="1631"/>
    </row>
    <row r="322" spans="2:2" s="1623" customFormat="1" x14ac:dyDescent="0.2">
      <c r="B322" s="1631"/>
    </row>
    <row r="323" spans="2:2" s="1623" customFormat="1" x14ac:dyDescent="0.2">
      <c r="B323" s="1631"/>
    </row>
    <row r="324" spans="2:2" s="1623" customFormat="1" x14ac:dyDescent="0.2">
      <c r="B324" s="1631"/>
    </row>
    <row r="325" spans="2:2" s="1623" customFormat="1" x14ac:dyDescent="0.2">
      <c r="B325" s="1631"/>
    </row>
    <row r="326" spans="2:2" s="1623" customFormat="1" x14ac:dyDescent="0.2">
      <c r="B326" s="1631"/>
    </row>
    <row r="327" spans="2:2" s="1623" customFormat="1" x14ac:dyDescent="0.2">
      <c r="B327" s="1631"/>
    </row>
    <row r="328" spans="2:2" s="1623" customFormat="1" x14ac:dyDescent="0.2">
      <c r="B328" s="1631"/>
    </row>
    <row r="329" spans="2:2" s="1623" customFormat="1" x14ac:dyDescent="0.2">
      <c r="B329" s="1631"/>
    </row>
    <row r="330" spans="2:2" s="1623" customFormat="1" x14ac:dyDescent="0.2">
      <c r="B330" s="1631"/>
    </row>
    <row r="331" spans="2:2" s="1623" customFormat="1" x14ac:dyDescent="0.2">
      <c r="B331" s="1631"/>
    </row>
    <row r="332" spans="2:2" s="1623" customFormat="1" x14ac:dyDescent="0.2">
      <c r="B332" s="1631"/>
    </row>
    <row r="333" spans="2:2" s="1623" customFormat="1" x14ac:dyDescent="0.2">
      <c r="B333" s="1631"/>
    </row>
    <row r="334" spans="2:2" s="1623" customFormat="1" x14ac:dyDescent="0.2">
      <c r="B334" s="1631"/>
    </row>
    <row r="335" spans="2:2" s="1623" customFormat="1" x14ac:dyDescent="0.2">
      <c r="B335" s="1631"/>
    </row>
    <row r="336" spans="2:2" s="1623" customFormat="1" x14ac:dyDescent="0.2">
      <c r="B336" s="1631"/>
    </row>
    <row r="337" spans="2:2" s="1623" customFormat="1" x14ac:dyDescent="0.2">
      <c r="B337" s="1631"/>
    </row>
    <row r="338" spans="2:2" s="1623" customFormat="1" x14ac:dyDescent="0.2">
      <c r="B338" s="1631"/>
    </row>
    <row r="339" spans="2:2" s="1623" customFormat="1" x14ac:dyDescent="0.2">
      <c r="B339" s="1631"/>
    </row>
    <row r="340" spans="2:2" s="1623" customFormat="1" x14ac:dyDescent="0.2">
      <c r="B340" s="1631"/>
    </row>
    <row r="341" spans="2:2" s="1623" customFormat="1" x14ac:dyDescent="0.2">
      <c r="B341" s="1631"/>
    </row>
    <row r="342" spans="2:2" s="1623" customFormat="1" x14ac:dyDescent="0.2">
      <c r="B342" s="1631"/>
    </row>
    <row r="343" spans="2:2" s="1623" customFormat="1" x14ac:dyDescent="0.2">
      <c r="B343" s="1631"/>
    </row>
    <row r="344" spans="2:2" s="1623" customFormat="1" x14ac:dyDescent="0.2">
      <c r="B344" s="1631"/>
    </row>
    <row r="345" spans="2:2" s="1623" customFormat="1" x14ac:dyDescent="0.2">
      <c r="B345" s="1631"/>
    </row>
    <row r="346" spans="2:2" s="1623" customFormat="1" x14ac:dyDescent="0.2">
      <c r="B346" s="1631"/>
    </row>
    <row r="347" spans="2:2" s="1623" customFormat="1" x14ac:dyDescent="0.2">
      <c r="B347" s="1631"/>
    </row>
    <row r="348" spans="2:2" s="1623" customFormat="1" x14ac:dyDescent="0.2">
      <c r="B348" s="1631"/>
    </row>
    <row r="349" spans="2:2" s="1623" customFormat="1" x14ac:dyDescent="0.2">
      <c r="B349" s="1631"/>
    </row>
    <row r="350" spans="2:2" s="1623" customFormat="1" x14ac:dyDescent="0.2">
      <c r="B350" s="1631"/>
    </row>
    <row r="351" spans="2:2" s="1623" customFormat="1" x14ac:dyDescent="0.2">
      <c r="B351" s="1631"/>
    </row>
    <row r="352" spans="2:2" s="1623" customFormat="1" x14ac:dyDescent="0.2">
      <c r="B352" s="1631"/>
    </row>
    <row r="353" spans="2:2" s="1623" customFormat="1" x14ac:dyDescent="0.2">
      <c r="B353" s="1631"/>
    </row>
    <row r="354" spans="2:2" s="1623" customFormat="1" x14ac:dyDescent="0.2">
      <c r="B354" s="1631"/>
    </row>
    <row r="355" spans="2:2" s="1623" customFormat="1" x14ac:dyDescent="0.2">
      <c r="B355" s="1631"/>
    </row>
    <row r="356" spans="2:2" s="1623" customFormat="1" x14ac:dyDescent="0.2">
      <c r="B356" s="1631"/>
    </row>
    <row r="357" spans="2:2" s="1623" customFormat="1" x14ac:dyDescent="0.2">
      <c r="B357" s="1631"/>
    </row>
    <row r="358" spans="2:2" s="1623" customFormat="1" x14ac:dyDescent="0.2">
      <c r="B358" s="1631"/>
    </row>
    <row r="359" spans="2:2" s="1623" customFormat="1" x14ac:dyDescent="0.2">
      <c r="B359" s="1631"/>
    </row>
    <row r="360" spans="2:2" s="1623" customFormat="1" x14ac:dyDescent="0.2">
      <c r="B360" s="1631"/>
    </row>
    <row r="361" spans="2:2" s="1623" customFormat="1" x14ac:dyDescent="0.2">
      <c r="B361" s="1631"/>
    </row>
    <row r="362" spans="2:2" s="1623" customFormat="1" x14ac:dyDescent="0.2">
      <c r="B362" s="1631"/>
    </row>
    <row r="363" spans="2:2" s="1623" customFormat="1" x14ac:dyDescent="0.2">
      <c r="B363" s="1631"/>
    </row>
    <row r="364" spans="2:2" s="1623" customFormat="1" x14ac:dyDescent="0.2">
      <c r="B364" s="1631"/>
    </row>
    <row r="365" spans="2:2" s="1623" customFormat="1" x14ac:dyDescent="0.2">
      <c r="B365" s="1631"/>
    </row>
    <row r="366" spans="2:2" s="1623" customFormat="1" x14ac:dyDescent="0.2">
      <c r="B366" s="1631"/>
    </row>
    <row r="367" spans="2:2" s="1623" customFormat="1" x14ac:dyDescent="0.2">
      <c r="B367" s="1631"/>
    </row>
    <row r="368" spans="2:2" s="1623" customFormat="1" x14ac:dyDescent="0.2">
      <c r="B368" s="1631"/>
    </row>
    <row r="369" spans="2:2" s="1623" customFormat="1" x14ac:dyDescent="0.2">
      <c r="B369" s="1631"/>
    </row>
    <row r="370" spans="2:2" s="1623" customFormat="1" x14ac:dyDescent="0.2">
      <c r="B370" s="1631"/>
    </row>
    <row r="371" spans="2:2" s="1623" customFormat="1" x14ac:dyDescent="0.2">
      <c r="B371" s="1631"/>
    </row>
    <row r="372" spans="2:2" s="1623" customFormat="1" x14ac:dyDescent="0.2">
      <c r="B372" s="1631"/>
    </row>
    <row r="373" spans="2:2" s="1623" customFormat="1" x14ac:dyDescent="0.2">
      <c r="B373" s="1631"/>
    </row>
    <row r="374" spans="2:2" s="1623" customFormat="1" x14ac:dyDescent="0.2">
      <c r="B374" s="1631"/>
    </row>
    <row r="375" spans="2:2" s="1623" customFormat="1" x14ac:dyDescent="0.2">
      <c r="B375" s="1631"/>
    </row>
    <row r="376" spans="2:2" s="1623" customFormat="1" x14ac:dyDescent="0.2">
      <c r="B376" s="1631"/>
    </row>
    <row r="377" spans="2:2" s="1623" customFormat="1" x14ac:dyDescent="0.2">
      <c r="B377" s="1631"/>
    </row>
    <row r="378" spans="2:2" s="1623" customFormat="1" x14ac:dyDescent="0.2">
      <c r="B378" s="1631"/>
    </row>
    <row r="379" spans="2:2" s="1623" customFormat="1" x14ac:dyDescent="0.2">
      <c r="B379" s="1631"/>
    </row>
    <row r="380" spans="2:2" s="1623" customFormat="1" x14ac:dyDescent="0.2">
      <c r="B380" s="1631"/>
    </row>
    <row r="381" spans="2:2" s="1623" customFormat="1" x14ac:dyDescent="0.2">
      <c r="B381" s="1631"/>
    </row>
    <row r="382" spans="2:2" s="1623" customFormat="1" x14ac:dyDescent="0.2">
      <c r="B382" s="1631"/>
    </row>
    <row r="383" spans="2:2" s="1623" customFormat="1" x14ac:dyDescent="0.2">
      <c r="B383" s="1631"/>
    </row>
    <row r="384" spans="2:2" s="1623" customFormat="1" x14ac:dyDescent="0.2">
      <c r="B384" s="1631"/>
    </row>
    <row r="385" spans="2:2" s="1623" customFormat="1" x14ac:dyDescent="0.2">
      <c r="B385" s="1631"/>
    </row>
    <row r="386" spans="2:2" s="1623" customFormat="1" x14ac:dyDescent="0.2">
      <c r="B386" s="1631"/>
    </row>
    <row r="387" spans="2:2" s="1623" customFormat="1" x14ac:dyDescent="0.2">
      <c r="B387" s="1631"/>
    </row>
    <row r="388" spans="2:2" s="1623" customFormat="1" x14ac:dyDescent="0.2">
      <c r="B388" s="1631"/>
    </row>
    <row r="389" spans="2:2" s="1623" customFormat="1" x14ac:dyDescent="0.2">
      <c r="B389" s="1631"/>
    </row>
    <row r="390" spans="2:2" s="1623" customFormat="1" x14ac:dyDescent="0.2">
      <c r="B390" s="1631"/>
    </row>
    <row r="391" spans="2:2" s="1623" customFormat="1" x14ac:dyDescent="0.2">
      <c r="B391" s="1631"/>
    </row>
    <row r="392" spans="2:2" s="1623" customFormat="1" x14ac:dyDescent="0.2">
      <c r="B392" s="1631"/>
    </row>
    <row r="393" spans="2:2" s="1623" customFormat="1" x14ac:dyDescent="0.2">
      <c r="B393" s="1631"/>
    </row>
    <row r="394" spans="2:2" s="1623" customFormat="1" x14ac:dyDescent="0.2">
      <c r="B394" s="1631"/>
    </row>
    <row r="395" spans="2:2" s="1623" customFormat="1" x14ac:dyDescent="0.2">
      <c r="B395" s="1631"/>
    </row>
    <row r="396" spans="2:2" s="1623" customFormat="1" x14ac:dyDescent="0.2">
      <c r="B396" s="1631"/>
    </row>
    <row r="397" spans="2:2" s="1623" customFormat="1" x14ac:dyDescent="0.2">
      <c r="B397" s="1631"/>
    </row>
    <row r="398" spans="2:2" s="1623" customFormat="1" x14ac:dyDescent="0.2">
      <c r="B398" s="1631"/>
    </row>
    <row r="399" spans="2:2" s="1623" customFormat="1" x14ac:dyDescent="0.2">
      <c r="B399" s="1631"/>
    </row>
    <row r="400" spans="2:2" s="1623" customFormat="1" x14ac:dyDescent="0.2">
      <c r="B400" s="1631"/>
    </row>
    <row r="401" spans="2:2" s="1623" customFormat="1" x14ac:dyDescent="0.2">
      <c r="B401" s="1631"/>
    </row>
    <row r="402" spans="2:2" s="1623" customFormat="1" x14ac:dyDescent="0.2">
      <c r="B402" s="1631"/>
    </row>
    <row r="403" spans="2:2" s="1623" customFormat="1" x14ac:dyDescent="0.2">
      <c r="B403" s="1631"/>
    </row>
    <row r="404" spans="2:2" s="1623" customFormat="1" x14ac:dyDescent="0.2">
      <c r="B404" s="1631"/>
    </row>
    <row r="405" spans="2:2" s="1623" customFormat="1" x14ac:dyDescent="0.2">
      <c r="B405" s="1631"/>
    </row>
    <row r="406" spans="2:2" s="1623" customFormat="1" x14ac:dyDescent="0.2">
      <c r="B406" s="1631"/>
    </row>
    <row r="407" spans="2:2" s="1623" customFormat="1" x14ac:dyDescent="0.2">
      <c r="B407" s="1631"/>
    </row>
    <row r="408" spans="2:2" s="1623" customFormat="1" x14ac:dyDescent="0.2">
      <c r="B408" s="1631"/>
    </row>
    <row r="409" spans="2:2" s="1623" customFormat="1" x14ac:dyDescent="0.2">
      <c r="B409" s="1631"/>
    </row>
    <row r="410" spans="2:2" s="1623" customFormat="1" x14ac:dyDescent="0.2">
      <c r="B410" s="1631"/>
    </row>
    <row r="411" spans="2:2" s="1623" customFormat="1" x14ac:dyDescent="0.2">
      <c r="B411" s="1631"/>
    </row>
    <row r="412" spans="2:2" s="1623" customFormat="1" x14ac:dyDescent="0.2">
      <c r="B412" s="1631"/>
    </row>
    <row r="413" spans="2:2" s="1623" customFormat="1" x14ac:dyDescent="0.2">
      <c r="B413" s="1631"/>
    </row>
    <row r="414" spans="2:2" s="1623" customFormat="1" x14ac:dyDescent="0.2">
      <c r="B414" s="1631"/>
    </row>
    <row r="415" spans="2:2" s="1623" customFormat="1" x14ac:dyDescent="0.2">
      <c r="B415" s="1631"/>
    </row>
    <row r="416" spans="2:2" s="1623" customFormat="1" x14ac:dyDescent="0.2">
      <c r="B416" s="1631"/>
    </row>
    <row r="417" spans="2:2" s="1623" customFormat="1" x14ac:dyDescent="0.2">
      <c r="B417" s="1631"/>
    </row>
    <row r="418" spans="2:2" s="1623" customFormat="1" x14ac:dyDescent="0.2">
      <c r="B418" s="1631"/>
    </row>
    <row r="419" spans="2:2" s="1623" customFormat="1" x14ac:dyDescent="0.2">
      <c r="B419" s="1631"/>
    </row>
    <row r="420" spans="2:2" s="1623" customFormat="1" x14ac:dyDescent="0.2">
      <c r="B420" s="1631"/>
    </row>
    <row r="421" spans="2:2" s="1623" customFormat="1" x14ac:dyDescent="0.2">
      <c r="B421" s="1631"/>
    </row>
    <row r="422" spans="2:2" s="1623" customFormat="1" x14ac:dyDescent="0.2">
      <c r="B422" s="1631"/>
    </row>
    <row r="423" spans="2:2" s="1623" customFormat="1" x14ac:dyDescent="0.2">
      <c r="B423" s="1631"/>
    </row>
    <row r="424" spans="2:2" s="1623" customFormat="1" x14ac:dyDescent="0.2">
      <c r="B424" s="1631"/>
    </row>
    <row r="425" spans="2:2" s="1623" customFormat="1" x14ac:dyDescent="0.2">
      <c r="B425" s="1631"/>
    </row>
    <row r="426" spans="2:2" s="1623" customFormat="1" x14ac:dyDescent="0.2">
      <c r="B426" s="1631"/>
    </row>
    <row r="427" spans="2:2" s="1623" customFormat="1" x14ac:dyDescent="0.2">
      <c r="B427" s="1631"/>
    </row>
    <row r="428" spans="2:2" s="1623" customFormat="1" x14ac:dyDescent="0.2">
      <c r="B428" s="1631"/>
    </row>
    <row r="429" spans="2:2" s="1623" customFormat="1" x14ac:dyDescent="0.2">
      <c r="B429" s="1631"/>
    </row>
    <row r="430" spans="2:2" s="1623" customFormat="1" x14ac:dyDescent="0.2">
      <c r="B430" s="1631"/>
    </row>
    <row r="431" spans="2:2" s="1623" customFormat="1" x14ac:dyDescent="0.2">
      <c r="B431" s="1631"/>
    </row>
    <row r="432" spans="2:2" s="1623" customFormat="1" x14ac:dyDescent="0.2">
      <c r="B432" s="1631"/>
    </row>
    <row r="433" spans="2:2" s="1623" customFormat="1" x14ac:dyDescent="0.2">
      <c r="B433" s="1631"/>
    </row>
    <row r="434" spans="2:2" s="1623" customFormat="1" x14ac:dyDescent="0.2">
      <c r="B434" s="1631"/>
    </row>
    <row r="435" spans="2:2" s="1623" customFormat="1" x14ac:dyDescent="0.2">
      <c r="B435" s="1631"/>
    </row>
    <row r="436" spans="2:2" s="1623" customFormat="1" x14ac:dyDescent="0.2">
      <c r="B436" s="1631"/>
    </row>
    <row r="437" spans="2:2" s="1623" customFormat="1" x14ac:dyDescent="0.2">
      <c r="B437" s="1631"/>
    </row>
    <row r="438" spans="2:2" s="1623" customFormat="1" x14ac:dyDescent="0.2">
      <c r="B438" s="1631"/>
    </row>
    <row r="439" spans="2:2" s="1623" customFormat="1" x14ac:dyDescent="0.2">
      <c r="B439" s="1631"/>
    </row>
    <row r="440" spans="2:2" s="1623" customFormat="1" x14ac:dyDescent="0.2">
      <c r="B440" s="1631"/>
    </row>
    <row r="441" spans="2:2" s="1623" customFormat="1" x14ac:dyDescent="0.2">
      <c r="B441" s="1631"/>
    </row>
    <row r="442" spans="2:2" s="1623" customFormat="1" x14ac:dyDescent="0.2">
      <c r="B442" s="1631"/>
    </row>
    <row r="443" spans="2:2" s="1623" customFormat="1" x14ac:dyDescent="0.2">
      <c r="B443" s="1631"/>
    </row>
    <row r="444" spans="2:2" s="1623" customFormat="1" x14ac:dyDescent="0.2">
      <c r="B444" s="1631"/>
    </row>
    <row r="445" spans="2:2" s="1623" customFormat="1" x14ac:dyDescent="0.2">
      <c r="B445" s="1631"/>
    </row>
    <row r="446" spans="2:2" s="1623" customFormat="1" x14ac:dyDescent="0.2">
      <c r="B446" s="1631"/>
    </row>
    <row r="447" spans="2:2" s="1623" customFormat="1" x14ac:dyDescent="0.2">
      <c r="B447" s="1631"/>
    </row>
    <row r="448" spans="2:2" s="1623" customFormat="1" x14ac:dyDescent="0.2">
      <c r="B448" s="1631"/>
    </row>
    <row r="449" spans="2:2" s="1623" customFormat="1" x14ac:dyDescent="0.2">
      <c r="B449" s="1631"/>
    </row>
    <row r="450" spans="2:2" s="1623" customFormat="1" x14ac:dyDescent="0.2">
      <c r="B450" s="1631"/>
    </row>
    <row r="451" spans="2:2" s="1623" customFormat="1" x14ac:dyDescent="0.2">
      <c r="B451" s="1631"/>
    </row>
    <row r="452" spans="2:2" s="1623" customFormat="1" x14ac:dyDescent="0.2">
      <c r="B452" s="1631"/>
    </row>
    <row r="453" spans="2:2" s="1623" customFormat="1" x14ac:dyDescent="0.2">
      <c r="B453" s="1631"/>
    </row>
    <row r="454" spans="2:2" s="1623" customFormat="1" x14ac:dyDescent="0.2">
      <c r="B454" s="1631"/>
    </row>
    <row r="455" spans="2:2" s="1623" customFormat="1" x14ac:dyDescent="0.2">
      <c r="B455" s="1631"/>
    </row>
    <row r="456" spans="2:2" s="1623" customFormat="1" x14ac:dyDescent="0.2">
      <c r="B456" s="1631"/>
    </row>
    <row r="457" spans="2:2" s="1623" customFormat="1" x14ac:dyDescent="0.2">
      <c r="B457" s="1631"/>
    </row>
    <row r="458" spans="2:2" s="1623" customFormat="1" x14ac:dyDescent="0.2">
      <c r="B458" s="1631"/>
    </row>
    <row r="459" spans="2:2" s="1623" customFormat="1" x14ac:dyDescent="0.2">
      <c r="B459" s="1631"/>
    </row>
    <row r="460" spans="2:2" s="1623" customFormat="1" x14ac:dyDescent="0.2">
      <c r="B460" s="1631"/>
    </row>
    <row r="461" spans="2:2" s="1623" customFormat="1" x14ac:dyDescent="0.2">
      <c r="B461" s="1631"/>
    </row>
    <row r="462" spans="2:2" s="1623" customFormat="1" x14ac:dyDescent="0.2">
      <c r="B462" s="1631"/>
    </row>
    <row r="463" spans="2:2" s="1623" customFormat="1" x14ac:dyDescent="0.2">
      <c r="B463" s="1631"/>
    </row>
    <row r="464" spans="2:2" s="1623" customFormat="1" x14ac:dyDescent="0.2">
      <c r="B464" s="1631"/>
    </row>
    <row r="465" spans="2:2" s="1623" customFormat="1" x14ac:dyDescent="0.2">
      <c r="B465" s="1631"/>
    </row>
    <row r="466" spans="2:2" s="1623" customFormat="1" x14ac:dyDescent="0.2">
      <c r="B466" s="1631"/>
    </row>
    <row r="467" spans="2:2" s="1623" customFormat="1" x14ac:dyDescent="0.2">
      <c r="B467" s="1631"/>
    </row>
    <row r="468" spans="2:2" s="1623" customFormat="1" x14ac:dyDescent="0.2">
      <c r="B468" s="1631"/>
    </row>
    <row r="469" spans="2:2" s="1623" customFormat="1" x14ac:dyDescent="0.2">
      <c r="B469" s="1631"/>
    </row>
    <row r="470" spans="2:2" s="1623" customFormat="1" x14ac:dyDescent="0.2">
      <c r="B470" s="1631"/>
    </row>
    <row r="471" spans="2:2" s="1623" customFormat="1" x14ac:dyDescent="0.2">
      <c r="B471" s="1631"/>
    </row>
    <row r="472" spans="2:2" s="1623" customFormat="1" x14ac:dyDescent="0.2">
      <c r="B472" s="1631"/>
    </row>
    <row r="473" spans="2:2" s="1623" customFormat="1" x14ac:dyDescent="0.2">
      <c r="B473" s="1631"/>
    </row>
    <row r="474" spans="2:2" s="1623" customFormat="1" x14ac:dyDescent="0.2">
      <c r="B474" s="1631"/>
    </row>
    <row r="475" spans="2:2" s="1623" customFormat="1" x14ac:dyDescent="0.2">
      <c r="B475" s="1631"/>
    </row>
    <row r="476" spans="2:2" s="1623" customFormat="1" x14ac:dyDescent="0.2">
      <c r="B476" s="1631"/>
    </row>
    <row r="477" spans="2:2" s="1623" customFormat="1" x14ac:dyDescent="0.2">
      <c r="B477" s="1631"/>
    </row>
    <row r="478" spans="2:2" s="1623" customFormat="1" x14ac:dyDescent="0.2">
      <c r="B478" s="1631"/>
    </row>
    <row r="479" spans="2:2" s="1623" customFormat="1" x14ac:dyDescent="0.2">
      <c r="B479" s="1631"/>
    </row>
    <row r="480" spans="2:2" s="1623" customFormat="1" x14ac:dyDescent="0.2">
      <c r="B480" s="1631"/>
    </row>
    <row r="481" spans="2:2" s="1623" customFormat="1" x14ac:dyDescent="0.2">
      <c r="B481" s="1631"/>
    </row>
    <row r="482" spans="2:2" s="1623" customFormat="1" x14ac:dyDescent="0.2">
      <c r="B482" s="1631"/>
    </row>
    <row r="483" spans="2:2" s="1623" customFormat="1" x14ac:dyDescent="0.2">
      <c r="B483" s="1631"/>
    </row>
    <row r="484" spans="2:2" s="1623" customFormat="1" x14ac:dyDescent="0.2">
      <c r="B484" s="1631"/>
    </row>
    <row r="485" spans="2:2" s="1623" customFormat="1" x14ac:dyDescent="0.2">
      <c r="B485" s="1631"/>
    </row>
    <row r="486" spans="2:2" s="1623" customFormat="1" x14ac:dyDescent="0.2">
      <c r="B486" s="1631"/>
    </row>
    <row r="487" spans="2:2" s="1623" customFormat="1" x14ac:dyDescent="0.2">
      <c r="B487" s="1631"/>
    </row>
    <row r="488" spans="2:2" s="1623" customFormat="1" x14ac:dyDescent="0.2">
      <c r="B488" s="1631"/>
    </row>
    <row r="489" spans="2:2" s="1623" customFormat="1" x14ac:dyDescent="0.2">
      <c r="B489" s="1631"/>
    </row>
    <row r="490" spans="2:2" s="1623" customFormat="1" x14ac:dyDescent="0.2">
      <c r="B490" s="1631"/>
    </row>
    <row r="491" spans="2:2" s="1623" customFormat="1" x14ac:dyDescent="0.2">
      <c r="B491" s="1631"/>
    </row>
    <row r="492" spans="2:2" s="1623" customFormat="1" x14ac:dyDescent="0.2">
      <c r="B492" s="1631"/>
    </row>
    <row r="493" spans="2:2" s="1623" customFormat="1" x14ac:dyDescent="0.2">
      <c r="B493" s="1631"/>
    </row>
    <row r="494" spans="2:2" s="1623" customFormat="1" x14ac:dyDescent="0.2">
      <c r="B494" s="1631"/>
    </row>
    <row r="495" spans="2:2" s="1623" customFormat="1" x14ac:dyDescent="0.2">
      <c r="B495" s="1631"/>
    </row>
    <row r="496" spans="2:2" s="1623" customFormat="1" x14ac:dyDescent="0.2">
      <c r="B496" s="1631"/>
    </row>
    <row r="497" spans="2:2" s="1623" customFormat="1" x14ac:dyDescent="0.2">
      <c r="B497" s="1631"/>
    </row>
    <row r="498" spans="2:2" s="1623" customFormat="1" x14ac:dyDescent="0.2">
      <c r="B498" s="1631"/>
    </row>
    <row r="499" spans="2:2" s="1623" customFormat="1" x14ac:dyDescent="0.2">
      <c r="B499" s="1631"/>
    </row>
    <row r="500" spans="2:2" s="1623" customFormat="1" x14ac:dyDescent="0.2">
      <c r="B500" s="1631"/>
    </row>
    <row r="501" spans="2:2" s="1623" customFormat="1" x14ac:dyDescent="0.2">
      <c r="B501" s="1631"/>
    </row>
    <row r="502" spans="2:2" s="1623" customFormat="1" x14ac:dyDescent="0.2">
      <c r="B502" s="1631"/>
    </row>
    <row r="503" spans="2:2" s="1623" customFormat="1" x14ac:dyDescent="0.2">
      <c r="B503" s="1631"/>
    </row>
    <row r="504" spans="2:2" s="1623" customFormat="1" x14ac:dyDescent="0.2">
      <c r="B504" s="1631"/>
    </row>
    <row r="505" spans="2:2" s="1623" customFormat="1" x14ac:dyDescent="0.2">
      <c r="B505" s="1631"/>
    </row>
    <row r="506" spans="2:2" s="1623" customFormat="1" x14ac:dyDescent="0.2">
      <c r="B506" s="1631"/>
    </row>
    <row r="507" spans="2:2" s="1623" customFormat="1" x14ac:dyDescent="0.2">
      <c r="B507" s="1631"/>
    </row>
    <row r="508" spans="2:2" s="1623" customFormat="1" x14ac:dyDescent="0.2">
      <c r="B508" s="1631"/>
    </row>
    <row r="509" spans="2:2" s="1623" customFormat="1" x14ac:dyDescent="0.2">
      <c r="B509" s="1631"/>
    </row>
    <row r="510" spans="2:2" s="1623" customFormat="1" x14ac:dyDescent="0.2">
      <c r="B510" s="1631"/>
    </row>
    <row r="511" spans="2:2" s="1623" customFormat="1" x14ac:dyDescent="0.2">
      <c r="B511" s="1631"/>
    </row>
    <row r="512" spans="2:2" s="1623" customFormat="1" x14ac:dyDescent="0.2">
      <c r="B512" s="1631"/>
    </row>
    <row r="513" spans="2:2" s="1623" customFormat="1" x14ac:dyDescent="0.2">
      <c r="B513" s="1631"/>
    </row>
    <row r="514" spans="2:2" s="1623" customFormat="1" x14ac:dyDescent="0.2">
      <c r="B514" s="1631"/>
    </row>
    <row r="515" spans="2:2" s="1623" customFormat="1" x14ac:dyDescent="0.2">
      <c r="B515" s="1631"/>
    </row>
    <row r="516" spans="2:2" s="1623" customFormat="1" x14ac:dyDescent="0.2">
      <c r="B516" s="1631"/>
    </row>
    <row r="517" spans="2:2" s="1623" customFormat="1" x14ac:dyDescent="0.2">
      <c r="B517" s="1631"/>
    </row>
    <row r="518" spans="2:2" s="1623" customFormat="1" x14ac:dyDescent="0.2">
      <c r="B518" s="1631"/>
    </row>
    <row r="519" spans="2:2" s="1623" customFormat="1" x14ac:dyDescent="0.2">
      <c r="B519" s="1631"/>
    </row>
    <row r="520" spans="2:2" s="1623" customFormat="1" x14ac:dyDescent="0.2">
      <c r="B520" s="1631"/>
    </row>
    <row r="521" spans="2:2" s="1623" customFormat="1" x14ac:dyDescent="0.2">
      <c r="B521" s="1631"/>
    </row>
    <row r="522" spans="2:2" s="1623" customFormat="1" x14ac:dyDescent="0.2">
      <c r="B522" s="1631"/>
    </row>
    <row r="523" spans="2:2" s="1623" customFormat="1" x14ac:dyDescent="0.2">
      <c r="B523" s="1631"/>
    </row>
    <row r="524" spans="2:2" s="1623" customFormat="1" x14ac:dyDescent="0.2">
      <c r="B524" s="1631"/>
    </row>
    <row r="525" spans="2:2" s="1623" customFormat="1" x14ac:dyDescent="0.2">
      <c r="B525" s="1631"/>
    </row>
    <row r="526" spans="2:2" s="1623" customFormat="1" x14ac:dyDescent="0.2">
      <c r="B526" s="1631"/>
    </row>
    <row r="527" spans="2:2" s="1623" customFormat="1" x14ac:dyDescent="0.2">
      <c r="B527" s="1631"/>
    </row>
    <row r="528" spans="2:2" s="1623" customFormat="1" x14ac:dyDescent="0.2">
      <c r="B528" s="1631"/>
    </row>
    <row r="529" spans="2:2" s="1623" customFormat="1" x14ac:dyDescent="0.2">
      <c r="B529" s="1631"/>
    </row>
    <row r="530" spans="2:2" s="1623" customFormat="1" x14ac:dyDescent="0.2">
      <c r="B530" s="1631"/>
    </row>
    <row r="531" spans="2:2" s="1623" customFormat="1" x14ac:dyDescent="0.2">
      <c r="B531" s="1631"/>
    </row>
    <row r="532" spans="2:2" s="1623" customFormat="1" x14ac:dyDescent="0.2">
      <c r="B532" s="1631"/>
    </row>
    <row r="533" spans="2:2" s="1623" customFormat="1" x14ac:dyDescent="0.2">
      <c r="B533" s="1631"/>
    </row>
    <row r="534" spans="2:2" s="1623" customFormat="1" x14ac:dyDescent="0.2">
      <c r="B534" s="1631"/>
    </row>
    <row r="535" spans="2:2" s="1623" customFormat="1" x14ac:dyDescent="0.2">
      <c r="B535" s="1631"/>
    </row>
    <row r="536" spans="2:2" s="1623" customFormat="1" x14ac:dyDescent="0.2">
      <c r="B536" s="1631"/>
    </row>
    <row r="537" spans="2:2" s="1623" customFormat="1" x14ac:dyDescent="0.2">
      <c r="B537" s="1631"/>
    </row>
    <row r="538" spans="2:2" s="1623" customFormat="1" x14ac:dyDescent="0.2">
      <c r="B538" s="1631"/>
    </row>
    <row r="539" spans="2:2" s="1623" customFormat="1" x14ac:dyDescent="0.2">
      <c r="B539" s="1631"/>
    </row>
    <row r="540" spans="2:2" s="1623" customFormat="1" x14ac:dyDescent="0.2">
      <c r="B540" s="1631"/>
    </row>
    <row r="541" spans="2:2" s="1623" customFormat="1" x14ac:dyDescent="0.2">
      <c r="B541" s="1631"/>
    </row>
    <row r="542" spans="2:2" s="1623" customFormat="1" x14ac:dyDescent="0.2">
      <c r="B542" s="1631"/>
    </row>
    <row r="543" spans="2:2" s="1623" customFormat="1" x14ac:dyDescent="0.2">
      <c r="B543" s="1631"/>
    </row>
    <row r="544" spans="2:2" s="1623" customFormat="1" x14ac:dyDescent="0.2">
      <c r="B544" s="1631"/>
    </row>
    <row r="545" spans="2:2" s="1623" customFormat="1" x14ac:dyDescent="0.2">
      <c r="B545" s="1631"/>
    </row>
    <row r="546" spans="2:2" s="1623" customFormat="1" x14ac:dyDescent="0.2">
      <c r="B546" s="1631"/>
    </row>
    <row r="547" spans="2:2" s="1623" customFormat="1" x14ac:dyDescent="0.2">
      <c r="B547" s="1631"/>
    </row>
    <row r="548" spans="2:2" s="1623" customFormat="1" x14ac:dyDescent="0.2">
      <c r="B548" s="1631"/>
    </row>
    <row r="549" spans="2:2" s="1623" customFormat="1" x14ac:dyDescent="0.2">
      <c r="B549" s="1631"/>
    </row>
    <row r="550" spans="2:2" s="1623" customFormat="1" x14ac:dyDescent="0.2">
      <c r="B550" s="1631"/>
    </row>
    <row r="551" spans="2:2" s="1623" customFormat="1" x14ac:dyDescent="0.2">
      <c r="B551" s="1631"/>
    </row>
    <row r="552" spans="2:2" s="1623" customFormat="1" x14ac:dyDescent="0.2">
      <c r="B552" s="1631"/>
    </row>
    <row r="553" spans="2:2" s="1623" customFormat="1" x14ac:dyDescent="0.2">
      <c r="B553" s="1631"/>
    </row>
    <row r="554" spans="2:2" s="1623" customFormat="1" x14ac:dyDescent="0.2">
      <c r="B554" s="1631"/>
    </row>
    <row r="555" spans="2:2" s="1623" customFormat="1" x14ac:dyDescent="0.2">
      <c r="B555" s="1631"/>
    </row>
    <row r="556" spans="2:2" s="1623" customFormat="1" x14ac:dyDescent="0.2">
      <c r="B556" s="1631"/>
    </row>
    <row r="557" spans="2:2" s="1623" customFormat="1" x14ac:dyDescent="0.2">
      <c r="B557" s="1631"/>
    </row>
    <row r="558" spans="2:2" s="1623" customFormat="1" x14ac:dyDescent="0.2">
      <c r="B558" s="1631"/>
    </row>
    <row r="559" spans="2:2" s="1623" customFormat="1" x14ac:dyDescent="0.2">
      <c r="B559" s="1631"/>
    </row>
    <row r="560" spans="2:2" s="1623" customFormat="1" x14ac:dyDescent="0.2">
      <c r="B560" s="1631"/>
    </row>
    <row r="561" spans="2:2" s="1623" customFormat="1" x14ac:dyDescent="0.2">
      <c r="B561" s="1631"/>
    </row>
    <row r="562" spans="2:2" s="1623" customFormat="1" x14ac:dyDescent="0.2">
      <c r="B562" s="1631"/>
    </row>
    <row r="563" spans="2:2" s="1623" customFormat="1" x14ac:dyDescent="0.2">
      <c r="B563" s="1631"/>
    </row>
    <row r="564" spans="2:2" s="1623" customFormat="1" x14ac:dyDescent="0.2">
      <c r="B564" s="1631"/>
    </row>
    <row r="565" spans="2:2" s="1623" customFormat="1" x14ac:dyDescent="0.2">
      <c r="B565" s="1631"/>
    </row>
    <row r="566" spans="2:2" s="1623" customFormat="1" x14ac:dyDescent="0.2">
      <c r="B566" s="1631"/>
    </row>
    <row r="567" spans="2:2" s="1623" customFormat="1" x14ac:dyDescent="0.2">
      <c r="B567" s="1631"/>
    </row>
    <row r="568" spans="2:2" s="1623" customFormat="1" x14ac:dyDescent="0.2">
      <c r="B568" s="1631"/>
    </row>
    <row r="569" spans="2:2" s="1623" customFormat="1" x14ac:dyDescent="0.2">
      <c r="B569" s="1631"/>
    </row>
    <row r="570" spans="2:2" s="1623" customFormat="1" x14ac:dyDescent="0.2">
      <c r="B570" s="1631"/>
    </row>
    <row r="571" spans="2:2" s="1623" customFormat="1" x14ac:dyDescent="0.2">
      <c r="B571" s="1631"/>
    </row>
    <row r="572" spans="2:2" s="1623" customFormat="1" x14ac:dyDescent="0.2">
      <c r="B572" s="1631"/>
    </row>
    <row r="573" spans="2:2" s="1623" customFormat="1" x14ac:dyDescent="0.2">
      <c r="B573" s="1631"/>
    </row>
    <row r="574" spans="2:2" s="1623" customFormat="1" x14ac:dyDescent="0.2">
      <c r="B574" s="1631"/>
    </row>
    <row r="575" spans="2:2" s="1623" customFormat="1" x14ac:dyDescent="0.2">
      <c r="B575" s="1631"/>
    </row>
    <row r="576" spans="2:2" s="1623" customFormat="1" x14ac:dyDescent="0.2">
      <c r="B576" s="1631"/>
    </row>
    <row r="577" spans="2:2" s="1623" customFormat="1" x14ac:dyDescent="0.2">
      <c r="B577" s="1631"/>
    </row>
    <row r="578" spans="2:2" s="1623" customFormat="1" x14ac:dyDescent="0.2">
      <c r="B578" s="1631"/>
    </row>
    <row r="579" spans="2:2" s="1623" customFormat="1" x14ac:dyDescent="0.2">
      <c r="B579" s="1631"/>
    </row>
    <row r="580" spans="2:2" s="1623" customFormat="1" x14ac:dyDescent="0.2">
      <c r="B580" s="1631"/>
    </row>
    <row r="581" spans="2:2" s="1623" customFormat="1" x14ac:dyDescent="0.2">
      <c r="B581" s="1631"/>
    </row>
    <row r="582" spans="2:2" s="1623" customFormat="1" x14ac:dyDescent="0.2">
      <c r="B582" s="1631"/>
    </row>
    <row r="583" spans="2:2" s="1623" customFormat="1" x14ac:dyDescent="0.2">
      <c r="B583" s="1631"/>
    </row>
    <row r="584" spans="2:2" s="1623" customFormat="1" x14ac:dyDescent="0.2">
      <c r="B584" s="1631"/>
    </row>
    <row r="585" spans="2:2" s="1623" customFormat="1" x14ac:dyDescent="0.2">
      <c r="B585" s="1631"/>
    </row>
    <row r="586" spans="2:2" s="1623" customFormat="1" x14ac:dyDescent="0.2">
      <c r="B586" s="1631"/>
    </row>
    <row r="587" spans="2:2" s="1623" customFormat="1" x14ac:dyDescent="0.2">
      <c r="B587" s="1631"/>
    </row>
    <row r="588" spans="2:2" s="1623" customFormat="1" x14ac:dyDescent="0.2">
      <c r="B588" s="1631"/>
    </row>
    <row r="589" spans="2:2" s="1623" customFormat="1" x14ac:dyDescent="0.2">
      <c r="B589" s="1631"/>
    </row>
    <row r="590" spans="2:2" s="1623" customFormat="1" x14ac:dyDescent="0.2">
      <c r="B590" s="1631"/>
    </row>
    <row r="591" spans="2:2" s="1623" customFormat="1" x14ac:dyDescent="0.2">
      <c r="B591" s="1631"/>
    </row>
    <row r="592" spans="2:2" s="1623" customFormat="1" x14ac:dyDescent="0.2">
      <c r="B592" s="1631"/>
    </row>
    <row r="593" spans="2:2" s="1623" customFormat="1" x14ac:dyDescent="0.2">
      <c r="B593" s="1631"/>
    </row>
    <row r="594" spans="2:2" s="1623" customFormat="1" x14ac:dyDescent="0.2">
      <c r="B594" s="1631"/>
    </row>
    <row r="595" spans="2:2" s="1623" customFormat="1" x14ac:dyDescent="0.2">
      <c r="B595" s="1631"/>
    </row>
    <row r="596" spans="2:2" s="1623" customFormat="1" x14ac:dyDescent="0.2">
      <c r="B596" s="1631"/>
    </row>
    <row r="597" spans="2:2" s="1623" customFormat="1" x14ac:dyDescent="0.2">
      <c r="B597" s="1631"/>
    </row>
    <row r="598" spans="2:2" s="1623" customFormat="1" x14ac:dyDescent="0.2">
      <c r="B598" s="1631"/>
    </row>
    <row r="599" spans="2:2" s="1623" customFormat="1" x14ac:dyDescent="0.2">
      <c r="B599" s="1631"/>
    </row>
    <row r="600" spans="2:2" s="1623" customFormat="1" x14ac:dyDescent="0.2">
      <c r="B600" s="1631"/>
    </row>
    <row r="601" spans="2:2" s="1623" customFormat="1" x14ac:dyDescent="0.2">
      <c r="B601" s="1631"/>
    </row>
    <row r="602" spans="2:2" s="1623" customFormat="1" x14ac:dyDescent="0.2">
      <c r="B602" s="1631"/>
    </row>
    <row r="603" spans="2:2" s="1623" customFormat="1" x14ac:dyDescent="0.2">
      <c r="B603" s="1631"/>
    </row>
    <row r="604" spans="2:2" s="1623" customFormat="1" x14ac:dyDescent="0.2">
      <c r="B604" s="1631"/>
    </row>
    <row r="605" spans="2:2" s="1623" customFormat="1" x14ac:dyDescent="0.2">
      <c r="B605" s="1631"/>
    </row>
    <row r="606" spans="2:2" s="1623" customFormat="1" x14ac:dyDescent="0.2">
      <c r="B606" s="1631"/>
    </row>
    <row r="607" spans="2:2" s="1623" customFormat="1" x14ac:dyDescent="0.2">
      <c r="B607" s="1631"/>
    </row>
    <row r="608" spans="2:2" s="1623" customFormat="1" x14ac:dyDescent="0.2">
      <c r="B608" s="1631"/>
    </row>
    <row r="609" spans="2:2" s="1623" customFormat="1" x14ac:dyDescent="0.2">
      <c r="B609" s="1631"/>
    </row>
    <row r="610" spans="2:2" s="1623" customFormat="1" x14ac:dyDescent="0.2">
      <c r="B610" s="1631"/>
    </row>
    <row r="611" spans="2:2" s="1623" customFormat="1" x14ac:dyDescent="0.2">
      <c r="B611" s="1631"/>
    </row>
    <row r="612" spans="2:2" s="1623" customFormat="1" x14ac:dyDescent="0.2">
      <c r="B612" s="1631"/>
    </row>
    <row r="613" spans="2:2" s="1623" customFormat="1" x14ac:dyDescent="0.2">
      <c r="B613" s="1631"/>
    </row>
    <row r="614" spans="2:2" s="1623" customFormat="1" x14ac:dyDescent="0.2">
      <c r="B614" s="1631"/>
    </row>
    <row r="615" spans="2:2" s="1623" customFormat="1" x14ac:dyDescent="0.2">
      <c r="B615" s="1631"/>
    </row>
    <row r="616" spans="2:2" s="1623" customFormat="1" x14ac:dyDescent="0.2">
      <c r="B616" s="1631"/>
    </row>
    <row r="617" spans="2:2" s="1623" customFormat="1" x14ac:dyDescent="0.2">
      <c r="B617" s="1631"/>
    </row>
    <row r="618" spans="2:2" s="1623" customFormat="1" x14ac:dyDescent="0.2">
      <c r="B618" s="1631"/>
    </row>
    <row r="619" spans="2:2" s="1623" customFormat="1" x14ac:dyDescent="0.2">
      <c r="B619" s="1631"/>
    </row>
    <row r="620" spans="2:2" s="1623" customFormat="1" x14ac:dyDescent="0.2">
      <c r="B620" s="1631"/>
    </row>
    <row r="621" spans="2:2" s="1623" customFormat="1" x14ac:dyDescent="0.2">
      <c r="B621" s="1631"/>
    </row>
    <row r="622" spans="2:2" s="1623" customFormat="1" x14ac:dyDescent="0.2">
      <c r="B622" s="1631"/>
    </row>
    <row r="623" spans="2:2" s="1623" customFormat="1" x14ac:dyDescent="0.2">
      <c r="B623" s="1631"/>
    </row>
    <row r="624" spans="2:2" s="1623" customFormat="1" x14ac:dyDescent="0.2">
      <c r="B624" s="1631"/>
    </row>
    <row r="625" spans="2:2" s="1623" customFormat="1" x14ac:dyDescent="0.2">
      <c r="B625" s="1631"/>
    </row>
    <row r="626" spans="2:2" s="1623" customFormat="1" x14ac:dyDescent="0.2">
      <c r="B626" s="1631"/>
    </row>
    <row r="627" spans="2:2" s="1623" customFormat="1" x14ac:dyDescent="0.2">
      <c r="B627" s="1631"/>
    </row>
    <row r="628" spans="2:2" s="1623" customFormat="1" x14ac:dyDescent="0.2">
      <c r="B628" s="1631"/>
    </row>
    <row r="629" spans="2:2" s="1623" customFormat="1" x14ac:dyDescent="0.2">
      <c r="B629" s="1631"/>
    </row>
    <row r="630" spans="2:2" s="1623" customFormat="1" x14ac:dyDescent="0.2">
      <c r="B630" s="1631"/>
    </row>
    <row r="631" spans="2:2" s="1623" customFormat="1" x14ac:dyDescent="0.2">
      <c r="B631" s="1631"/>
    </row>
    <row r="632" spans="2:2" s="1623" customFormat="1" x14ac:dyDescent="0.2">
      <c r="B632" s="1631"/>
    </row>
    <row r="633" spans="2:2" s="1623" customFormat="1" x14ac:dyDescent="0.2">
      <c r="B633" s="1631"/>
    </row>
    <row r="634" spans="2:2" s="1623" customFormat="1" x14ac:dyDescent="0.2">
      <c r="B634" s="1631"/>
    </row>
    <row r="635" spans="2:2" s="1623" customFormat="1" x14ac:dyDescent="0.2">
      <c r="B635" s="1631"/>
    </row>
    <row r="636" spans="2:2" s="1623" customFormat="1" x14ac:dyDescent="0.2">
      <c r="B636" s="1631"/>
    </row>
    <row r="637" spans="2:2" s="1623" customFormat="1" x14ac:dyDescent="0.2">
      <c r="B637" s="1631"/>
    </row>
    <row r="638" spans="2:2" s="1623" customFormat="1" x14ac:dyDescent="0.2">
      <c r="B638" s="1631"/>
    </row>
    <row r="639" spans="2:2" s="1623" customFormat="1" x14ac:dyDescent="0.2">
      <c r="B639" s="1631"/>
    </row>
    <row r="640" spans="2:2" s="1623" customFormat="1" x14ac:dyDescent="0.2">
      <c r="B640" s="1631"/>
    </row>
    <row r="641" spans="2:2" s="1623" customFormat="1" x14ac:dyDescent="0.2">
      <c r="B641" s="1631"/>
    </row>
    <row r="642" spans="2:2" s="1623" customFormat="1" x14ac:dyDescent="0.2">
      <c r="B642" s="1631"/>
    </row>
    <row r="643" spans="2:2" s="1623" customFormat="1" x14ac:dyDescent="0.2">
      <c r="B643" s="1631"/>
    </row>
    <row r="644" spans="2:2" s="1623" customFormat="1" x14ac:dyDescent="0.2">
      <c r="B644" s="1631"/>
    </row>
    <row r="645" spans="2:2" s="1623" customFormat="1" x14ac:dyDescent="0.2">
      <c r="B645" s="1631"/>
    </row>
    <row r="646" spans="2:2" s="1623" customFormat="1" x14ac:dyDescent="0.2">
      <c r="B646" s="1631"/>
    </row>
    <row r="647" spans="2:2" s="1623" customFormat="1" x14ac:dyDescent="0.2">
      <c r="B647" s="1631"/>
    </row>
    <row r="648" spans="2:2" s="1623" customFormat="1" x14ac:dyDescent="0.2">
      <c r="B648" s="1631"/>
    </row>
    <row r="649" spans="2:2" s="1623" customFormat="1" x14ac:dyDescent="0.2">
      <c r="B649" s="1631"/>
    </row>
    <row r="650" spans="2:2" s="1623" customFormat="1" x14ac:dyDescent="0.2">
      <c r="B650" s="1631"/>
    </row>
    <row r="651" spans="2:2" s="1623" customFormat="1" x14ac:dyDescent="0.2">
      <c r="B651" s="1631"/>
    </row>
    <row r="652" spans="2:2" s="1623" customFormat="1" x14ac:dyDescent="0.2">
      <c r="B652" s="1631"/>
    </row>
    <row r="653" spans="2:2" s="1623" customFormat="1" x14ac:dyDescent="0.2">
      <c r="B653" s="1631"/>
    </row>
    <row r="654" spans="2:2" s="1623" customFormat="1" x14ac:dyDescent="0.2">
      <c r="B654" s="1631"/>
    </row>
    <row r="655" spans="2:2" s="1623" customFormat="1" x14ac:dyDescent="0.2">
      <c r="B655" s="1631"/>
    </row>
    <row r="656" spans="2:2" s="1623" customFormat="1" x14ac:dyDescent="0.2">
      <c r="B656" s="1631"/>
    </row>
    <row r="657" spans="2:2" s="1623" customFormat="1" x14ac:dyDescent="0.2">
      <c r="B657" s="1631"/>
    </row>
    <row r="658" spans="2:2" s="1623" customFormat="1" x14ac:dyDescent="0.2">
      <c r="B658" s="1631"/>
    </row>
    <row r="659" spans="2:2" s="1623" customFormat="1" x14ac:dyDescent="0.2">
      <c r="B659" s="1631"/>
    </row>
    <row r="660" spans="2:2" s="1623" customFormat="1" x14ac:dyDescent="0.2">
      <c r="B660" s="1631"/>
    </row>
    <row r="661" spans="2:2" s="1623" customFormat="1" x14ac:dyDescent="0.2">
      <c r="B661" s="1631"/>
    </row>
    <row r="662" spans="2:2" s="1623" customFormat="1" x14ac:dyDescent="0.2">
      <c r="B662" s="1631"/>
    </row>
    <row r="663" spans="2:2" s="1623" customFormat="1" x14ac:dyDescent="0.2">
      <c r="B663" s="1631"/>
    </row>
    <row r="664" spans="2:2" s="1623" customFormat="1" x14ac:dyDescent="0.2">
      <c r="B664" s="1631"/>
    </row>
    <row r="665" spans="2:2" s="1623" customFormat="1" x14ac:dyDescent="0.2">
      <c r="B665" s="1631"/>
    </row>
    <row r="666" spans="2:2" s="1623" customFormat="1" x14ac:dyDescent="0.2">
      <c r="B666" s="1631"/>
    </row>
    <row r="667" spans="2:2" s="1623" customFormat="1" x14ac:dyDescent="0.2">
      <c r="B667" s="1631"/>
    </row>
    <row r="668" spans="2:2" s="1623" customFormat="1" x14ac:dyDescent="0.2">
      <c r="B668" s="1631"/>
    </row>
    <row r="669" spans="2:2" s="1623" customFormat="1" x14ac:dyDescent="0.2">
      <c r="B669" s="1631"/>
    </row>
    <row r="670" spans="2:2" s="1623" customFormat="1" x14ac:dyDescent="0.2">
      <c r="B670" s="1631"/>
    </row>
    <row r="671" spans="2:2" s="1623" customFormat="1" x14ac:dyDescent="0.2">
      <c r="B671" s="1631"/>
    </row>
    <row r="672" spans="2:2" s="1623" customFormat="1" x14ac:dyDescent="0.2">
      <c r="B672" s="1631"/>
    </row>
    <row r="673" spans="2:2" s="1623" customFormat="1" x14ac:dyDescent="0.2">
      <c r="B673" s="1631"/>
    </row>
    <row r="674" spans="2:2" s="1623" customFormat="1" x14ac:dyDescent="0.2">
      <c r="B674" s="1631"/>
    </row>
    <row r="675" spans="2:2" s="1623" customFormat="1" x14ac:dyDescent="0.2">
      <c r="B675" s="1631"/>
    </row>
    <row r="676" spans="2:2" s="1623" customFormat="1" x14ac:dyDescent="0.2">
      <c r="B676" s="1631"/>
    </row>
    <row r="677" spans="2:2" s="1623" customFormat="1" x14ac:dyDescent="0.2">
      <c r="B677" s="1631"/>
    </row>
    <row r="678" spans="2:2" s="1623" customFormat="1" x14ac:dyDescent="0.2">
      <c r="B678" s="1631"/>
    </row>
    <row r="679" spans="2:2" s="1623" customFormat="1" x14ac:dyDescent="0.2">
      <c r="B679" s="1631"/>
    </row>
    <row r="680" spans="2:2" s="1623" customFormat="1" x14ac:dyDescent="0.2">
      <c r="B680" s="1631"/>
    </row>
    <row r="681" spans="2:2" s="1623" customFormat="1" x14ac:dyDescent="0.2">
      <c r="B681" s="1631"/>
    </row>
    <row r="682" spans="2:2" s="1623" customFormat="1" x14ac:dyDescent="0.2">
      <c r="B682" s="1631"/>
    </row>
    <row r="683" spans="2:2" s="1623" customFormat="1" x14ac:dyDescent="0.2">
      <c r="B683" s="1631"/>
    </row>
    <row r="684" spans="2:2" s="1623" customFormat="1" x14ac:dyDescent="0.2">
      <c r="B684" s="1631"/>
    </row>
    <row r="685" spans="2:2" s="1623" customFormat="1" x14ac:dyDescent="0.2">
      <c r="B685" s="1631"/>
    </row>
    <row r="686" spans="2:2" s="1623" customFormat="1" x14ac:dyDescent="0.2">
      <c r="B686" s="1631"/>
    </row>
    <row r="687" spans="2:2" s="1623" customFormat="1" x14ac:dyDescent="0.2">
      <c r="B687" s="1631"/>
    </row>
    <row r="688" spans="2:2" s="1623" customFormat="1" x14ac:dyDescent="0.2">
      <c r="B688" s="1631"/>
    </row>
    <row r="689" spans="2:2" s="1623" customFormat="1" x14ac:dyDescent="0.2">
      <c r="B689" s="1631"/>
    </row>
    <row r="690" spans="2:2" s="1623" customFormat="1" x14ac:dyDescent="0.2">
      <c r="B690" s="1631"/>
    </row>
    <row r="691" spans="2:2" s="1623" customFormat="1" x14ac:dyDescent="0.2">
      <c r="B691" s="1631"/>
    </row>
    <row r="692" spans="2:2" s="1623" customFormat="1" x14ac:dyDescent="0.2">
      <c r="B692" s="1631"/>
    </row>
    <row r="693" spans="2:2" s="1623" customFormat="1" x14ac:dyDescent="0.2">
      <c r="B693" s="1631"/>
    </row>
    <row r="694" spans="2:2" s="1623" customFormat="1" x14ac:dyDescent="0.2">
      <c r="B694" s="1631"/>
    </row>
    <row r="695" spans="2:2" s="1623" customFormat="1" x14ac:dyDescent="0.2">
      <c r="B695" s="1631"/>
    </row>
    <row r="696" spans="2:2" s="1623" customFormat="1" x14ac:dyDescent="0.2">
      <c r="B696" s="1631"/>
    </row>
    <row r="697" spans="2:2" s="1623" customFormat="1" x14ac:dyDescent="0.2">
      <c r="B697" s="1631"/>
    </row>
    <row r="698" spans="2:2" s="1623" customFormat="1" x14ac:dyDescent="0.2">
      <c r="B698" s="1631"/>
    </row>
    <row r="699" spans="2:2" s="1623" customFormat="1" x14ac:dyDescent="0.2">
      <c r="B699" s="1631"/>
    </row>
    <row r="700" spans="2:2" s="1623" customFormat="1" x14ac:dyDescent="0.2">
      <c r="B700" s="1631"/>
    </row>
    <row r="701" spans="2:2" s="1623" customFormat="1" x14ac:dyDescent="0.2">
      <c r="B701" s="1631"/>
    </row>
    <row r="702" spans="2:2" s="1623" customFormat="1" x14ac:dyDescent="0.2">
      <c r="B702" s="1631"/>
    </row>
    <row r="703" spans="2:2" s="1623" customFormat="1" x14ac:dyDescent="0.2">
      <c r="B703" s="1631"/>
    </row>
    <row r="704" spans="2:2" s="1623" customFormat="1" x14ac:dyDescent="0.2">
      <c r="B704" s="1631"/>
    </row>
    <row r="705" spans="2:2" s="1623" customFormat="1" x14ac:dyDescent="0.2">
      <c r="B705" s="1631"/>
    </row>
    <row r="706" spans="2:2" s="1623" customFormat="1" x14ac:dyDescent="0.2">
      <c r="B706" s="1631"/>
    </row>
  </sheetData>
  <sheetProtection password="D0E7" sheet="1" objects="1" scenarios="1"/>
  <pageMargins left="0.7" right="0.7" top="0.75" bottom="0.75" header="0.3" footer="0.3"/>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
    <tabColor rgb="FF92D050"/>
  </sheetPr>
  <dimension ref="A2:O67"/>
  <sheetViews>
    <sheetView showGridLines="0" topLeftCell="D34" zoomScale="90" zoomScaleNormal="90" zoomScaleSheetLayoutView="100" zoomScalePageLayoutView="70" workbookViewId="0">
      <selection activeCell="O42" sqref="O42"/>
    </sheetView>
  </sheetViews>
  <sheetFormatPr baseColWidth="10" defaultColWidth="12" defaultRowHeight="12.75" x14ac:dyDescent="0.2"/>
  <cols>
    <col min="1" max="1" width="4.5" style="4" customWidth="1"/>
    <col min="2" max="2" width="5" style="4" customWidth="1"/>
    <col min="3" max="3" width="18.1640625" style="4" bestFit="1" customWidth="1"/>
    <col min="4" max="4" width="11.1640625" style="4" customWidth="1"/>
    <col min="5" max="5" width="18.6640625" style="4" bestFit="1" customWidth="1"/>
    <col min="6" max="6" width="10.6640625" style="4" bestFit="1" customWidth="1"/>
    <col min="7" max="7" width="19.83203125" style="4" customWidth="1"/>
    <col min="8" max="8" width="26.33203125" style="4" customWidth="1"/>
    <col min="9" max="9" width="16.5" style="4" customWidth="1"/>
    <col min="10" max="11" width="12" style="4"/>
    <col min="12" max="12" width="17.1640625" style="4" customWidth="1"/>
    <col min="13" max="16384" width="12" style="4"/>
  </cols>
  <sheetData>
    <row r="2" spans="1:15" s="85" customFormat="1" ht="17.25" customHeight="1" thickBot="1" x14ac:dyDescent="0.25">
      <c r="A2" s="2173" t="str">
        <f>'TRAD-Available Stocks'!B2</f>
        <v>Etape N° 4: Stock Disponible</v>
      </c>
      <c r="B2" s="2173"/>
      <c r="C2" s="2173"/>
      <c r="D2" s="2173"/>
      <c r="E2" s="2173"/>
      <c r="F2" s="2173"/>
      <c r="G2" s="2173"/>
      <c r="H2" s="2173"/>
      <c r="I2" s="2173"/>
      <c r="J2" s="2173"/>
      <c r="K2" s="2173"/>
      <c r="L2" s="2173"/>
      <c r="M2" s="2173"/>
      <c r="N2" s="2173"/>
    </row>
    <row r="3" spans="1:15" s="85" customFormat="1" x14ac:dyDescent="0.2"/>
    <row r="4" spans="1:15" s="85" customFormat="1" ht="14.25" x14ac:dyDescent="0.2">
      <c r="B4" s="86" t="str">
        <f>'TRAD-Available Stocks'!B3</f>
        <v>Remplir le formulaire par le stock disponible  actuellement et vérifier la quantité (en ml) des sirops et des suspensions orales</v>
      </c>
      <c r="C4" s="86"/>
      <c r="D4" s="86"/>
      <c r="E4" s="86"/>
      <c r="F4" s="86"/>
      <c r="G4" s="86"/>
      <c r="H4" s="86"/>
      <c r="I4" s="86"/>
      <c r="J4" s="86"/>
      <c r="K4" s="86"/>
      <c r="L4" s="86"/>
      <c r="M4" s="86"/>
    </row>
    <row r="5" spans="1:15" s="85" customFormat="1" x14ac:dyDescent="0.2"/>
    <row r="6" spans="1:15" s="87" customFormat="1" x14ac:dyDescent="0.2">
      <c r="C6" s="182" t="str">
        <f>'TRAD-Available Stocks'!B4</f>
        <v>Commentaire</v>
      </c>
      <c r="D6" s="183"/>
      <c r="E6" s="183"/>
      <c r="F6" s="183"/>
      <c r="G6" s="183"/>
      <c r="H6" s="183"/>
      <c r="I6" s="183"/>
      <c r="J6" s="183"/>
    </row>
    <row r="7" spans="1:15" s="87" customFormat="1" x14ac:dyDescent="0.2">
      <c r="C7" s="88"/>
      <c r="D7" s="2174" t="str">
        <f>'TRAD-Available Stocks'!B6</f>
        <v>Vous devez tenir compte seulement des produits qui n'expirent pas dans les mois prochains</v>
      </c>
      <c r="E7" s="2174"/>
      <c r="F7" s="2174"/>
      <c r="G7" s="2174"/>
      <c r="H7" s="2174"/>
      <c r="I7" s="2174"/>
      <c r="J7" s="2174"/>
      <c r="K7" s="2174"/>
      <c r="L7" s="2174"/>
      <c r="M7" s="2174"/>
      <c r="N7" s="2174"/>
      <c r="O7" s="956"/>
    </row>
    <row r="8" spans="1:15" s="87" customFormat="1" x14ac:dyDescent="0.2">
      <c r="C8" s="88"/>
      <c r="D8" s="2174" t="str">
        <f>'TRAD-Available Stocks'!B6</f>
        <v>Vous devez tenir compte seulement des produits qui n'expirent pas dans les mois prochains</v>
      </c>
      <c r="E8" s="2174"/>
      <c r="F8" s="2174"/>
      <c r="G8" s="2174"/>
      <c r="H8" s="2174"/>
      <c r="I8" s="2174"/>
      <c r="J8" s="2174"/>
      <c r="K8" s="2174"/>
      <c r="L8" s="2174"/>
      <c r="M8" s="2174"/>
      <c r="N8" s="2174"/>
    </row>
    <row r="9" spans="1:15" s="87" customFormat="1" x14ac:dyDescent="0.2">
      <c r="C9" s="88"/>
      <c r="E9" s="89"/>
      <c r="F9" s="89"/>
      <c r="G9" s="89"/>
      <c r="H9" s="89"/>
      <c r="I9" s="89"/>
      <c r="J9" s="89"/>
      <c r="K9" s="89"/>
      <c r="L9" s="89"/>
      <c r="M9" s="89"/>
      <c r="N9" s="89"/>
    </row>
    <row r="10" spans="1:15" s="227" customFormat="1" x14ac:dyDescent="0.2">
      <c r="C10" s="228"/>
      <c r="D10" s="229" t="str">
        <f>'TRAD-Available Stocks'!B7</f>
        <v>Attention, c'est le stock disponible au début de la période  qui sera quantifié</v>
      </c>
      <c r="E10" s="230"/>
      <c r="F10" s="230"/>
      <c r="G10" s="230"/>
      <c r="H10" s="230"/>
      <c r="I10" s="230"/>
      <c r="J10" s="230"/>
      <c r="K10" s="230"/>
      <c r="L10" s="230"/>
      <c r="M10" s="230"/>
      <c r="N10" s="230"/>
    </row>
    <row r="11" spans="1:15" s="85" customFormat="1" ht="13.5" thickBot="1" x14ac:dyDescent="0.25">
      <c r="D11" s="957"/>
    </row>
    <row r="12" spans="1:15" s="85" customFormat="1" ht="64.5" thickBot="1" x14ac:dyDescent="0.25">
      <c r="C12" s="90"/>
      <c r="D12" s="91"/>
      <c r="E12" s="92" t="str">
        <f>'TRAD-Available Stocks'!B8</f>
        <v>produits</v>
      </c>
      <c r="F12" s="93" t="str">
        <f>'TRAD-Available Stocks'!B9</f>
        <v>Forme galénique</v>
      </c>
      <c r="G12" s="93" t="str">
        <f>'TRAD-Available Stocks'!B10</f>
        <v>Dosage</v>
      </c>
      <c r="H12" s="93" t="str">
        <f>'TRAD-Available Stocks'!B11</f>
        <v>Dénomination Commune Internationale (DCI)</v>
      </c>
      <c r="I12" s="93" t="str">
        <f>'TRAD-Available Stocks'!B12</f>
        <v>Nom de Spécialité</v>
      </c>
      <c r="J12" s="93" t="str">
        <f>'TRAD-Available Stocks'!B13</f>
        <v>Nom du Générique</v>
      </c>
      <c r="K12" s="93" t="str">
        <f>'TRAD-Available Stocks'!B14</f>
        <v>Unité de mesure</v>
      </c>
      <c r="L12" s="94"/>
      <c r="M12" s="95" t="str">
        <f>'TRAD-Available Stocks'!B15</f>
        <v>Quantité physique en stock (nombre de paquets)</v>
      </c>
    </row>
    <row r="13" spans="1:15" s="85" customFormat="1" ht="26.25" thickBot="1" x14ac:dyDescent="0.25">
      <c r="C13" s="96" t="str">
        <f>'TRAD-Available Stocks'!B17</f>
        <v>Comprimés</v>
      </c>
      <c r="D13" s="97" t="str">
        <f>'TRAD-Available Stocks'!B25</f>
        <v>CDF</v>
      </c>
      <c r="E13" s="98" t="s">
        <v>7</v>
      </c>
      <c r="F13" s="99" t="str">
        <f>'TRAD-Available Stocks'!B31</f>
        <v>Cp</v>
      </c>
      <c r="G13" s="99" t="s">
        <v>9</v>
      </c>
      <c r="H13" s="1261" t="s">
        <v>699</v>
      </c>
      <c r="I13" s="100"/>
      <c r="J13" s="101" t="s">
        <v>10</v>
      </c>
      <c r="K13" s="1367">
        <v>60</v>
      </c>
      <c r="L13" s="102"/>
      <c r="M13" s="103">
        <f>24883+53438</f>
        <v>78321</v>
      </c>
    </row>
    <row r="14" spans="1:15" s="85" customFormat="1" ht="51.75" thickBot="1" x14ac:dyDescent="0.25">
      <c r="C14" s="104"/>
      <c r="D14" s="105"/>
      <c r="E14" s="106" t="s">
        <v>7</v>
      </c>
      <c r="F14" s="107" t="str">
        <f>'TRAD-Available Stocks'!B31</f>
        <v>Cp</v>
      </c>
      <c r="G14" s="107" t="s">
        <v>384</v>
      </c>
      <c r="H14" s="1262" t="s">
        <v>699</v>
      </c>
      <c r="I14" s="108"/>
      <c r="J14" s="109" t="s">
        <v>385</v>
      </c>
      <c r="K14" s="1368">
        <v>60</v>
      </c>
      <c r="L14" s="110"/>
      <c r="M14" s="103">
        <f>12770+6176</f>
        <v>18946</v>
      </c>
    </row>
    <row r="15" spans="1:15" s="85" customFormat="1" ht="26.25" thickBot="1" x14ac:dyDescent="0.25">
      <c r="C15" s="104"/>
      <c r="D15" s="105"/>
      <c r="E15" s="106" t="s">
        <v>140</v>
      </c>
      <c r="F15" s="107" t="str">
        <f>'TRAD-Available Stocks'!B31</f>
        <v>Cp</v>
      </c>
      <c r="G15" s="107" t="s">
        <v>334</v>
      </c>
      <c r="H15" s="1263" t="s">
        <v>700</v>
      </c>
      <c r="I15" s="108" t="s">
        <v>396</v>
      </c>
      <c r="J15" s="109"/>
      <c r="K15" s="1368">
        <v>60</v>
      </c>
      <c r="L15" s="110"/>
      <c r="M15" s="103">
        <f>3309</f>
        <v>3309</v>
      </c>
    </row>
    <row r="16" spans="1:15" s="85" customFormat="1" ht="26.25" thickBot="1" x14ac:dyDescent="0.25">
      <c r="C16" s="104"/>
      <c r="D16" s="105"/>
      <c r="E16" s="106" t="s">
        <v>140</v>
      </c>
      <c r="F16" s="107" t="str">
        <f>'TRAD-Available Stocks'!B31</f>
        <v>Cp</v>
      </c>
      <c r="G16" s="107" t="s">
        <v>636</v>
      </c>
      <c r="H16" s="1263" t="s">
        <v>701</v>
      </c>
      <c r="I16" s="108"/>
      <c r="J16" s="109"/>
      <c r="K16" s="1368">
        <v>60</v>
      </c>
      <c r="L16" s="110"/>
      <c r="M16" s="103">
        <f>284</f>
        <v>284</v>
      </c>
    </row>
    <row r="17" spans="3:13" s="85" customFormat="1" ht="26.25" thickBot="1" x14ac:dyDescent="0.25">
      <c r="C17" s="104"/>
      <c r="D17" s="105"/>
      <c r="E17" s="106" t="s">
        <v>731</v>
      </c>
      <c r="F17" s="107" t="str">
        <f>'TRAD-Available Stocks'!B32</f>
        <v>Cp/coblister</v>
      </c>
      <c r="G17" s="107" t="s">
        <v>734</v>
      </c>
      <c r="H17" s="1263" t="s">
        <v>738</v>
      </c>
      <c r="I17" s="108"/>
      <c r="J17" s="109"/>
      <c r="K17" s="1368">
        <v>60</v>
      </c>
      <c r="L17" s="110"/>
      <c r="M17" s="103">
        <v>0</v>
      </c>
    </row>
    <row r="18" spans="3:13" s="85" customFormat="1" ht="51.75" thickBot="1" x14ac:dyDescent="0.25">
      <c r="C18" s="104"/>
      <c r="D18" s="105"/>
      <c r="E18" s="106" t="s">
        <v>11</v>
      </c>
      <c r="F18" s="107" t="str">
        <f>'TRAD-Available Stocks'!B31</f>
        <v>Cp</v>
      </c>
      <c r="G18" s="107" t="s">
        <v>12</v>
      </c>
      <c r="H18" s="1263" t="s">
        <v>702</v>
      </c>
      <c r="I18" s="108" t="s">
        <v>13</v>
      </c>
      <c r="J18" s="109" t="s">
        <v>14</v>
      </c>
      <c r="K18" s="1368">
        <v>60</v>
      </c>
      <c r="L18" s="110"/>
      <c r="M18" s="103">
        <v>11750</v>
      </c>
    </row>
    <row r="19" spans="3:13" s="85" customFormat="1" ht="51.75" thickBot="1" x14ac:dyDescent="0.25">
      <c r="C19" s="104"/>
      <c r="D19" s="105"/>
      <c r="E19" s="106" t="s">
        <v>11</v>
      </c>
      <c r="F19" s="107" t="str">
        <f>'TRAD-Available Stocks'!B31</f>
        <v>Cp</v>
      </c>
      <c r="G19" s="107" t="s">
        <v>382</v>
      </c>
      <c r="H19" s="1262" t="s">
        <v>702</v>
      </c>
      <c r="I19" s="108"/>
      <c r="J19" s="109" t="s">
        <v>383</v>
      </c>
      <c r="K19" s="1368">
        <v>60</v>
      </c>
      <c r="L19" s="110"/>
      <c r="M19" s="103">
        <f>243+984</f>
        <v>1227</v>
      </c>
    </row>
    <row r="20" spans="3:13" s="85" customFormat="1" ht="13.5" thickBot="1" x14ac:dyDescent="0.25">
      <c r="C20" s="104"/>
      <c r="D20" s="105"/>
      <c r="E20" s="106" t="s">
        <v>640</v>
      </c>
      <c r="F20" s="107" t="str">
        <f>'TRAD-Available Stocks'!B31</f>
        <v>Cp</v>
      </c>
      <c r="G20" s="107" t="s">
        <v>641</v>
      </c>
      <c r="H20" s="1262" t="s">
        <v>703</v>
      </c>
      <c r="I20" s="108" t="s">
        <v>642</v>
      </c>
      <c r="J20" s="109"/>
      <c r="K20" s="1368">
        <v>30</v>
      </c>
      <c r="L20" s="110"/>
      <c r="M20" s="103">
        <v>298</v>
      </c>
    </row>
    <row r="21" spans="3:13" s="85" customFormat="1" ht="13.5" thickBot="1" x14ac:dyDescent="0.25">
      <c r="C21" s="104"/>
      <c r="D21" s="105"/>
      <c r="E21" s="106" t="s">
        <v>640</v>
      </c>
      <c r="F21" s="107" t="str">
        <f>'TRAD-Available Stocks'!B31</f>
        <v>Cp</v>
      </c>
      <c r="G21" s="107" t="s">
        <v>643</v>
      </c>
      <c r="H21" s="1262" t="s">
        <v>703</v>
      </c>
      <c r="I21" s="108"/>
      <c r="J21" s="109"/>
      <c r="K21" s="1368">
        <v>60</v>
      </c>
      <c r="L21" s="110"/>
      <c r="M21" s="103">
        <v>1198</v>
      </c>
    </row>
    <row r="22" spans="3:13" s="85" customFormat="1" ht="26.25" thickBot="1" x14ac:dyDescent="0.25">
      <c r="C22" s="104"/>
      <c r="D22" s="105"/>
      <c r="E22" s="111" t="s">
        <v>50</v>
      </c>
      <c r="F22" s="112" t="str">
        <f>'TRAD-Available Stocks'!B31</f>
        <v>Cp</v>
      </c>
      <c r="G22" s="112" t="s">
        <v>80</v>
      </c>
      <c r="H22" s="1264" t="s">
        <v>704</v>
      </c>
      <c r="I22" s="113"/>
      <c r="J22" s="114" t="s">
        <v>79</v>
      </c>
      <c r="K22" s="1369">
        <v>60</v>
      </c>
      <c r="L22" s="115"/>
      <c r="M22" s="103">
        <v>0</v>
      </c>
    </row>
    <row r="23" spans="3:13" s="85" customFormat="1" ht="26.25" thickBot="1" x14ac:dyDescent="0.25">
      <c r="C23" s="104"/>
      <c r="D23" s="105"/>
      <c r="E23" s="111" t="s">
        <v>50</v>
      </c>
      <c r="F23" s="112" t="str">
        <f>'TRAD-Available Stocks'!B31</f>
        <v>Cp</v>
      </c>
      <c r="G23" s="112" t="s">
        <v>131</v>
      </c>
      <c r="H23" s="1264" t="s">
        <v>704</v>
      </c>
      <c r="I23" s="114"/>
      <c r="J23" s="114" t="s">
        <v>132</v>
      </c>
      <c r="K23" s="1369">
        <v>60</v>
      </c>
      <c r="L23" s="115"/>
      <c r="M23" s="103">
        <v>0</v>
      </c>
    </row>
    <row r="24" spans="3:13" s="85" customFormat="1" ht="26.25" thickBot="1" x14ac:dyDescent="0.25">
      <c r="C24" s="104"/>
      <c r="D24" s="105"/>
      <c r="E24" s="111" t="s">
        <v>81</v>
      </c>
      <c r="F24" s="112" t="str">
        <f>'TRAD-Available Stocks'!B31</f>
        <v>Cp</v>
      </c>
      <c r="G24" s="112" t="s">
        <v>83</v>
      </c>
      <c r="H24" s="1263" t="s">
        <v>705</v>
      </c>
      <c r="I24" s="109"/>
      <c r="J24" s="114" t="s">
        <v>243</v>
      </c>
      <c r="K24" s="1369">
        <v>60</v>
      </c>
      <c r="L24" s="115"/>
      <c r="M24" s="103">
        <v>0</v>
      </c>
    </row>
    <row r="25" spans="3:13" s="85" customFormat="1" ht="13.5" thickBot="1" x14ac:dyDescent="0.25">
      <c r="C25" s="104"/>
      <c r="D25" s="105"/>
      <c r="E25" s="106" t="s">
        <v>81</v>
      </c>
      <c r="F25" s="107" t="str">
        <f>'TRAD-Available Stocks'!B31</f>
        <v>Cp</v>
      </c>
      <c r="G25" s="107" t="s">
        <v>733</v>
      </c>
      <c r="H25" s="1263" t="s">
        <v>705</v>
      </c>
      <c r="I25" s="109"/>
      <c r="J25" s="109"/>
      <c r="K25" s="1368">
        <v>60</v>
      </c>
      <c r="L25" s="110"/>
      <c r="M25" s="103">
        <v>0</v>
      </c>
    </row>
    <row r="26" spans="3:13" s="85" customFormat="1" ht="26.25" thickBot="1" x14ac:dyDescent="0.25">
      <c r="C26" s="104"/>
      <c r="D26" s="105"/>
      <c r="E26" s="106" t="s">
        <v>200</v>
      </c>
      <c r="F26" s="107" t="str">
        <f>'TRAD-Available Stocks'!B31</f>
        <v>Cp</v>
      </c>
      <c r="G26" s="107" t="s">
        <v>244</v>
      </c>
      <c r="H26" s="107" t="s">
        <v>706</v>
      </c>
      <c r="I26" s="108" t="s">
        <v>245</v>
      </c>
      <c r="J26" s="109"/>
      <c r="K26" s="1368">
        <v>30</v>
      </c>
      <c r="L26" s="110"/>
      <c r="M26" s="103">
        <v>0</v>
      </c>
    </row>
    <row r="27" spans="3:13" s="85" customFormat="1" ht="13.5" thickBot="1" x14ac:dyDescent="0.25">
      <c r="C27" s="104"/>
      <c r="D27" s="105"/>
      <c r="E27" s="106" t="s">
        <v>142</v>
      </c>
      <c r="F27" s="107" t="str">
        <f>'TRAD-Available Stocks'!B31</f>
        <v>Cp</v>
      </c>
      <c r="G27" s="107" t="s">
        <v>24</v>
      </c>
      <c r="H27" s="107" t="s">
        <v>707</v>
      </c>
      <c r="I27" s="108" t="s">
        <v>246</v>
      </c>
      <c r="J27" s="109"/>
      <c r="K27" s="1368">
        <v>30</v>
      </c>
      <c r="L27" s="110"/>
      <c r="M27" s="103">
        <v>0</v>
      </c>
    </row>
    <row r="28" spans="3:13" s="85" customFormat="1" ht="26.25" thickBot="1" x14ac:dyDescent="0.25">
      <c r="C28" s="104"/>
      <c r="D28" s="116"/>
      <c r="E28" s="106" t="s">
        <v>247</v>
      </c>
      <c r="F28" s="107" t="str">
        <f>'TRAD-Available Stocks'!B31</f>
        <v>Cp</v>
      </c>
      <c r="G28" s="107" t="s">
        <v>244</v>
      </c>
      <c r="H28" s="107" t="s">
        <v>708</v>
      </c>
      <c r="I28" s="108" t="s">
        <v>245</v>
      </c>
      <c r="J28" s="109"/>
      <c r="K28" s="1368">
        <v>30</v>
      </c>
      <c r="L28" s="110"/>
      <c r="M28" s="103">
        <v>8730</v>
      </c>
    </row>
    <row r="29" spans="3:13" s="85" customFormat="1" ht="13.5" thickBot="1" x14ac:dyDescent="0.25">
      <c r="C29" s="104"/>
      <c r="D29" s="117"/>
      <c r="E29" s="118" t="s">
        <v>234</v>
      </c>
      <c r="F29" s="119" t="str">
        <f>'TRAD-Available Stocks'!B31</f>
        <v>Cp</v>
      </c>
      <c r="G29" s="119" t="s">
        <v>24</v>
      </c>
      <c r="H29" s="1265" t="s">
        <v>709</v>
      </c>
      <c r="I29" s="120" t="s">
        <v>246</v>
      </c>
      <c r="J29" s="121"/>
      <c r="K29" s="1370">
        <v>30</v>
      </c>
      <c r="L29" s="122"/>
      <c r="M29" s="103">
        <v>7256</v>
      </c>
    </row>
    <row r="30" spans="3:13" s="85" customFormat="1" ht="26.25" thickBot="1" x14ac:dyDescent="0.25">
      <c r="C30" s="104"/>
      <c r="D30" s="105" t="str">
        <f>'TRAD-Available Stocks'!B26</f>
        <v>INTI</v>
      </c>
      <c r="E30" s="106" t="s">
        <v>17</v>
      </c>
      <c r="F30" s="107" t="str">
        <f>'TRAD-Available Stocks'!B33</f>
        <v>Gél</v>
      </c>
      <c r="G30" s="107" t="s">
        <v>248</v>
      </c>
      <c r="H30" s="107" t="s">
        <v>644</v>
      </c>
      <c r="I30" s="109" t="s">
        <v>249</v>
      </c>
      <c r="J30" s="109"/>
      <c r="K30" s="1368">
        <v>30</v>
      </c>
      <c r="L30" s="110"/>
      <c r="M30" s="103">
        <v>0</v>
      </c>
    </row>
    <row r="31" spans="3:13" s="85" customFormat="1" ht="26.25" thickBot="1" x14ac:dyDescent="0.25">
      <c r="C31" s="104"/>
      <c r="D31" s="105"/>
      <c r="E31" s="111" t="s">
        <v>17</v>
      </c>
      <c r="F31" s="112" t="str">
        <f>'TRAD-Available Stocks'!B33</f>
        <v>Gél</v>
      </c>
      <c r="G31" s="112" t="s">
        <v>20</v>
      </c>
      <c r="H31" s="107" t="s">
        <v>644</v>
      </c>
      <c r="I31" s="109" t="s">
        <v>249</v>
      </c>
      <c r="J31" s="114"/>
      <c r="K31" s="1369">
        <v>90</v>
      </c>
      <c r="L31" s="115"/>
      <c r="M31" s="103">
        <f>223+212</f>
        <v>435</v>
      </c>
    </row>
    <row r="32" spans="3:13" s="85" customFormat="1" ht="26.25" thickBot="1" x14ac:dyDescent="0.25">
      <c r="C32" s="104"/>
      <c r="D32" s="105"/>
      <c r="E32" s="123" t="s">
        <v>17</v>
      </c>
      <c r="F32" s="124" t="str">
        <f>'TRAD-Available Stocks'!B31</f>
        <v>Cp</v>
      </c>
      <c r="G32" s="124" t="s">
        <v>18</v>
      </c>
      <c r="H32" s="124" t="s">
        <v>644</v>
      </c>
      <c r="I32" s="109" t="s">
        <v>249</v>
      </c>
      <c r="J32" s="125"/>
      <c r="K32" s="1371">
        <v>30</v>
      </c>
      <c r="L32" s="126"/>
      <c r="M32" s="103">
        <v>3671</v>
      </c>
    </row>
    <row r="33" spans="3:13" s="85" customFormat="1" ht="13.5" thickBot="1" x14ac:dyDescent="0.25">
      <c r="C33" s="104"/>
      <c r="D33" s="1596"/>
      <c r="E33" s="1597" t="s">
        <v>19</v>
      </c>
      <c r="F33" s="1598" t="str">
        <f>'TRAD-Available Stocks'!B31</f>
        <v>Cp</v>
      </c>
      <c r="G33" s="1598" t="s">
        <v>20</v>
      </c>
      <c r="H33" s="1598" t="s">
        <v>684</v>
      </c>
      <c r="I33" s="1599" t="s">
        <v>21</v>
      </c>
      <c r="J33" s="1600"/>
      <c r="K33" s="1601">
        <v>60</v>
      </c>
      <c r="L33" s="1602"/>
      <c r="M33" s="1603">
        <v>600</v>
      </c>
    </row>
    <row r="34" spans="3:13" s="85" customFormat="1" ht="13.5" thickBot="1" x14ac:dyDescent="0.25">
      <c r="C34" s="104"/>
      <c r="D34" s="1587"/>
      <c r="E34" s="1588" t="s">
        <v>19</v>
      </c>
      <c r="F34" s="1589" t="str">
        <f>'TRAD-Available Stocks'!B31</f>
        <v>Cp</v>
      </c>
      <c r="G34" s="1589" t="s">
        <v>248</v>
      </c>
      <c r="H34" s="1590" t="s">
        <v>684</v>
      </c>
      <c r="I34" s="1591"/>
      <c r="J34" s="1592"/>
      <c r="K34" s="1593">
        <v>60</v>
      </c>
      <c r="L34" s="1594"/>
      <c r="M34" s="1595">
        <f>276</f>
        <v>276</v>
      </c>
    </row>
    <row r="35" spans="3:13" s="85" customFormat="1" ht="26.25" thickBot="1" x14ac:dyDescent="0.25">
      <c r="C35" s="104"/>
      <c r="D35" s="105" t="str">
        <f>'TRAD-Available Stocks'!B27</f>
        <v>INNTI</v>
      </c>
      <c r="E35" s="106" t="s">
        <v>25</v>
      </c>
      <c r="F35" s="107" t="str">
        <f>'TRAD-Available Stocks'!B31</f>
        <v>Cp</v>
      </c>
      <c r="G35" s="107" t="s">
        <v>23</v>
      </c>
      <c r="H35" s="107" t="s">
        <v>645</v>
      </c>
      <c r="I35" s="108" t="s">
        <v>26</v>
      </c>
      <c r="J35" s="109" t="s">
        <v>27</v>
      </c>
      <c r="K35" s="1368">
        <v>60</v>
      </c>
      <c r="L35" s="110"/>
      <c r="M35" s="103">
        <v>1027</v>
      </c>
    </row>
    <row r="36" spans="3:13" s="85" customFormat="1" ht="13.5" thickBot="1" x14ac:dyDescent="0.25">
      <c r="C36" s="104"/>
      <c r="D36" s="105"/>
      <c r="E36" s="106" t="s">
        <v>25</v>
      </c>
      <c r="F36" s="107" t="str">
        <f>'TRAD-Available Stocks'!B31</f>
        <v>Cp</v>
      </c>
      <c r="G36" s="107" t="s">
        <v>639</v>
      </c>
      <c r="H36" s="107" t="s">
        <v>645</v>
      </c>
      <c r="I36" s="108"/>
      <c r="J36" s="109"/>
      <c r="K36" s="1368">
        <v>60</v>
      </c>
      <c r="L36" s="110"/>
      <c r="M36" s="103">
        <v>194</v>
      </c>
    </row>
    <row r="37" spans="3:13" s="85" customFormat="1" ht="13.5" thickBot="1" x14ac:dyDescent="0.25">
      <c r="C37" s="104"/>
      <c r="D37" s="105"/>
      <c r="E37" s="106" t="s">
        <v>39</v>
      </c>
      <c r="F37" s="112" t="str">
        <f>'TRAD-Available Stocks'!B31</f>
        <v>Cp</v>
      </c>
      <c r="G37" s="112" t="s">
        <v>23</v>
      </c>
      <c r="H37" s="107" t="s">
        <v>646</v>
      </c>
      <c r="I37" s="108" t="s">
        <v>42</v>
      </c>
      <c r="J37" s="109"/>
      <c r="K37" s="1368">
        <v>60</v>
      </c>
      <c r="L37" s="110"/>
      <c r="M37" s="103">
        <v>1882</v>
      </c>
    </row>
    <row r="38" spans="3:13" s="85" customFormat="1" ht="13.5" thickBot="1" x14ac:dyDescent="0.25">
      <c r="C38" s="104"/>
      <c r="D38" s="105"/>
      <c r="E38" s="106" t="s">
        <v>39</v>
      </c>
      <c r="F38" s="112" t="str">
        <f>'TRAD-Available Stocks'!B31</f>
        <v>Cp</v>
      </c>
      <c r="G38" s="112" t="s">
        <v>639</v>
      </c>
      <c r="H38" s="107" t="s">
        <v>646</v>
      </c>
      <c r="I38" s="108"/>
      <c r="J38" s="109"/>
      <c r="K38" s="1368">
        <v>60</v>
      </c>
      <c r="L38" s="110"/>
      <c r="M38" s="103">
        <v>0</v>
      </c>
    </row>
    <row r="39" spans="3:13" s="85" customFormat="1" ht="13.5" thickBot="1" x14ac:dyDescent="0.25">
      <c r="C39" s="104"/>
      <c r="D39" s="105"/>
      <c r="E39" s="127" t="s">
        <v>61</v>
      </c>
      <c r="F39" s="129" t="str">
        <f>'TRAD-Available Stocks'!B31</f>
        <v>Cp</v>
      </c>
      <c r="G39" s="129" t="s">
        <v>250</v>
      </c>
      <c r="H39" s="128" t="s">
        <v>685</v>
      </c>
      <c r="I39" s="130" t="s">
        <v>133</v>
      </c>
      <c r="J39" s="131" t="s">
        <v>251</v>
      </c>
      <c r="K39" s="1368">
        <v>60</v>
      </c>
      <c r="L39" s="110"/>
      <c r="M39" s="103">
        <v>0</v>
      </c>
    </row>
    <row r="40" spans="3:13" s="85" customFormat="1" ht="13.5" thickBot="1" x14ac:dyDescent="0.25">
      <c r="C40" s="104"/>
      <c r="D40" s="105"/>
      <c r="E40" s="106" t="s">
        <v>15</v>
      </c>
      <c r="F40" s="112" t="str">
        <f>'TRAD-Available Stocks'!B31</f>
        <v>Cp</v>
      </c>
      <c r="G40" s="112" t="s">
        <v>16</v>
      </c>
      <c r="H40" s="107" t="s">
        <v>686</v>
      </c>
      <c r="I40" s="108" t="s">
        <v>252</v>
      </c>
      <c r="J40" s="109" t="s">
        <v>253</v>
      </c>
      <c r="K40" s="1368">
        <v>60</v>
      </c>
      <c r="L40" s="110"/>
      <c r="M40" s="103">
        <v>0</v>
      </c>
    </row>
    <row r="41" spans="3:13" s="85" customFormat="1" ht="13.5" thickBot="1" x14ac:dyDescent="0.25">
      <c r="C41" s="104"/>
      <c r="D41" s="105"/>
      <c r="E41" s="106" t="s">
        <v>351</v>
      </c>
      <c r="F41" s="112" t="str">
        <f>'TRAD-Available Stocks'!B31</f>
        <v>Cp</v>
      </c>
      <c r="G41" s="112" t="s">
        <v>20</v>
      </c>
      <c r="H41" s="107" t="s">
        <v>687</v>
      </c>
      <c r="I41" s="108" t="s">
        <v>368</v>
      </c>
      <c r="J41" s="109"/>
      <c r="K41" s="1368">
        <v>30</v>
      </c>
      <c r="L41" s="110"/>
      <c r="M41" s="103">
        <v>0</v>
      </c>
    </row>
    <row r="42" spans="3:13" s="85" customFormat="1" ht="51.75" thickBot="1" x14ac:dyDescent="0.25">
      <c r="C42" s="104"/>
      <c r="D42" s="105"/>
      <c r="E42" s="111" t="s">
        <v>28</v>
      </c>
      <c r="F42" s="112" t="str">
        <f>'TRAD-Available Stocks'!B33</f>
        <v>Gél</v>
      </c>
      <c r="G42" s="112" t="s">
        <v>29</v>
      </c>
      <c r="H42" s="112" t="s">
        <v>688</v>
      </c>
      <c r="I42" s="113" t="s">
        <v>30</v>
      </c>
      <c r="J42" s="114" t="s">
        <v>31</v>
      </c>
      <c r="K42" s="1369">
        <v>30</v>
      </c>
      <c r="L42" s="115"/>
      <c r="M42" s="103">
        <v>0</v>
      </c>
    </row>
    <row r="43" spans="3:13" s="85" customFormat="1" ht="51.75" thickBot="1" x14ac:dyDescent="0.25">
      <c r="C43" s="104"/>
      <c r="D43" s="105"/>
      <c r="E43" s="111" t="s">
        <v>28</v>
      </c>
      <c r="F43" s="124" t="str">
        <f>'TRAD-Available Stocks'!B33</f>
        <v>Gél</v>
      </c>
      <c r="G43" s="124" t="s">
        <v>32</v>
      </c>
      <c r="H43" s="124" t="s">
        <v>688</v>
      </c>
      <c r="I43" s="113" t="s">
        <v>30</v>
      </c>
      <c r="J43" s="114" t="s">
        <v>31</v>
      </c>
      <c r="K43" s="1371">
        <v>30</v>
      </c>
      <c r="L43" s="126"/>
      <c r="M43" s="103">
        <v>806</v>
      </c>
    </row>
    <row r="44" spans="3:13" s="85" customFormat="1" ht="13.5" thickBot="1" x14ac:dyDescent="0.25">
      <c r="C44" s="104"/>
      <c r="D44" s="117"/>
      <c r="E44" s="118" t="s">
        <v>22</v>
      </c>
      <c r="F44" s="119" t="str">
        <f>'TRAD-Available Stocks'!B31</f>
        <v>Cp</v>
      </c>
      <c r="G44" s="119" t="s">
        <v>23</v>
      </c>
      <c r="H44" s="119" t="s">
        <v>689</v>
      </c>
      <c r="I44" s="132" t="s">
        <v>254</v>
      </c>
      <c r="J44" s="121"/>
      <c r="K44" s="1370">
        <v>30</v>
      </c>
      <c r="L44" s="122"/>
      <c r="M44" s="103">
        <v>300</v>
      </c>
    </row>
    <row r="45" spans="3:13" s="85" customFormat="1" ht="13.5" thickBot="1" x14ac:dyDescent="0.25">
      <c r="C45" s="104"/>
      <c r="D45" s="105" t="str">
        <f>'TRAD-Available Stocks'!B28</f>
        <v>IP</v>
      </c>
      <c r="E45" s="106" t="s">
        <v>33</v>
      </c>
      <c r="F45" s="107" t="str">
        <f>'TRAD-Available Stocks'!B31</f>
        <v>Cp</v>
      </c>
      <c r="G45" s="107" t="s">
        <v>34</v>
      </c>
      <c r="H45" s="107" t="s">
        <v>690</v>
      </c>
      <c r="I45" s="108" t="s">
        <v>35</v>
      </c>
      <c r="J45" s="109" t="s">
        <v>36</v>
      </c>
      <c r="K45" s="1368">
        <v>120</v>
      </c>
      <c r="L45" s="110"/>
      <c r="M45" s="103">
        <v>10862</v>
      </c>
    </row>
    <row r="46" spans="3:13" s="85" customFormat="1" ht="13.5" thickBot="1" x14ac:dyDescent="0.25">
      <c r="C46" s="104"/>
      <c r="D46" s="105"/>
      <c r="E46" s="106" t="s">
        <v>33</v>
      </c>
      <c r="F46" s="107" t="str">
        <f>'TRAD-Available Stocks'!B31</f>
        <v>Cp</v>
      </c>
      <c r="G46" s="107" t="s">
        <v>637</v>
      </c>
      <c r="H46" s="107" t="s">
        <v>690</v>
      </c>
      <c r="I46" s="1266"/>
      <c r="J46" s="1267"/>
      <c r="K46" s="1372">
        <v>60</v>
      </c>
      <c r="L46" s="1268"/>
      <c r="M46" s="103">
        <v>100</v>
      </c>
    </row>
    <row r="47" spans="3:13" s="85" customFormat="1" ht="13.5" thickBot="1" x14ac:dyDescent="0.25">
      <c r="C47" s="104"/>
      <c r="D47" s="133"/>
      <c r="E47" s="123" t="s">
        <v>69</v>
      </c>
      <c r="F47" s="124" t="str">
        <f>'TRAD-Available Stocks'!B33</f>
        <v>Gél</v>
      </c>
      <c r="G47" s="124" t="s">
        <v>32</v>
      </c>
      <c r="H47" s="124" t="s">
        <v>691</v>
      </c>
      <c r="I47" s="134" t="s">
        <v>255</v>
      </c>
      <c r="J47" s="125"/>
      <c r="K47" s="1371">
        <v>180</v>
      </c>
      <c r="L47" s="126"/>
      <c r="M47" s="103">
        <v>0</v>
      </c>
    </row>
    <row r="48" spans="3:13" s="85" customFormat="1" ht="26.25" thickBot="1" x14ac:dyDescent="0.25">
      <c r="C48" s="104"/>
      <c r="D48" s="133"/>
      <c r="E48" s="111" t="s">
        <v>70</v>
      </c>
      <c r="F48" s="124" t="str">
        <f>'TRAD-Available Stocks'!B34</f>
        <v>Caps. Molle</v>
      </c>
      <c r="G48" s="124" t="s">
        <v>89</v>
      </c>
      <c r="H48" s="124" t="s">
        <v>692</v>
      </c>
      <c r="I48" s="113" t="s">
        <v>258</v>
      </c>
      <c r="J48" s="114"/>
      <c r="K48" s="1371">
        <v>84</v>
      </c>
      <c r="L48" s="126"/>
      <c r="M48" s="103">
        <v>0</v>
      </c>
    </row>
    <row r="49" spans="1:13" s="85" customFormat="1" ht="13.5" thickBot="1" x14ac:dyDescent="0.25">
      <c r="C49" s="104"/>
      <c r="D49" s="133"/>
      <c r="E49" s="111" t="s">
        <v>68</v>
      </c>
      <c r="F49" s="124" t="str">
        <f>'TRAD-Available Stocks'!B31</f>
        <v>Cp</v>
      </c>
      <c r="G49" s="124" t="s">
        <v>256</v>
      </c>
      <c r="H49" s="124" t="s">
        <v>693</v>
      </c>
      <c r="I49" s="113" t="s">
        <v>257</v>
      </c>
      <c r="J49" s="114"/>
      <c r="K49" s="1371">
        <v>120</v>
      </c>
      <c r="L49" s="126"/>
      <c r="M49" s="103">
        <v>0</v>
      </c>
    </row>
    <row r="50" spans="1:13" s="85" customFormat="1" ht="13.5" thickBot="1" x14ac:dyDescent="0.25">
      <c r="C50" s="104"/>
      <c r="D50" s="133"/>
      <c r="E50" s="111" t="s">
        <v>576</v>
      </c>
      <c r="F50" s="124" t="str">
        <f>'TRAD-Available Stocks'!B31</f>
        <v>Cp</v>
      </c>
      <c r="G50" s="124" t="s">
        <v>577</v>
      </c>
      <c r="H50" s="124" t="s">
        <v>694</v>
      </c>
      <c r="I50" s="113"/>
      <c r="J50" s="114"/>
      <c r="K50" s="1371">
        <v>30</v>
      </c>
      <c r="L50" s="126"/>
      <c r="M50" s="103">
        <v>0</v>
      </c>
    </row>
    <row r="51" spans="1:13" s="85" customFormat="1" ht="13.5" thickBot="1" x14ac:dyDescent="0.25">
      <c r="C51" s="104"/>
      <c r="D51" s="117"/>
      <c r="E51" s="118" t="s">
        <v>328</v>
      </c>
      <c r="F51" s="119" t="str">
        <f>'TRAD-Available Stocks'!B31</f>
        <v>Cp</v>
      </c>
      <c r="G51" s="1269" t="s">
        <v>18</v>
      </c>
      <c r="H51" s="119" t="s">
        <v>695</v>
      </c>
      <c r="I51" s="132" t="s">
        <v>354</v>
      </c>
      <c r="J51" s="121"/>
      <c r="K51" s="1370">
        <v>60</v>
      </c>
      <c r="L51" s="122"/>
      <c r="M51" s="103">
        <v>0</v>
      </c>
    </row>
    <row r="52" spans="1:13" s="85" customFormat="1" ht="13.5" thickBot="1" x14ac:dyDescent="0.25">
      <c r="C52" s="104"/>
      <c r="D52" s="117" t="str">
        <f>'TRAD-Available Stocks'!B29</f>
        <v>I Int.</v>
      </c>
      <c r="E52" s="118" t="s">
        <v>329</v>
      </c>
      <c r="F52" s="119" t="str">
        <f>'TRAD-Available Stocks'!B31</f>
        <v>Cp</v>
      </c>
      <c r="G52" s="119" t="s">
        <v>32</v>
      </c>
      <c r="H52" s="119" t="s">
        <v>696</v>
      </c>
      <c r="I52" s="132" t="s">
        <v>355</v>
      </c>
      <c r="J52" s="121"/>
      <c r="K52" s="1370">
        <v>60</v>
      </c>
      <c r="L52" s="122"/>
      <c r="M52" s="103">
        <v>0</v>
      </c>
    </row>
    <row r="53" spans="1:13" s="85" customFormat="1" ht="13.5" thickBot="1" x14ac:dyDescent="0.25">
      <c r="C53" s="135"/>
      <c r="D53" s="117" t="str">
        <f>'TRAD-Available Stocks'!B30</f>
        <v>INNTI 3ème ligne</v>
      </c>
      <c r="E53" s="118" t="s">
        <v>330</v>
      </c>
      <c r="F53" s="119" t="str">
        <f>'TRAD-Available Stocks'!B31</f>
        <v>Cp</v>
      </c>
      <c r="G53" s="119" t="s">
        <v>89</v>
      </c>
      <c r="H53" s="119" t="s">
        <v>697</v>
      </c>
      <c r="I53" s="132" t="s">
        <v>356</v>
      </c>
      <c r="J53" s="121"/>
      <c r="K53" s="1370">
        <v>120</v>
      </c>
      <c r="L53" s="122"/>
      <c r="M53" s="103">
        <v>0</v>
      </c>
    </row>
    <row r="54" spans="1:13" s="85" customFormat="1" ht="64.5" thickBot="1" x14ac:dyDescent="0.25">
      <c r="C54" s="136"/>
      <c r="D54" s="137"/>
      <c r="E54" s="92" t="str">
        <f>'TRAD-Available Stocks'!B8</f>
        <v>produits</v>
      </c>
      <c r="F54" s="93" t="str">
        <f>'TRAD-Available Stocks'!B9</f>
        <v>Forme galénique</v>
      </c>
      <c r="G54" s="93" t="str">
        <f>'TRAD-Available Stocks'!B10</f>
        <v>Dosage</v>
      </c>
      <c r="H54" s="93"/>
      <c r="I54" s="93" t="str">
        <f>'TRAD-Available Stocks'!B12</f>
        <v>Nom de Spécialité</v>
      </c>
      <c r="J54" s="93" t="str">
        <f>'TRAD-Available Stocks'!B13</f>
        <v>Nom du Générique</v>
      </c>
      <c r="K54" s="93" t="str">
        <f>'TRAD-Available Stocks'!B19</f>
        <v>Unité de mesure (bouteille)</v>
      </c>
      <c r="L54" s="93" t="str">
        <f>'TRAD-Available Stocks'!B18</f>
        <v>Unité de mesure (ml)</v>
      </c>
      <c r="M54" s="95" t="str">
        <f>'TRAD-Available Stocks'!B20</f>
        <v>Quantité physique en stock (nombre de paquets)</v>
      </c>
    </row>
    <row r="55" spans="1:13" s="85" customFormat="1" ht="31.5" customHeight="1" thickBot="1" x14ac:dyDescent="0.25">
      <c r="C55" s="96" t="str">
        <f>'TRAD-Available Stocks'!B16</f>
        <v>Formes buvables</v>
      </c>
      <c r="D55" s="97" t="str">
        <f>'TRAD-Available Stocks'!B26</f>
        <v>INTI</v>
      </c>
      <c r="E55" s="98" t="s">
        <v>39</v>
      </c>
      <c r="F55" s="99" t="str">
        <f>'TRAD-Available Stocks'!B35</f>
        <v>Susp. Buv.</v>
      </c>
      <c r="G55" s="99" t="s">
        <v>41</v>
      </c>
      <c r="H55" s="99" t="s">
        <v>646</v>
      </c>
      <c r="I55" s="100" t="s">
        <v>42</v>
      </c>
      <c r="J55" s="100"/>
      <c r="K55" s="138">
        <v>240</v>
      </c>
      <c r="L55" s="139">
        <v>1</v>
      </c>
      <c r="M55" s="1603">
        <f>323</f>
        <v>323</v>
      </c>
    </row>
    <row r="56" spans="1:13" s="85" customFormat="1" ht="31.5" customHeight="1" thickBot="1" x14ac:dyDescent="0.25">
      <c r="C56" s="104"/>
      <c r="D56" s="105"/>
      <c r="E56" s="106" t="s">
        <v>61</v>
      </c>
      <c r="F56" s="107" t="str">
        <f>'TRAD-Available Stocks'!B35</f>
        <v>Susp. Buv.</v>
      </c>
      <c r="G56" s="107" t="s">
        <v>41</v>
      </c>
      <c r="H56" s="107" t="s">
        <v>685</v>
      </c>
      <c r="I56" s="108" t="s">
        <v>133</v>
      </c>
      <c r="J56" s="108"/>
      <c r="K56" s="140">
        <v>240</v>
      </c>
      <c r="L56" s="141">
        <v>1</v>
      </c>
      <c r="M56" s="1603">
        <v>300</v>
      </c>
    </row>
    <row r="57" spans="1:13" s="85" customFormat="1" ht="31.5" customHeight="1" thickBot="1" x14ac:dyDescent="0.25">
      <c r="C57" s="104"/>
      <c r="D57" s="105"/>
      <c r="E57" s="111" t="s">
        <v>15</v>
      </c>
      <c r="F57" s="112" t="str">
        <f>'TRAD-Available Stocks'!B35</f>
        <v>Susp. Buv.</v>
      </c>
      <c r="G57" s="112" t="s">
        <v>41</v>
      </c>
      <c r="H57" s="112" t="s">
        <v>686</v>
      </c>
      <c r="I57" s="113" t="s">
        <v>43</v>
      </c>
      <c r="J57" s="113"/>
      <c r="K57" s="142">
        <v>240</v>
      </c>
      <c r="L57" s="143">
        <v>1</v>
      </c>
      <c r="M57" s="1603">
        <v>0</v>
      </c>
    </row>
    <row r="58" spans="1:13" s="85" customFormat="1" ht="31.5" customHeight="1" thickBot="1" x14ac:dyDescent="0.25">
      <c r="C58" s="104"/>
      <c r="D58" s="116"/>
      <c r="E58" s="106" t="s">
        <v>25</v>
      </c>
      <c r="F58" s="107" t="str">
        <f>'TRAD-Available Stocks'!B35</f>
        <v>Susp. Buv.</v>
      </c>
      <c r="G58" s="107" t="s">
        <v>44</v>
      </c>
      <c r="H58" s="107" t="s">
        <v>645</v>
      </c>
      <c r="I58" s="108" t="s">
        <v>26</v>
      </c>
      <c r="J58" s="108"/>
      <c r="K58" s="140">
        <v>240</v>
      </c>
      <c r="L58" s="141">
        <v>1</v>
      </c>
      <c r="M58" s="1603">
        <v>50</v>
      </c>
    </row>
    <row r="59" spans="1:13" s="85" customFormat="1" ht="31.5" customHeight="1" thickBot="1" x14ac:dyDescent="0.25">
      <c r="C59" s="104"/>
      <c r="D59" s="117"/>
      <c r="E59" s="118" t="s">
        <v>28</v>
      </c>
      <c r="F59" s="119" t="str">
        <f>'TRAD-Available Stocks'!B37</f>
        <v>Poudre pr Susp. Buv.</v>
      </c>
      <c r="G59" s="119" t="s">
        <v>46</v>
      </c>
      <c r="H59" s="119" t="s">
        <v>688</v>
      </c>
      <c r="I59" s="132" t="s">
        <v>30</v>
      </c>
      <c r="J59" s="132"/>
      <c r="K59" s="144">
        <v>200</v>
      </c>
      <c r="L59" s="145">
        <v>1</v>
      </c>
      <c r="M59" s="1603">
        <v>0</v>
      </c>
    </row>
    <row r="60" spans="1:13" s="85" customFormat="1" ht="31.5" customHeight="1" thickBot="1" x14ac:dyDescent="0.25">
      <c r="C60" s="104"/>
      <c r="D60" s="105" t="str">
        <f>'TRAD-Available Stocks'!B27</f>
        <v>INNTI</v>
      </c>
      <c r="E60" s="106" t="s">
        <v>19</v>
      </c>
      <c r="F60" s="107" t="str">
        <f>'TRAD-Available Stocks'!B35</f>
        <v>Susp. Buv.</v>
      </c>
      <c r="G60" s="107" t="s">
        <v>41</v>
      </c>
      <c r="H60" s="107" t="s">
        <v>684</v>
      </c>
      <c r="I60" s="108" t="s">
        <v>21</v>
      </c>
      <c r="J60" s="108"/>
      <c r="K60" s="140">
        <v>240</v>
      </c>
      <c r="L60" s="141">
        <v>1</v>
      </c>
      <c r="M60" s="1603">
        <v>100</v>
      </c>
    </row>
    <row r="61" spans="1:13" s="85" customFormat="1" ht="31.5" customHeight="1" thickBot="1" x14ac:dyDescent="0.25">
      <c r="C61" s="104"/>
      <c r="D61" s="117"/>
      <c r="E61" s="118" t="s">
        <v>17</v>
      </c>
      <c r="F61" s="119" t="str">
        <f>'TRAD-Available Stocks'!B35</f>
        <v>Susp. Buv.</v>
      </c>
      <c r="G61" s="119" t="s">
        <v>259</v>
      </c>
      <c r="H61" s="119" t="s">
        <v>644</v>
      </c>
      <c r="I61" s="132" t="s">
        <v>249</v>
      </c>
      <c r="J61" s="132"/>
      <c r="K61" s="144">
        <v>180</v>
      </c>
      <c r="L61" s="145">
        <v>1</v>
      </c>
      <c r="M61" s="1603">
        <v>0</v>
      </c>
    </row>
    <row r="62" spans="1:13" s="85" customFormat="1" ht="31.5" customHeight="1" thickBot="1" x14ac:dyDescent="0.25">
      <c r="C62" s="135"/>
      <c r="D62" s="146" t="str">
        <f>'TRAD-Available Stocks'!B28</f>
        <v>IP</v>
      </c>
      <c r="E62" s="147" t="s">
        <v>33</v>
      </c>
      <c r="F62" s="148" t="str">
        <f>'TRAD-Available Stocks'!B36</f>
        <v>Sol. Buv.</v>
      </c>
      <c r="G62" s="148" t="s">
        <v>47</v>
      </c>
      <c r="H62" s="148" t="s">
        <v>690</v>
      </c>
      <c r="I62" s="149" t="s">
        <v>48</v>
      </c>
      <c r="J62" s="149"/>
      <c r="K62" s="150">
        <v>60</v>
      </c>
      <c r="L62" s="151">
        <v>4</v>
      </c>
      <c r="M62" s="1603">
        <v>0</v>
      </c>
    </row>
    <row r="63" spans="1:13" x14ac:dyDescent="0.2">
      <c r="A63" s="85"/>
      <c r="B63" s="85"/>
      <c r="C63" s="85"/>
      <c r="D63" s="85"/>
      <c r="E63" s="85"/>
      <c r="F63" s="85"/>
      <c r="G63" s="85"/>
      <c r="H63" s="85"/>
      <c r="I63" s="85"/>
      <c r="J63" s="85"/>
      <c r="K63" s="85"/>
      <c r="L63" s="85"/>
      <c r="M63" s="85"/>
    </row>
    <row r="64" spans="1:13" x14ac:dyDescent="0.2">
      <c r="A64" s="85"/>
      <c r="B64" s="85"/>
      <c r="C64" s="185" t="str">
        <f>'TRAD-Available Stocks'!B21</f>
        <v>Commentaire</v>
      </c>
      <c r="D64" s="186"/>
      <c r="E64" s="186"/>
      <c r="F64" s="186"/>
      <c r="G64" s="186"/>
      <c r="H64" s="186"/>
      <c r="I64" s="186"/>
      <c r="J64" s="186"/>
      <c r="K64" s="186"/>
      <c r="L64" s="186"/>
      <c r="M64" s="85"/>
    </row>
    <row r="65" spans="1:13" x14ac:dyDescent="0.2">
      <c r="A65" s="85"/>
      <c r="B65" s="85"/>
      <c r="C65" s="152"/>
      <c r="D65" s="153" t="str">
        <f>'TRAD-Available Stocks'!B22</f>
        <v>Pour les adultes: Vous devez tenir comptes des besoins totaux (= Adultes + Enfants = PMTCT + Traitement prophylaxique après exposition)</v>
      </c>
      <c r="E65" s="85"/>
      <c r="F65" s="85"/>
      <c r="G65" s="85"/>
      <c r="H65" s="85"/>
      <c r="I65" s="85"/>
      <c r="J65" s="85"/>
      <c r="K65" s="85"/>
      <c r="L65" s="957"/>
      <c r="M65" s="85"/>
    </row>
    <row r="66" spans="1:13" x14ac:dyDescent="0.2">
      <c r="A66" s="85"/>
      <c r="B66" s="85"/>
      <c r="C66" s="152"/>
      <c r="D66" s="153" t="str">
        <f>'TRAD-Available Stocks'!B23</f>
        <v>Uniquement une dose de Triomune ( forme galénique pour  bébé  6/30/50mg) a été pris en considération pour le produit</v>
      </c>
      <c r="E66" s="85"/>
      <c r="F66" s="85"/>
      <c r="G66" s="85"/>
      <c r="H66" s="85"/>
      <c r="I66" s="85"/>
      <c r="J66" s="85"/>
      <c r="K66" s="85"/>
      <c r="L66" s="957"/>
      <c r="M66" s="85"/>
    </row>
    <row r="67" spans="1:13" x14ac:dyDescent="0.2">
      <c r="D67" s="154" t="str">
        <f>'TRAD-Available Stocks'!B24</f>
        <v>Pour Lopinavir/r, prenez  l'Unité de mesure "ml" comme une référence (le nombre de bouteilles ≠ Nombre de paquets)</v>
      </c>
    </row>
  </sheetData>
  <sheetProtection password="D0E7" sheet="1" objects="1" scenarios="1"/>
  <mergeCells count="3">
    <mergeCell ref="A2:N2"/>
    <mergeCell ref="D7:N7"/>
    <mergeCell ref="D8:N8"/>
  </mergeCells>
  <pageMargins left="0.25" right="0.25" top="0.75" bottom="0.75" header="0.3" footer="0.3"/>
  <pageSetup paperSize="9" scale="70" orientation="landscape" r:id="rId1"/>
  <colBreaks count="1" manualBreakCount="1">
    <brk id="13" max="1048575" man="1"/>
  </colBreaks>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706"/>
  <sheetViews>
    <sheetView workbookViewId="0">
      <selection activeCell="B2" sqref="B1:B1048576"/>
    </sheetView>
  </sheetViews>
  <sheetFormatPr baseColWidth="10" defaultColWidth="11.5" defaultRowHeight="15" x14ac:dyDescent="0.2"/>
  <cols>
    <col min="1" max="1" width="6" style="1614" customWidth="1"/>
    <col min="2" max="2" width="62.83203125" style="1689" customWidth="1"/>
    <col min="3" max="3" width="6.1640625" style="1614" customWidth="1"/>
    <col min="4" max="5" width="96.6640625" style="1614" customWidth="1"/>
    <col min="6" max="7" width="0.5" style="1614" customWidth="1"/>
    <col min="8" max="17" width="12" style="1614" customWidth="1"/>
    <col min="18" max="16384" width="11.5" style="1614"/>
  </cols>
  <sheetData>
    <row r="1" spans="2:18" x14ac:dyDescent="0.2">
      <c r="B1" s="1689" t="s">
        <v>755</v>
      </c>
      <c r="D1" s="1766" t="s">
        <v>754</v>
      </c>
      <c r="E1" s="1767" t="s">
        <v>753</v>
      </c>
      <c r="F1" s="1768"/>
      <c r="G1" s="1768"/>
      <c r="H1" s="1768"/>
      <c r="I1" s="1768"/>
      <c r="J1" s="1768"/>
      <c r="K1" s="1768"/>
      <c r="L1" s="1768"/>
      <c r="M1" s="1768"/>
      <c r="N1" s="1768"/>
      <c r="O1" s="1768"/>
      <c r="P1" s="1768"/>
      <c r="Q1" s="1768"/>
    </row>
    <row r="2" spans="2:18" s="1623" customFormat="1" x14ac:dyDescent="0.2">
      <c r="B2" s="1631" t="str">
        <f>IF(Presentation!$D$2="Français",'TRAD-Available Stocks'!D2,IF(Presentation!$D$2="Anglais",'TRAD-Available Stocks'!E2,""))</f>
        <v>Etape N° 4: Stock Disponible</v>
      </c>
      <c r="D2" s="1617" t="s">
        <v>1012</v>
      </c>
      <c r="E2" s="1634" t="s">
        <v>1321</v>
      </c>
      <c r="F2" s="1769"/>
      <c r="G2" s="1769"/>
      <c r="H2" s="1769"/>
      <c r="I2" s="1769"/>
      <c r="J2" s="1769"/>
      <c r="K2" s="1769"/>
      <c r="L2" s="1769"/>
      <c r="M2" s="1769"/>
      <c r="N2" s="1769"/>
      <c r="O2" s="1769"/>
      <c r="P2" s="1769"/>
      <c r="Q2" s="1769"/>
      <c r="R2" s="1769"/>
    </row>
    <row r="3" spans="2:18" s="1623" customFormat="1" ht="45" x14ac:dyDescent="0.2">
      <c r="B3" s="1631" t="str">
        <f>IF(Presentation!$D$2="Français",'TRAD-Available Stocks'!D3,IF(Presentation!$D$2="Anglais",'TRAD-Available Stocks'!E3,""))</f>
        <v>Remplir le formulaire par le stock disponible  actuellement et vérifier la quantité (en ml) des sirops et des suspensions orales</v>
      </c>
      <c r="D3" s="1617" t="s">
        <v>1024</v>
      </c>
      <c r="E3" s="1634" t="s">
        <v>1426</v>
      </c>
      <c r="G3" s="1630"/>
      <c r="H3" s="1630"/>
      <c r="I3" s="1630"/>
      <c r="J3" s="1630"/>
      <c r="K3" s="1630"/>
      <c r="L3" s="1630"/>
      <c r="M3" s="1630"/>
      <c r="N3" s="1630"/>
      <c r="O3" s="1630"/>
      <c r="P3" s="1630"/>
      <c r="Q3" s="1630"/>
      <c r="R3" s="1635"/>
    </row>
    <row r="4" spans="2:18" s="1623" customFormat="1" x14ac:dyDescent="0.2">
      <c r="B4" s="1631" t="str">
        <f>IF(Presentation!$D$2="Français",'TRAD-Available Stocks'!D4,IF(Presentation!$D$2="Anglais",'TRAD-Available Stocks'!E4,""))</f>
        <v>Commentaire</v>
      </c>
      <c r="D4" s="1617" t="s">
        <v>285</v>
      </c>
      <c r="E4" s="1617" t="s">
        <v>440</v>
      </c>
      <c r="F4" s="1635"/>
      <c r="G4" s="1635"/>
      <c r="H4" s="1635"/>
      <c r="I4" s="1635"/>
      <c r="J4" s="1635"/>
      <c r="K4" s="1635"/>
      <c r="L4" s="1635"/>
      <c r="M4" s="1635"/>
      <c r="N4" s="1635"/>
      <c r="O4" s="1635"/>
      <c r="P4" s="1635"/>
      <c r="Q4" s="1635"/>
      <c r="R4" s="1635"/>
    </row>
    <row r="5" spans="2:18" s="1623" customFormat="1" ht="30" x14ac:dyDescent="0.2">
      <c r="B5" s="1631" t="str">
        <f>IF(Presentation!$D$2="Français",'TRAD-Available Stocks'!D5,IF(Presentation!$D$2="Anglais",'TRAD-Available Stocks'!E5,""))</f>
        <v>Vous devez tenir compte du stock au niveau central et périphérique</v>
      </c>
      <c r="D5" s="1617" t="s">
        <v>1013</v>
      </c>
      <c r="E5" s="1617" t="s">
        <v>569</v>
      </c>
    </row>
    <row r="6" spans="2:18" s="1623" customFormat="1" ht="30" x14ac:dyDescent="0.2">
      <c r="B6" s="1631" t="str">
        <f>IF(Presentation!$D$2="Français",'TRAD-Available Stocks'!D6,IF(Presentation!$D$2="Anglais",'TRAD-Available Stocks'!E6,""))</f>
        <v>Vous devez tenir compte seulement des produits qui n'expirent pas dans les mois prochains</v>
      </c>
      <c r="D6" s="1617" t="s">
        <v>1015</v>
      </c>
      <c r="E6" s="1617" t="s">
        <v>509</v>
      </c>
      <c r="G6" s="1631"/>
      <c r="I6" s="1617"/>
      <c r="J6" s="1617"/>
      <c r="K6" s="1617"/>
      <c r="L6" s="1617"/>
      <c r="M6" s="1617"/>
      <c r="N6" s="1617"/>
      <c r="O6" s="1617"/>
      <c r="P6" s="1617"/>
      <c r="Q6" s="1617"/>
      <c r="R6" s="1617"/>
    </row>
    <row r="7" spans="2:18" s="1623" customFormat="1" ht="30" x14ac:dyDescent="0.2">
      <c r="B7" s="1631" t="str">
        <f>IF(Presentation!$D$2="Français",'TRAD-Available Stocks'!D7,IF(Presentation!$D$2="Anglais",'TRAD-Available Stocks'!E7,""))</f>
        <v>Attention, c'est le stock disponible au début de la période  qui sera quantifié</v>
      </c>
      <c r="D7" s="1617" t="s">
        <v>1014</v>
      </c>
      <c r="E7" s="1617" t="s">
        <v>570</v>
      </c>
      <c r="G7" s="1631"/>
      <c r="I7" s="1617"/>
      <c r="J7" s="1617"/>
      <c r="K7" s="1617"/>
      <c r="L7" s="1617"/>
      <c r="M7" s="1617"/>
      <c r="N7" s="1617"/>
      <c r="O7" s="1617"/>
      <c r="P7" s="1617"/>
      <c r="Q7" s="1617"/>
      <c r="R7" s="1617"/>
    </row>
    <row r="8" spans="2:18" s="1623" customFormat="1" x14ac:dyDescent="0.2">
      <c r="B8" s="1631" t="str">
        <f>IF(Presentation!$D$2="Français",'TRAD-Available Stocks'!D8,IF(Presentation!$D$2="Anglais",'TRAD-Available Stocks'!E8,""))</f>
        <v>produits</v>
      </c>
      <c r="D8" s="1617" t="s">
        <v>1016</v>
      </c>
      <c r="E8" s="1634" t="s">
        <v>513</v>
      </c>
      <c r="G8" s="1631"/>
      <c r="I8" s="1617"/>
      <c r="J8" s="1617"/>
      <c r="K8" s="1617"/>
      <c r="L8" s="1617"/>
      <c r="M8" s="1617"/>
      <c r="N8" s="1617"/>
      <c r="O8" s="1617"/>
      <c r="P8" s="1617"/>
      <c r="Q8" s="1617"/>
      <c r="R8" s="1617"/>
    </row>
    <row r="9" spans="2:18" s="1623" customFormat="1" x14ac:dyDescent="0.2">
      <c r="B9" s="1631" t="str">
        <f>IF(Presentation!$D$2="Français",'TRAD-Available Stocks'!D9,IF(Presentation!$D$2="Anglais",'TRAD-Available Stocks'!E9,""))</f>
        <v>Forme galénique</v>
      </c>
      <c r="D9" s="1617" t="s">
        <v>1</v>
      </c>
      <c r="E9" s="1634" t="s">
        <v>511</v>
      </c>
      <c r="F9" s="1631"/>
      <c r="G9" s="1632"/>
      <c r="I9" s="1633"/>
      <c r="J9" s="1633"/>
      <c r="K9" s="1633"/>
      <c r="L9" s="1633"/>
      <c r="M9" s="1633"/>
      <c r="N9" s="1633"/>
      <c r="O9" s="1633"/>
      <c r="P9" s="1633"/>
      <c r="Q9" s="1633"/>
      <c r="R9" s="1633"/>
    </row>
    <row r="10" spans="2:18" s="1623" customFormat="1" x14ac:dyDescent="0.2">
      <c r="B10" s="1631" t="str">
        <f>IF(Presentation!$D$2="Français",'TRAD-Available Stocks'!D10,IF(Presentation!$D$2="Anglais",'TRAD-Available Stocks'!E10,""))</f>
        <v>Dosage</v>
      </c>
      <c r="D10" s="1617" t="s">
        <v>2</v>
      </c>
      <c r="E10" s="1634" t="s">
        <v>512</v>
      </c>
      <c r="F10" s="1635"/>
      <c r="G10" s="1635"/>
      <c r="H10" s="1637"/>
      <c r="I10" s="1635"/>
      <c r="J10" s="1635"/>
      <c r="K10" s="1635"/>
      <c r="L10" s="1635"/>
      <c r="M10" s="1635"/>
      <c r="N10" s="1635"/>
      <c r="O10" s="1635"/>
      <c r="P10" s="1635"/>
      <c r="Q10" s="1635"/>
      <c r="R10" s="1635"/>
    </row>
    <row r="11" spans="2:18" s="1623" customFormat="1" x14ac:dyDescent="0.2">
      <c r="B11" s="1631" t="str">
        <f>IF(Presentation!$D$2="Français",'TRAD-Available Stocks'!D11,IF(Presentation!$D$2="Anglais",'TRAD-Available Stocks'!E11,""))</f>
        <v>Dénomination Commune Internationale (DCI)</v>
      </c>
      <c r="D11" s="1617" t="s">
        <v>1017</v>
      </c>
      <c r="E11" s="1634" t="s">
        <v>647</v>
      </c>
      <c r="F11" s="1635"/>
      <c r="G11" s="1636"/>
      <c r="P11" s="1770"/>
      <c r="R11" s="1635"/>
    </row>
    <row r="12" spans="2:18" s="1623" customFormat="1" x14ac:dyDescent="0.2">
      <c r="B12" s="1631" t="str">
        <f>IF(Presentation!$D$2="Français",'TRAD-Available Stocks'!D12,IF(Presentation!$D$2="Anglais",'TRAD-Available Stocks'!E12,""))</f>
        <v>Nom de Spécialité</v>
      </c>
      <c r="D12" s="1617" t="s">
        <v>1018</v>
      </c>
      <c r="E12" s="1634" t="s">
        <v>469</v>
      </c>
      <c r="F12" s="1635"/>
      <c r="H12" s="1769"/>
      <c r="I12" s="1634"/>
      <c r="J12" s="1634"/>
      <c r="K12" s="1634"/>
      <c r="L12" s="1771"/>
      <c r="M12" s="1635"/>
      <c r="N12" s="1635"/>
      <c r="O12" s="1772"/>
      <c r="P12" s="1694"/>
      <c r="Q12" s="1773"/>
      <c r="R12" s="1635"/>
    </row>
    <row r="13" spans="2:18" s="1623" customFormat="1" x14ac:dyDescent="0.2">
      <c r="B13" s="1631" t="str">
        <f>IF(Presentation!$D$2="Français",'TRAD-Available Stocks'!D13,IF(Presentation!$D$2="Anglais",'TRAD-Available Stocks'!E13,""))</f>
        <v>Nom du Générique</v>
      </c>
      <c r="D13" s="1617" t="s">
        <v>1019</v>
      </c>
      <c r="E13" s="1634" t="s">
        <v>470</v>
      </c>
      <c r="F13" s="1635"/>
      <c r="G13" s="1636"/>
      <c r="H13" s="1769"/>
      <c r="I13" s="1634"/>
      <c r="J13" s="1634"/>
      <c r="K13" s="1634"/>
      <c r="L13" s="1771"/>
      <c r="M13" s="1635"/>
      <c r="N13" s="1635"/>
      <c r="O13" s="1772"/>
      <c r="P13" s="1694"/>
      <c r="Q13" s="1773"/>
      <c r="R13" s="1635"/>
    </row>
    <row r="14" spans="2:18" s="1623" customFormat="1" x14ac:dyDescent="0.2">
      <c r="B14" s="1631" t="str">
        <f>IF(Presentation!$D$2="Français",'TRAD-Available Stocks'!D14,IF(Presentation!$D$2="Anglais",'TRAD-Available Stocks'!E14,""))</f>
        <v>Unité de mesure</v>
      </c>
      <c r="D14" s="1617" t="s">
        <v>890</v>
      </c>
      <c r="E14" s="1634" t="s">
        <v>514</v>
      </c>
      <c r="F14" s="1635"/>
      <c r="G14" s="1636"/>
      <c r="H14" s="1769"/>
      <c r="I14" s="1634"/>
      <c r="J14" s="1634"/>
      <c r="K14" s="1634"/>
      <c r="L14" s="1771"/>
      <c r="M14" s="1635"/>
      <c r="N14" s="1635"/>
      <c r="O14" s="1772"/>
      <c r="P14" s="1694"/>
      <c r="Q14" s="1773"/>
      <c r="R14" s="1635"/>
    </row>
    <row r="15" spans="2:18" s="1623" customFormat="1" x14ac:dyDescent="0.2">
      <c r="B15" s="1631" t="str">
        <f>IF(Presentation!$D$2="Français",'TRAD-Available Stocks'!D15,IF(Presentation!$D$2="Anglais",'TRAD-Available Stocks'!E15,""))</f>
        <v>Quantité physique en stock (nombre de paquets)</v>
      </c>
      <c r="D15" s="1617" t="s">
        <v>1020</v>
      </c>
      <c r="E15" s="1617" t="s">
        <v>532</v>
      </c>
      <c r="F15" s="1635"/>
      <c r="G15" s="1636"/>
      <c r="H15" s="1769"/>
      <c r="I15" s="1634"/>
      <c r="J15" s="1634"/>
      <c r="K15" s="1634"/>
      <c r="L15" s="1771"/>
      <c r="M15" s="1635"/>
      <c r="N15" s="1635"/>
      <c r="O15" s="1772"/>
      <c r="P15" s="1694"/>
      <c r="Q15" s="1773"/>
      <c r="R15" s="1635"/>
    </row>
    <row r="16" spans="2:18" s="1623" customFormat="1" x14ac:dyDescent="0.2">
      <c r="B16" s="1631" t="str">
        <f>IF(Presentation!$D$2="Français",'TRAD-Available Stocks'!D16,IF(Presentation!$D$2="Anglais",'TRAD-Available Stocks'!E16,""))</f>
        <v>Formes buvables</v>
      </c>
      <c r="D16" s="1617" t="s">
        <v>1493</v>
      </c>
      <c r="E16" s="1617" t="s">
        <v>1494</v>
      </c>
      <c r="F16" s="1635"/>
      <c r="G16" s="1636"/>
      <c r="H16" s="1769"/>
      <c r="I16" s="1634"/>
      <c r="J16" s="1634"/>
      <c r="K16" s="1634"/>
      <c r="L16" s="1771"/>
      <c r="M16" s="1635"/>
      <c r="N16" s="1635"/>
      <c r="O16" s="1772"/>
      <c r="P16" s="1694"/>
      <c r="Q16" s="1773"/>
      <c r="R16" s="1635"/>
    </row>
    <row r="17" spans="2:18" s="1623" customFormat="1" x14ac:dyDescent="0.2">
      <c r="B17" s="1631" t="str">
        <f>IF(Presentation!$D$2="Français",'TRAD-Available Stocks'!D17,IF(Presentation!$D$2="Anglais",'TRAD-Available Stocks'!E17,""))</f>
        <v>Comprimés</v>
      </c>
      <c r="D17" s="1617" t="s">
        <v>205</v>
      </c>
      <c r="E17" s="1634" t="s">
        <v>510</v>
      </c>
      <c r="F17" s="1635"/>
      <c r="G17" s="1636"/>
      <c r="H17" s="1769"/>
      <c r="I17" s="1634"/>
      <c r="J17" s="1634"/>
      <c r="K17" s="1634"/>
      <c r="L17" s="1771"/>
      <c r="M17" s="1635"/>
      <c r="N17" s="1635"/>
      <c r="O17" s="1772"/>
      <c r="P17" s="1694"/>
      <c r="Q17" s="1773"/>
      <c r="R17" s="1635"/>
    </row>
    <row r="18" spans="2:18" s="1623" customFormat="1" x14ac:dyDescent="0.2">
      <c r="B18" s="1631" t="str">
        <f>IF(Presentation!$D$2="Français",'TRAD-Available Stocks'!D18,IF(Presentation!$D$2="Anglais",'TRAD-Available Stocks'!E18,""))</f>
        <v>Unité de mesure (ml)</v>
      </c>
      <c r="D18" s="1617" t="s">
        <v>1026</v>
      </c>
      <c r="E18" s="1634" t="s">
        <v>518</v>
      </c>
      <c r="F18" s="1635"/>
      <c r="G18" s="1636"/>
      <c r="H18" s="1769"/>
      <c r="I18" s="1634"/>
      <c r="J18" s="1634"/>
      <c r="K18" s="1634"/>
      <c r="L18" s="1771"/>
      <c r="M18" s="1635"/>
      <c r="N18" s="1635"/>
      <c r="O18" s="1772"/>
      <c r="P18" s="1694"/>
      <c r="Q18" s="1773"/>
      <c r="R18" s="1635"/>
    </row>
    <row r="19" spans="2:18" s="1623" customFormat="1" x14ac:dyDescent="0.2">
      <c r="B19" s="1631" t="str">
        <f>IF(Presentation!$D$2="Français",'TRAD-Available Stocks'!D19,IF(Presentation!$D$2="Anglais",'TRAD-Available Stocks'!E19,""))</f>
        <v>Unité de mesure (bouteille)</v>
      </c>
      <c r="D19" s="1617" t="s">
        <v>1021</v>
      </c>
      <c r="E19" s="1634" t="s">
        <v>519</v>
      </c>
      <c r="F19" s="1635"/>
      <c r="G19" s="1636"/>
      <c r="H19" s="1769"/>
      <c r="I19" s="1634"/>
      <c r="J19" s="1634"/>
      <c r="K19" s="1634"/>
      <c r="L19" s="1634"/>
      <c r="M19" s="1635"/>
      <c r="N19" s="1635"/>
      <c r="O19" s="1774"/>
      <c r="P19" s="1775"/>
      <c r="Q19" s="1773"/>
      <c r="R19" s="1635"/>
    </row>
    <row r="20" spans="2:18" s="1623" customFormat="1" x14ac:dyDescent="0.2">
      <c r="B20" s="1631" t="str">
        <f>IF(Presentation!$D$2="Français",'TRAD-Available Stocks'!D20,IF(Presentation!$D$2="Anglais",'TRAD-Available Stocks'!E20,""))</f>
        <v>Quantité physique en stock (nombre de paquets)</v>
      </c>
      <c r="D20" s="1617" t="s">
        <v>1020</v>
      </c>
      <c r="E20" s="1617" t="s">
        <v>532</v>
      </c>
      <c r="F20" s="1635"/>
      <c r="G20" s="1636"/>
      <c r="H20" s="1769"/>
      <c r="I20" s="1634"/>
      <c r="J20" s="1634"/>
      <c r="K20" s="1634"/>
      <c r="L20" s="1634"/>
      <c r="M20" s="1635"/>
      <c r="N20" s="1635"/>
      <c r="O20" s="1774"/>
      <c r="P20" s="1775"/>
      <c r="Q20" s="1773"/>
      <c r="R20" s="1635"/>
    </row>
    <row r="21" spans="2:18" s="1623" customFormat="1" x14ac:dyDescent="0.2">
      <c r="B21" s="1631" t="str">
        <f>IF(Presentation!$D$2="Français",'TRAD-Available Stocks'!D21,IF(Presentation!$D$2="Anglais",'TRAD-Available Stocks'!E21,""))</f>
        <v>Commentaire</v>
      </c>
      <c r="D21" s="1617" t="s">
        <v>285</v>
      </c>
      <c r="E21" s="1634" t="s">
        <v>440</v>
      </c>
      <c r="F21" s="1635"/>
      <c r="G21" s="1636"/>
      <c r="H21" s="1769"/>
      <c r="I21" s="1634"/>
      <c r="J21" s="1634"/>
      <c r="K21" s="1634"/>
      <c r="L21" s="1634"/>
      <c r="M21" s="1635"/>
      <c r="N21" s="1635"/>
      <c r="O21" s="1774"/>
      <c r="P21" s="1776"/>
      <c r="Q21" s="1773"/>
      <c r="R21" s="1635"/>
    </row>
    <row r="22" spans="2:18" s="1623" customFormat="1" ht="45" x14ac:dyDescent="0.2">
      <c r="B22" s="1631" t="str">
        <f>IF(Presentation!$D$2="Français",'TRAD-Available Stocks'!D22,IF(Presentation!$D$2="Anglais",'TRAD-Available Stocks'!E22,""))</f>
        <v>Pour les adultes: Vous devez tenir comptes des besoins totaux (= Adultes + Enfants = PMTCT + Traitement prophylaxique après exposition)</v>
      </c>
      <c r="D22" s="1617" t="s">
        <v>1022</v>
      </c>
      <c r="E22" s="1634" t="s">
        <v>571</v>
      </c>
      <c r="F22" s="1635"/>
      <c r="G22" s="1635"/>
      <c r="H22" s="1635"/>
      <c r="I22" s="1635"/>
      <c r="J22" s="1635"/>
      <c r="K22" s="1635"/>
      <c r="L22" s="1635"/>
      <c r="M22" s="1635"/>
      <c r="N22" s="1635"/>
      <c r="O22" s="1635"/>
      <c r="P22" s="1635"/>
      <c r="Q22" s="1635"/>
    </row>
    <row r="23" spans="2:18" s="1623" customFormat="1" ht="45" x14ac:dyDescent="0.2">
      <c r="B23" s="1631" t="str">
        <f>IF(Presentation!$D$2="Français",'TRAD-Available Stocks'!D23,IF(Presentation!$D$2="Anglais",'TRAD-Available Stocks'!E23,""))</f>
        <v>Uniquement une dose de Triomune ( forme galénique pour  bébé  6/30/50mg) a été pris en considération pour le produit</v>
      </c>
      <c r="D23" s="1617" t="s">
        <v>1023</v>
      </c>
      <c r="E23" s="1634" t="s">
        <v>572</v>
      </c>
      <c r="F23" s="1635"/>
      <c r="H23" s="1635"/>
      <c r="I23" s="1635"/>
      <c r="J23" s="1635"/>
      <c r="K23" s="1635"/>
      <c r="L23" s="1635"/>
      <c r="M23" s="1635"/>
      <c r="N23" s="1635"/>
      <c r="O23" s="1635"/>
      <c r="P23" s="1635"/>
      <c r="Q23" s="1635"/>
    </row>
    <row r="24" spans="2:18" s="1623" customFormat="1" ht="45" x14ac:dyDescent="0.2">
      <c r="B24" s="1631" t="str">
        <f>IF(Presentation!$D$2="Français",'TRAD-Available Stocks'!D24,IF(Presentation!$D$2="Anglais",'TRAD-Available Stocks'!E24,""))</f>
        <v>Pour Lopinavir/r, prenez  l'Unité de mesure "ml" comme une référence (le nombre de bouteilles ≠ Nombre de paquets)</v>
      </c>
      <c r="D24" s="1617" t="s">
        <v>1319</v>
      </c>
      <c r="E24" s="1634" t="s">
        <v>1320</v>
      </c>
      <c r="F24" s="1635"/>
      <c r="G24" s="1636"/>
      <c r="I24" s="1635"/>
      <c r="J24" s="1635"/>
      <c r="K24" s="1635"/>
      <c r="L24" s="1635"/>
      <c r="M24" s="1635"/>
      <c r="N24" s="1635"/>
      <c r="O24" s="1635"/>
      <c r="P24" s="1637"/>
      <c r="Q24" s="1635"/>
    </row>
    <row r="25" spans="2:18" s="1623" customFormat="1" x14ac:dyDescent="0.2">
      <c r="B25" s="1631" t="str">
        <f>IF(Presentation!$D$2="Français",'TRAD-Available Stocks'!D25,IF(Presentation!$D$2="Anglais",'TRAD-Available Stocks'!E25,""))</f>
        <v>CDF</v>
      </c>
      <c r="D25" s="1617" t="s">
        <v>75</v>
      </c>
      <c r="E25" s="1634" t="s">
        <v>159</v>
      </c>
      <c r="F25" s="1635"/>
      <c r="G25" s="1636"/>
      <c r="I25" s="1635"/>
      <c r="J25" s="1635"/>
      <c r="K25" s="1635"/>
      <c r="L25" s="1635"/>
      <c r="M25" s="1635"/>
      <c r="N25" s="1635"/>
      <c r="O25" s="1635"/>
      <c r="P25" s="1637"/>
      <c r="Q25" s="1635"/>
    </row>
    <row r="26" spans="2:18" s="1623" customFormat="1" x14ac:dyDescent="0.2">
      <c r="B26" s="1631" t="str">
        <f>IF(Presentation!$D$2="Français",'TRAD-Available Stocks'!D26,IF(Presentation!$D$2="Anglais",'TRAD-Available Stocks'!E26,""))</f>
        <v>INTI</v>
      </c>
      <c r="D26" s="1617" t="s">
        <v>1489</v>
      </c>
      <c r="E26" s="1634" t="s">
        <v>85</v>
      </c>
      <c r="F26" s="1635"/>
      <c r="G26" s="1636"/>
      <c r="I26" s="1635"/>
      <c r="J26" s="1635"/>
      <c r="K26" s="1635"/>
      <c r="L26" s="1635"/>
      <c r="M26" s="1635"/>
      <c r="N26" s="1635"/>
      <c r="O26" s="1635"/>
      <c r="P26" s="1637"/>
      <c r="Q26" s="1635"/>
    </row>
    <row r="27" spans="2:18" s="1623" customFormat="1" x14ac:dyDescent="0.2">
      <c r="B27" s="1631" t="str">
        <f>IF(Presentation!$D$2="Français",'TRAD-Available Stocks'!D27,IF(Presentation!$D$2="Anglais",'TRAD-Available Stocks'!E27,""))</f>
        <v>INNTI</v>
      </c>
      <c r="D27" s="1617" t="s">
        <v>1490</v>
      </c>
      <c r="E27" s="1634" t="s">
        <v>84</v>
      </c>
      <c r="F27" s="1635"/>
      <c r="G27" s="1636"/>
      <c r="I27" s="1635"/>
      <c r="J27" s="1635"/>
      <c r="K27" s="1635"/>
      <c r="L27" s="1635"/>
      <c r="M27" s="1635"/>
      <c r="N27" s="1635"/>
      <c r="O27" s="1635"/>
      <c r="P27" s="1637"/>
      <c r="Q27" s="1635"/>
    </row>
    <row r="28" spans="2:18" s="1623" customFormat="1" x14ac:dyDescent="0.2">
      <c r="B28" s="1631" t="str">
        <f>IF(Presentation!$D$2="Français",'TRAD-Available Stocks'!D28,IF(Presentation!$D$2="Anglais",'TRAD-Available Stocks'!E28,""))</f>
        <v>IP</v>
      </c>
      <c r="D28" s="1617" t="s">
        <v>87</v>
      </c>
      <c r="E28" s="1634" t="s">
        <v>439</v>
      </c>
      <c r="F28" s="1635"/>
      <c r="G28" s="1636"/>
      <c r="I28" s="1635"/>
      <c r="J28" s="1635"/>
      <c r="K28" s="1635"/>
      <c r="L28" s="1635"/>
      <c r="M28" s="1635"/>
      <c r="N28" s="1635"/>
      <c r="O28" s="1635"/>
      <c r="P28" s="1637"/>
      <c r="Q28" s="1635"/>
    </row>
    <row r="29" spans="2:18" s="1623" customFormat="1" x14ac:dyDescent="0.2">
      <c r="B29" s="1631" t="str">
        <f>IF(Presentation!$D$2="Français",'TRAD-Available Stocks'!D29,IF(Presentation!$D$2="Anglais",'TRAD-Available Stocks'!E29,""))</f>
        <v>I Int.</v>
      </c>
      <c r="D29" s="1617" t="s">
        <v>357</v>
      </c>
      <c r="E29" s="1634" t="s">
        <v>1491</v>
      </c>
      <c r="F29" s="1635"/>
      <c r="G29" s="1636"/>
      <c r="I29" s="1635"/>
      <c r="J29" s="1635"/>
      <c r="K29" s="1635"/>
      <c r="L29" s="1635"/>
      <c r="M29" s="1635"/>
      <c r="N29" s="1635"/>
      <c r="O29" s="1635"/>
      <c r="P29" s="1637"/>
      <c r="Q29" s="1635"/>
    </row>
    <row r="30" spans="2:18" s="1623" customFormat="1" x14ac:dyDescent="0.2">
      <c r="B30" s="1631" t="str">
        <f>IF(Presentation!$D$2="Français",'TRAD-Available Stocks'!D30,IF(Presentation!$D$2="Anglais",'TRAD-Available Stocks'!E30,""))</f>
        <v>INNTI 3ème ligne</v>
      </c>
      <c r="D30" s="1617" t="s">
        <v>1492</v>
      </c>
      <c r="E30" s="1634" t="s">
        <v>471</v>
      </c>
      <c r="F30" s="1635"/>
      <c r="G30" s="1636"/>
      <c r="I30" s="1635"/>
      <c r="J30" s="1635"/>
      <c r="K30" s="1635"/>
      <c r="L30" s="1635"/>
      <c r="M30" s="1635"/>
      <c r="N30" s="1635"/>
      <c r="O30" s="1635"/>
      <c r="P30" s="1637"/>
      <c r="Q30" s="1635"/>
    </row>
    <row r="31" spans="2:18" s="1623" customFormat="1" x14ac:dyDescent="0.2">
      <c r="B31" s="1631" t="str">
        <f>IF(Presentation!$D$2="Français",'TRAD-Available Stocks'!D31,IF(Presentation!$D$2="Anglais",'TRAD-Available Stocks'!E31,""))</f>
        <v>Cp</v>
      </c>
      <c r="D31" s="1617" t="s">
        <v>8</v>
      </c>
      <c r="E31" s="1635" t="s">
        <v>521</v>
      </c>
      <c r="F31" s="1635"/>
      <c r="G31" s="1636"/>
      <c r="I31" s="1635"/>
      <c r="J31" s="1635"/>
      <c r="K31" s="1635"/>
      <c r="L31" s="1635"/>
      <c r="M31" s="1635"/>
      <c r="N31" s="1635"/>
      <c r="O31" s="1635"/>
      <c r="P31" s="1637"/>
      <c r="Q31" s="1635"/>
    </row>
    <row r="32" spans="2:18" s="1623" customFormat="1" x14ac:dyDescent="0.2">
      <c r="B32" s="1631" t="str">
        <f>IF(Presentation!$D$2="Français",'TRAD-Available Stocks'!D32,IF(Presentation!$D$2="Anglais",'TRAD-Available Stocks'!E32,""))</f>
        <v>Cp/coblister</v>
      </c>
      <c r="D32" s="1617" t="s">
        <v>1484</v>
      </c>
      <c r="E32" s="1635" t="s">
        <v>732</v>
      </c>
      <c r="F32" s="1635"/>
      <c r="G32" s="1636"/>
      <c r="I32" s="1635"/>
      <c r="J32" s="1635"/>
      <c r="K32" s="1635"/>
      <c r="L32" s="1635"/>
      <c r="M32" s="1635"/>
      <c r="N32" s="1635"/>
      <c r="O32" s="1635"/>
      <c r="P32" s="1637"/>
      <c r="Q32" s="1635"/>
    </row>
    <row r="33" spans="2:5" s="1623" customFormat="1" x14ac:dyDescent="0.2">
      <c r="B33" s="1631" t="str">
        <f>IF(Presentation!$D$2="Français",'TRAD-Available Stocks'!D33,IF(Presentation!$D$2="Anglais",'TRAD-Available Stocks'!E33,""))</f>
        <v>Gél</v>
      </c>
      <c r="D33" s="1617" t="s">
        <v>1480</v>
      </c>
      <c r="E33" s="1623" t="s">
        <v>1481</v>
      </c>
    </row>
    <row r="34" spans="2:5" s="1623" customFormat="1" x14ac:dyDescent="0.2">
      <c r="B34" s="1631" t="str">
        <f>IF(Presentation!$D$2="Français",'TRAD-Available Stocks'!D34,IF(Presentation!$D$2="Anglais",'TRAD-Available Stocks'!E34,""))</f>
        <v>Caps. Molle</v>
      </c>
      <c r="D34" s="1617" t="s">
        <v>1483</v>
      </c>
      <c r="E34" s="1623" t="s">
        <v>1481</v>
      </c>
    </row>
    <row r="35" spans="2:5" s="1623" customFormat="1" x14ac:dyDescent="0.2">
      <c r="B35" s="1631" t="str">
        <f>IF(Presentation!$D$2="Français",'TRAD-Available Stocks'!D35,IF(Presentation!$D$2="Anglais",'TRAD-Available Stocks'!E35,""))</f>
        <v>Susp. Buv.</v>
      </c>
      <c r="D35" s="1617" t="s">
        <v>1486</v>
      </c>
      <c r="E35" s="1634" t="s">
        <v>1482</v>
      </c>
    </row>
    <row r="36" spans="2:5" s="1623" customFormat="1" x14ac:dyDescent="0.2">
      <c r="B36" s="1631" t="str">
        <f>IF(Presentation!$D$2="Français",'TRAD-Available Stocks'!D36,IF(Presentation!$D$2="Anglais",'TRAD-Available Stocks'!E36,""))</f>
        <v>Sol. Buv.</v>
      </c>
      <c r="D36" s="1617" t="s">
        <v>326</v>
      </c>
      <c r="E36" s="1634" t="s">
        <v>1488</v>
      </c>
    </row>
    <row r="37" spans="2:5" s="1623" customFormat="1" x14ac:dyDescent="0.2">
      <c r="B37" s="1631" t="str">
        <f>IF(Presentation!$D$2="Français",'TRAD-Available Stocks'!D37,IF(Presentation!$D$2="Anglais",'TRAD-Available Stocks'!E37,""))</f>
        <v>Poudre pr Susp. Buv.</v>
      </c>
      <c r="D37" s="1617" t="s">
        <v>1487</v>
      </c>
      <c r="E37" s="1623" t="s">
        <v>527</v>
      </c>
    </row>
    <row r="38" spans="2:5" s="1623" customFormat="1" x14ac:dyDescent="0.2">
      <c r="B38" s="1631"/>
    </row>
    <row r="39" spans="2:5" s="1623" customFormat="1" x14ac:dyDescent="0.2">
      <c r="B39" s="1631"/>
    </row>
    <row r="40" spans="2:5" s="1623" customFormat="1" x14ac:dyDescent="0.2">
      <c r="B40" s="1631"/>
    </row>
    <row r="41" spans="2:5" s="1623" customFormat="1" x14ac:dyDescent="0.2">
      <c r="B41" s="1631"/>
    </row>
    <row r="42" spans="2:5" s="1623" customFormat="1" x14ac:dyDescent="0.2">
      <c r="B42" s="1631"/>
    </row>
    <row r="43" spans="2:5" s="1623" customFormat="1" x14ac:dyDescent="0.2">
      <c r="B43" s="1631"/>
    </row>
    <row r="44" spans="2:5" s="1623" customFormat="1" x14ac:dyDescent="0.2">
      <c r="B44" s="1631"/>
    </row>
    <row r="45" spans="2:5" s="1623" customFormat="1" x14ac:dyDescent="0.2">
      <c r="B45" s="1631"/>
    </row>
    <row r="46" spans="2:5" s="1623" customFormat="1" x14ac:dyDescent="0.2">
      <c r="B46" s="1631"/>
    </row>
    <row r="47" spans="2:5" s="1623" customFormat="1" x14ac:dyDescent="0.2">
      <c r="B47" s="1631"/>
    </row>
    <row r="48" spans="2:5" s="1623" customFormat="1" x14ac:dyDescent="0.2">
      <c r="B48" s="1631"/>
    </row>
    <row r="49" spans="2:2" s="1623" customFormat="1" x14ac:dyDescent="0.2">
      <c r="B49" s="1631"/>
    </row>
    <row r="50" spans="2:2" s="1623" customFormat="1" x14ac:dyDescent="0.2">
      <c r="B50" s="1631"/>
    </row>
    <row r="51" spans="2:2" s="1623" customFormat="1" x14ac:dyDescent="0.2">
      <c r="B51" s="1631"/>
    </row>
    <row r="52" spans="2:2" s="1623" customFormat="1" x14ac:dyDescent="0.2">
      <c r="B52" s="1631"/>
    </row>
    <row r="53" spans="2:2" s="1623" customFormat="1" x14ac:dyDescent="0.2">
      <c r="B53" s="1631"/>
    </row>
    <row r="54" spans="2:2" s="1623" customFormat="1" x14ac:dyDescent="0.2">
      <c r="B54" s="1631"/>
    </row>
    <row r="55" spans="2:2" s="1623" customFormat="1" x14ac:dyDescent="0.2">
      <c r="B55" s="1631"/>
    </row>
    <row r="56" spans="2:2" s="1623" customFormat="1" x14ac:dyDescent="0.2">
      <c r="B56" s="1631"/>
    </row>
    <row r="57" spans="2:2" s="1623" customFormat="1" x14ac:dyDescent="0.2">
      <c r="B57" s="1631"/>
    </row>
    <row r="58" spans="2:2" s="1623" customFormat="1" x14ac:dyDescent="0.2">
      <c r="B58" s="1631"/>
    </row>
    <row r="59" spans="2:2" s="1623" customFormat="1" x14ac:dyDescent="0.2">
      <c r="B59" s="1631"/>
    </row>
    <row r="60" spans="2:2" s="1623" customFormat="1" x14ac:dyDescent="0.2">
      <c r="B60" s="1631"/>
    </row>
    <row r="61" spans="2:2" s="1623" customFormat="1" x14ac:dyDescent="0.2">
      <c r="B61" s="1631"/>
    </row>
    <row r="62" spans="2:2" s="1623" customFormat="1" x14ac:dyDescent="0.2">
      <c r="B62" s="1631"/>
    </row>
    <row r="63" spans="2:2" s="1623" customFormat="1" x14ac:dyDescent="0.2">
      <c r="B63" s="1631"/>
    </row>
    <row r="64" spans="2:2" s="1623" customFormat="1" x14ac:dyDescent="0.2">
      <c r="B64" s="1631"/>
    </row>
    <row r="65" spans="2:2" s="1623" customFormat="1" x14ac:dyDescent="0.2">
      <c r="B65" s="1631"/>
    </row>
    <row r="66" spans="2:2" s="1623" customFormat="1" x14ac:dyDescent="0.2">
      <c r="B66" s="1631"/>
    </row>
    <row r="67" spans="2:2" s="1623" customFormat="1" x14ac:dyDescent="0.2">
      <c r="B67" s="1631"/>
    </row>
    <row r="68" spans="2:2" s="1623" customFormat="1" x14ac:dyDescent="0.2">
      <c r="B68" s="1631"/>
    </row>
    <row r="69" spans="2:2" s="1623" customFormat="1" x14ac:dyDescent="0.2">
      <c r="B69" s="1631"/>
    </row>
    <row r="70" spans="2:2" s="1623" customFormat="1" x14ac:dyDescent="0.2">
      <c r="B70" s="1631"/>
    </row>
    <row r="71" spans="2:2" s="1623" customFormat="1" x14ac:dyDescent="0.2">
      <c r="B71" s="1631"/>
    </row>
    <row r="72" spans="2:2" s="1623" customFormat="1" x14ac:dyDescent="0.2">
      <c r="B72" s="1631"/>
    </row>
    <row r="73" spans="2:2" s="1623" customFormat="1" x14ac:dyDescent="0.2">
      <c r="B73" s="1631"/>
    </row>
    <row r="74" spans="2:2" s="1623" customFormat="1" x14ac:dyDescent="0.2">
      <c r="B74" s="1631"/>
    </row>
    <row r="75" spans="2:2" s="1623" customFormat="1" x14ac:dyDescent="0.2">
      <c r="B75" s="1631"/>
    </row>
    <row r="76" spans="2:2" s="1623" customFormat="1" x14ac:dyDescent="0.2">
      <c r="B76" s="1631"/>
    </row>
    <row r="77" spans="2:2" s="1623" customFormat="1" x14ac:dyDescent="0.2">
      <c r="B77" s="1631"/>
    </row>
    <row r="78" spans="2:2" s="1623" customFormat="1" x14ac:dyDescent="0.2">
      <c r="B78" s="1631"/>
    </row>
    <row r="79" spans="2:2" s="1623" customFormat="1" x14ac:dyDescent="0.2">
      <c r="B79" s="1631"/>
    </row>
    <row r="80" spans="2:2" s="1623" customFormat="1" x14ac:dyDescent="0.2">
      <c r="B80" s="1631"/>
    </row>
    <row r="81" spans="2:2" s="1623" customFormat="1" x14ac:dyDescent="0.2">
      <c r="B81" s="1631"/>
    </row>
    <row r="82" spans="2:2" s="1623" customFormat="1" x14ac:dyDescent="0.2">
      <c r="B82" s="1631"/>
    </row>
    <row r="83" spans="2:2" s="1623" customFormat="1" x14ac:dyDescent="0.2">
      <c r="B83" s="1631"/>
    </row>
    <row r="84" spans="2:2" s="1623" customFormat="1" x14ac:dyDescent="0.2">
      <c r="B84" s="1631"/>
    </row>
    <row r="85" spans="2:2" s="1623" customFormat="1" x14ac:dyDescent="0.2">
      <c r="B85" s="1631"/>
    </row>
    <row r="86" spans="2:2" s="1623" customFormat="1" x14ac:dyDescent="0.2">
      <c r="B86" s="1631"/>
    </row>
    <row r="87" spans="2:2" s="1623" customFormat="1" x14ac:dyDescent="0.2">
      <c r="B87" s="1631"/>
    </row>
    <row r="88" spans="2:2" s="1623" customFormat="1" x14ac:dyDescent="0.2">
      <c r="B88" s="1631"/>
    </row>
    <row r="89" spans="2:2" s="1623" customFormat="1" x14ac:dyDescent="0.2">
      <c r="B89" s="1631"/>
    </row>
    <row r="90" spans="2:2" s="1623" customFormat="1" x14ac:dyDescent="0.2">
      <c r="B90" s="1631"/>
    </row>
    <row r="91" spans="2:2" s="1623" customFormat="1" x14ac:dyDescent="0.2">
      <c r="B91" s="1631"/>
    </row>
    <row r="92" spans="2:2" s="1623" customFormat="1" x14ac:dyDescent="0.2">
      <c r="B92" s="1631"/>
    </row>
    <row r="93" spans="2:2" s="1623" customFormat="1" x14ac:dyDescent="0.2">
      <c r="B93" s="1631"/>
    </row>
    <row r="94" spans="2:2" s="1623" customFormat="1" x14ac:dyDescent="0.2">
      <c r="B94" s="1631"/>
    </row>
    <row r="95" spans="2:2" s="1623" customFormat="1" x14ac:dyDescent="0.2">
      <c r="B95" s="1631"/>
    </row>
    <row r="96" spans="2:2" s="1623" customFormat="1" x14ac:dyDescent="0.2">
      <c r="B96" s="1631"/>
    </row>
    <row r="97" spans="2:2" s="1623" customFormat="1" x14ac:dyDescent="0.2">
      <c r="B97" s="1631"/>
    </row>
    <row r="98" spans="2:2" s="1623" customFormat="1" x14ac:dyDescent="0.2">
      <c r="B98" s="1631"/>
    </row>
    <row r="99" spans="2:2" s="1623" customFormat="1" x14ac:dyDescent="0.2">
      <c r="B99" s="1631"/>
    </row>
    <row r="100" spans="2:2" s="1623" customFormat="1" x14ac:dyDescent="0.2">
      <c r="B100" s="1631"/>
    </row>
    <row r="101" spans="2:2" s="1623" customFormat="1" x14ac:dyDescent="0.2">
      <c r="B101" s="1631"/>
    </row>
    <row r="102" spans="2:2" s="1623" customFormat="1" x14ac:dyDescent="0.2">
      <c r="B102" s="1631"/>
    </row>
    <row r="103" spans="2:2" s="1623" customFormat="1" x14ac:dyDescent="0.2">
      <c r="B103" s="1631"/>
    </row>
    <row r="104" spans="2:2" s="1623" customFormat="1" x14ac:dyDescent="0.2">
      <c r="B104" s="1631"/>
    </row>
    <row r="105" spans="2:2" s="1623" customFormat="1" x14ac:dyDescent="0.2">
      <c r="B105" s="1631"/>
    </row>
    <row r="106" spans="2:2" s="1623" customFormat="1" x14ac:dyDescent="0.2">
      <c r="B106" s="1631"/>
    </row>
    <row r="107" spans="2:2" s="1623" customFormat="1" x14ac:dyDescent="0.2">
      <c r="B107" s="1631"/>
    </row>
    <row r="108" spans="2:2" s="1623" customFormat="1" x14ac:dyDescent="0.2">
      <c r="B108" s="1631"/>
    </row>
    <row r="109" spans="2:2" s="1623" customFormat="1" x14ac:dyDescent="0.2">
      <c r="B109" s="1631"/>
    </row>
    <row r="110" spans="2:2" s="1623" customFormat="1" x14ac:dyDescent="0.2">
      <c r="B110" s="1631"/>
    </row>
    <row r="111" spans="2:2" s="1623" customFormat="1" x14ac:dyDescent="0.2">
      <c r="B111" s="1631"/>
    </row>
    <row r="112" spans="2:2" s="1623" customFormat="1" x14ac:dyDescent="0.2">
      <c r="B112" s="1631"/>
    </row>
    <row r="113" spans="2:2" s="1623" customFormat="1" x14ac:dyDescent="0.2">
      <c r="B113" s="1631"/>
    </row>
    <row r="114" spans="2:2" s="1623" customFormat="1" x14ac:dyDescent="0.2">
      <c r="B114" s="1631"/>
    </row>
    <row r="115" spans="2:2" s="1623" customFormat="1" x14ac:dyDescent="0.2">
      <c r="B115" s="1631"/>
    </row>
    <row r="116" spans="2:2" s="1623" customFormat="1" x14ac:dyDescent="0.2">
      <c r="B116" s="1631"/>
    </row>
    <row r="117" spans="2:2" s="1623" customFormat="1" x14ac:dyDescent="0.2">
      <c r="B117" s="1631"/>
    </row>
    <row r="118" spans="2:2" s="1623" customFormat="1" x14ac:dyDescent="0.2">
      <c r="B118" s="1631"/>
    </row>
    <row r="119" spans="2:2" s="1623" customFormat="1" x14ac:dyDescent="0.2">
      <c r="B119" s="1631"/>
    </row>
    <row r="120" spans="2:2" s="1623" customFormat="1" x14ac:dyDescent="0.2">
      <c r="B120" s="1631"/>
    </row>
    <row r="121" spans="2:2" s="1623" customFormat="1" x14ac:dyDescent="0.2">
      <c r="B121" s="1631"/>
    </row>
    <row r="122" spans="2:2" s="1623" customFormat="1" x14ac:dyDescent="0.2">
      <c r="B122" s="1631"/>
    </row>
    <row r="123" spans="2:2" s="1623" customFormat="1" x14ac:dyDescent="0.2">
      <c r="B123" s="1631"/>
    </row>
    <row r="124" spans="2:2" s="1623" customFormat="1" x14ac:dyDescent="0.2">
      <c r="B124" s="1631"/>
    </row>
    <row r="125" spans="2:2" s="1623" customFormat="1" x14ac:dyDescent="0.2">
      <c r="B125" s="1631"/>
    </row>
    <row r="126" spans="2:2" s="1623" customFormat="1" x14ac:dyDescent="0.2">
      <c r="B126" s="1631"/>
    </row>
    <row r="127" spans="2:2" s="1623" customFormat="1" x14ac:dyDescent="0.2">
      <c r="B127" s="1631"/>
    </row>
    <row r="128" spans="2:2" s="1623" customFormat="1" x14ac:dyDescent="0.2">
      <c r="B128" s="1631"/>
    </row>
    <row r="129" spans="2:2" s="1623" customFormat="1" x14ac:dyDescent="0.2">
      <c r="B129" s="1631"/>
    </row>
    <row r="130" spans="2:2" s="1623" customFormat="1" x14ac:dyDescent="0.2">
      <c r="B130" s="1631"/>
    </row>
    <row r="131" spans="2:2" s="1623" customFormat="1" x14ac:dyDescent="0.2">
      <c r="B131" s="1631"/>
    </row>
    <row r="132" spans="2:2" s="1623" customFormat="1" x14ac:dyDescent="0.2">
      <c r="B132" s="1631"/>
    </row>
    <row r="133" spans="2:2" s="1623" customFormat="1" x14ac:dyDescent="0.2">
      <c r="B133" s="1631"/>
    </row>
    <row r="134" spans="2:2" s="1623" customFormat="1" x14ac:dyDescent="0.2">
      <c r="B134" s="1631"/>
    </row>
    <row r="135" spans="2:2" s="1623" customFormat="1" x14ac:dyDescent="0.2">
      <c r="B135" s="1631"/>
    </row>
    <row r="136" spans="2:2" s="1623" customFormat="1" x14ac:dyDescent="0.2">
      <c r="B136" s="1631"/>
    </row>
    <row r="137" spans="2:2" s="1623" customFormat="1" x14ac:dyDescent="0.2">
      <c r="B137" s="1631"/>
    </row>
    <row r="138" spans="2:2" s="1623" customFormat="1" x14ac:dyDescent="0.2">
      <c r="B138" s="1631"/>
    </row>
    <row r="139" spans="2:2" s="1623" customFormat="1" x14ac:dyDescent="0.2">
      <c r="B139" s="1631"/>
    </row>
    <row r="140" spans="2:2" s="1623" customFormat="1" x14ac:dyDescent="0.2">
      <c r="B140" s="1631"/>
    </row>
    <row r="141" spans="2:2" s="1623" customFormat="1" x14ac:dyDescent="0.2">
      <c r="B141" s="1631"/>
    </row>
    <row r="142" spans="2:2" s="1623" customFormat="1" x14ac:dyDescent="0.2">
      <c r="B142" s="1631"/>
    </row>
    <row r="143" spans="2:2" s="1623" customFormat="1" x14ac:dyDescent="0.2">
      <c r="B143" s="1631"/>
    </row>
    <row r="144" spans="2:2" s="1623" customFormat="1" x14ac:dyDescent="0.2">
      <c r="B144" s="1631"/>
    </row>
    <row r="145" spans="2:2" s="1623" customFormat="1" x14ac:dyDescent="0.2">
      <c r="B145" s="1631"/>
    </row>
    <row r="146" spans="2:2" s="1623" customFormat="1" x14ac:dyDescent="0.2">
      <c r="B146" s="1631"/>
    </row>
    <row r="147" spans="2:2" s="1623" customFormat="1" x14ac:dyDescent="0.2">
      <c r="B147" s="1631"/>
    </row>
    <row r="148" spans="2:2" s="1623" customFormat="1" x14ac:dyDescent="0.2">
      <c r="B148" s="1631"/>
    </row>
    <row r="149" spans="2:2" s="1623" customFormat="1" x14ac:dyDescent="0.2">
      <c r="B149" s="1631"/>
    </row>
    <row r="150" spans="2:2" s="1623" customFormat="1" x14ac:dyDescent="0.2">
      <c r="B150" s="1631"/>
    </row>
    <row r="151" spans="2:2" s="1623" customFormat="1" x14ac:dyDescent="0.2">
      <c r="B151" s="1631"/>
    </row>
    <row r="152" spans="2:2" s="1623" customFormat="1" x14ac:dyDescent="0.2">
      <c r="B152" s="1631"/>
    </row>
    <row r="153" spans="2:2" s="1623" customFormat="1" x14ac:dyDescent="0.2">
      <c r="B153" s="1631"/>
    </row>
    <row r="154" spans="2:2" s="1623" customFormat="1" x14ac:dyDescent="0.2">
      <c r="B154" s="1631"/>
    </row>
    <row r="155" spans="2:2" s="1623" customFormat="1" x14ac:dyDescent="0.2">
      <c r="B155" s="1631"/>
    </row>
    <row r="156" spans="2:2" s="1623" customFormat="1" x14ac:dyDescent="0.2">
      <c r="B156" s="1631"/>
    </row>
    <row r="157" spans="2:2" s="1623" customFormat="1" x14ac:dyDescent="0.2">
      <c r="B157" s="1631"/>
    </row>
    <row r="158" spans="2:2" s="1623" customFormat="1" x14ac:dyDescent="0.2">
      <c r="B158" s="1631"/>
    </row>
    <row r="159" spans="2:2" s="1623" customFormat="1" x14ac:dyDescent="0.2">
      <c r="B159" s="1631"/>
    </row>
    <row r="160" spans="2:2" s="1623" customFormat="1" x14ac:dyDescent="0.2">
      <c r="B160" s="1631"/>
    </row>
    <row r="161" spans="2:2" s="1623" customFormat="1" x14ac:dyDescent="0.2">
      <c r="B161" s="1631"/>
    </row>
    <row r="162" spans="2:2" s="1623" customFormat="1" x14ac:dyDescent="0.2">
      <c r="B162" s="1631"/>
    </row>
    <row r="163" spans="2:2" s="1623" customFormat="1" x14ac:dyDescent="0.2">
      <c r="B163" s="1631"/>
    </row>
    <row r="164" spans="2:2" s="1623" customFormat="1" x14ac:dyDescent="0.2">
      <c r="B164" s="1631"/>
    </row>
    <row r="165" spans="2:2" s="1623" customFormat="1" x14ac:dyDescent="0.2">
      <c r="B165" s="1631"/>
    </row>
    <row r="166" spans="2:2" s="1623" customFormat="1" x14ac:dyDescent="0.2">
      <c r="B166" s="1631"/>
    </row>
    <row r="167" spans="2:2" s="1623" customFormat="1" x14ac:dyDescent="0.2">
      <c r="B167" s="1631"/>
    </row>
    <row r="168" spans="2:2" s="1623" customFormat="1" x14ac:dyDescent="0.2">
      <c r="B168" s="1631"/>
    </row>
    <row r="169" spans="2:2" s="1623" customFormat="1" x14ac:dyDescent="0.2">
      <c r="B169" s="1631"/>
    </row>
    <row r="170" spans="2:2" s="1623" customFormat="1" x14ac:dyDescent="0.2">
      <c r="B170" s="1631"/>
    </row>
    <row r="171" spans="2:2" s="1623" customFormat="1" x14ac:dyDescent="0.2">
      <c r="B171" s="1631"/>
    </row>
    <row r="172" spans="2:2" s="1623" customFormat="1" x14ac:dyDescent="0.2">
      <c r="B172" s="1631"/>
    </row>
    <row r="173" spans="2:2" s="1623" customFormat="1" x14ac:dyDescent="0.2">
      <c r="B173" s="1631"/>
    </row>
    <row r="174" spans="2:2" s="1623" customFormat="1" x14ac:dyDescent="0.2">
      <c r="B174" s="1631"/>
    </row>
    <row r="175" spans="2:2" s="1623" customFormat="1" x14ac:dyDescent="0.2">
      <c r="B175" s="1631"/>
    </row>
    <row r="176" spans="2:2" s="1623" customFormat="1" x14ac:dyDescent="0.2">
      <c r="B176" s="1631"/>
    </row>
    <row r="177" spans="2:2" s="1623" customFormat="1" x14ac:dyDescent="0.2">
      <c r="B177" s="1631"/>
    </row>
    <row r="178" spans="2:2" s="1623" customFormat="1" x14ac:dyDescent="0.2">
      <c r="B178" s="1631"/>
    </row>
    <row r="179" spans="2:2" s="1623" customFormat="1" x14ac:dyDescent="0.2">
      <c r="B179" s="1631"/>
    </row>
    <row r="180" spans="2:2" s="1623" customFormat="1" x14ac:dyDescent="0.2">
      <c r="B180" s="1631"/>
    </row>
    <row r="181" spans="2:2" s="1623" customFormat="1" x14ac:dyDescent="0.2">
      <c r="B181" s="1631"/>
    </row>
    <row r="182" spans="2:2" s="1623" customFormat="1" x14ac:dyDescent="0.2">
      <c r="B182" s="1631"/>
    </row>
    <row r="183" spans="2:2" s="1623" customFormat="1" x14ac:dyDescent="0.2">
      <c r="B183" s="1631"/>
    </row>
    <row r="184" spans="2:2" s="1623" customFormat="1" x14ac:dyDescent="0.2">
      <c r="B184" s="1631"/>
    </row>
    <row r="185" spans="2:2" s="1623" customFormat="1" x14ac:dyDescent="0.2">
      <c r="B185" s="1631"/>
    </row>
    <row r="186" spans="2:2" s="1623" customFormat="1" x14ac:dyDescent="0.2">
      <c r="B186" s="1631"/>
    </row>
    <row r="187" spans="2:2" s="1623" customFormat="1" x14ac:dyDescent="0.2">
      <c r="B187" s="1631"/>
    </row>
    <row r="188" spans="2:2" s="1623" customFormat="1" x14ac:dyDescent="0.2">
      <c r="B188" s="1631"/>
    </row>
    <row r="189" spans="2:2" s="1623" customFormat="1" x14ac:dyDescent="0.2">
      <c r="B189" s="1631"/>
    </row>
    <row r="190" spans="2:2" s="1623" customFormat="1" x14ac:dyDescent="0.2">
      <c r="B190" s="1631"/>
    </row>
    <row r="191" spans="2:2" s="1623" customFormat="1" x14ac:dyDescent="0.2">
      <c r="B191" s="1631"/>
    </row>
    <row r="192" spans="2:2" s="1623" customFormat="1" x14ac:dyDescent="0.2">
      <c r="B192" s="1631"/>
    </row>
    <row r="193" spans="2:2" s="1623" customFormat="1" x14ac:dyDescent="0.2">
      <c r="B193" s="1631"/>
    </row>
    <row r="194" spans="2:2" s="1623" customFormat="1" x14ac:dyDescent="0.2">
      <c r="B194" s="1631"/>
    </row>
    <row r="195" spans="2:2" s="1623" customFormat="1" x14ac:dyDescent="0.2">
      <c r="B195" s="1631"/>
    </row>
    <row r="196" spans="2:2" s="1623" customFormat="1" x14ac:dyDescent="0.2">
      <c r="B196" s="1631"/>
    </row>
    <row r="197" spans="2:2" s="1623" customFormat="1" x14ac:dyDescent="0.2">
      <c r="B197" s="1631"/>
    </row>
    <row r="198" spans="2:2" s="1623" customFormat="1" x14ac:dyDescent="0.2">
      <c r="B198" s="1631"/>
    </row>
    <row r="199" spans="2:2" s="1623" customFormat="1" x14ac:dyDescent="0.2">
      <c r="B199" s="1631"/>
    </row>
    <row r="200" spans="2:2" s="1623" customFormat="1" x14ac:dyDescent="0.2">
      <c r="B200" s="1631"/>
    </row>
    <row r="201" spans="2:2" s="1623" customFormat="1" x14ac:dyDescent="0.2">
      <c r="B201" s="1631"/>
    </row>
    <row r="202" spans="2:2" s="1623" customFormat="1" x14ac:dyDescent="0.2">
      <c r="B202" s="1631"/>
    </row>
    <row r="203" spans="2:2" s="1623" customFormat="1" x14ac:dyDescent="0.2">
      <c r="B203" s="1631"/>
    </row>
    <row r="204" spans="2:2" s="1623" customFormat="1" x14ac:dyDescent="0.2">
      <c r="B204" s="1631"/>
    </row>
    <row r="205" spans="2:2" s="1623" customFormat="1" x14ac:dyDescent="0.2">
      <c r="B205" s="1631"/>
    </row>
    <row r="206" spans="2:2" s="1623" customFormat="1" x14ac:dyDescent="0.2">
      <c r="B206" s="1631"/>
    </row>
    <row r="207" spans="2:2" s="1623" customFormat="1" x14ac:dyDescent="0.2">
      <c r="B207" s="1631"/>
    </row>
    <row r="208" spans="2:2" s="1623" customFormat="1" x14ac:dyDescent="0.2">
      <c r="B208" s="1631"/>
    </row>
    <row r="209" spans="2:2" s="1623" customFormat="1" x14ac:dyDescent="0.2">
      <c r="B209" s="1631"/>
    </row>
    <row r="210" spans="2:2" s="1623" customFormat="1" x14ac:dyDescent="0.2">
      <c r="B210" s="1631"/>
    </row>
    <row r="211" spans="2:2" s="1623" customFormat="1" x14ac:dyDescent="0.2">
      <c r="B211" s="1631"/>
    </row>
    <row r="212" spans="2:2" s="1623" customFormat="1" x14ac:dyDescent="0.2">
      <c r="B212" s="1631"/>
    </row>
    <row r="213" spans="2:2" s="1623" customFormat="1" x14ac:dyDescent="0.2">
      <c r="B213" s="1631"/>
    </row>
    <row r="214" spans="2:2" s="1623" customFormat="1" x14ac:dyDescent="0.2">
      <c r="B214" s="1631"/>
    </row>
    <row r="215" spans="2:2" s="1623" customFormat="1" x14ac:dyDescent="0.2">
      <c r="B215" s="1631"/>
    </row>
    <row r="216" spans="2:2" s="1623" customFormat="1" x14ac:dyDescent="0.2">
      <c r="B216" s="1631"/>
    </row>
    <row r="217" spans="2:2" s="1623" customFormat="1" x14ac:dyDescent="0.2">
      <c r="B217" s="1631"/>
    </row>
    <row r="218" spans="2:2" s="1623" customFormat="1" x14ac:dyDescent="0.2">
      <c r="B218" s="1631"/>
    </row>
    <row r="219" spans="2:2" s="1623" customFormat="1" x14ac:dyDescent="0.2">
      <c r="B219" s="1631"/>
    </row>
    <row r="220" spans="2:2" s="1623" customFormat="1" x14ac:dyDescent="0.2">
      <c r="B220" s="1631"/>
    </row>
    <row r="221" spans="2:2" s="1623" customFormat="1" x14ac:dyDescent="0.2">
      <c r="B221" s="1631"/>
    </row>
    <row r="222" spans="2:2" s="1623" customFormat="1" x14ac:dyDescent="0.2">
      <c r="B222" s="1631"/>
    </row>
    <row r="223" spans="2:2" s="1623" customFormat="1" x14ac:dyDescent="0.2">
      <c r="B223" s="1631"/>
    </row>
    <row r="224" spans="2:2" s="1623" customFormat="1" x14ac:dyDescent="0.2">
      <c r="B224" s="1631"/>
    </row>
    <row r="225" spans="2:2" s="1623" customFormat="1" x14ac:dyDescent="0.2">
      <c r="B225" s="1631"/>
    </row>
    <row r="226" spans="2:2" s="1623" customFormat="1" x14ac:dyDescent="0.2">
      <c r="B226" s="1631"/>
    </row>
    <row r="227" spans="2:2" s="1623" customFormat="1" x14ac:dyDescent="0.2">
      <c r="B227" s="1631"/>
    </row>
    <row r="228" spans="2:2" s="1623" customFormat="1" x14ac:dyDescent="0.2">
      <c r="B228" s="1631"/>
    </row>
    <row r="229" spans="2:2" s="1623" customFormat="1" x14ac:dyDescent="0.2">
      <c r="B229" s="1631"/>
    </row>
    <row r="230" spans="2:2" s="1623" customFormat="1" x14ac:dyDescent="0.2">
      <c r="B230" s="1631"/>
    </row>
    <row r="231" spans="2:2" s="1623" customFormat="1" x14ac:dyDescent="0.2">
      <c r="B231" s="1631"/>
    </row>
    <row r="232" spans="2:2" s="1623" customFormat="1" x14ac:dyDescent="0.2">
      <c r="B232" s="1631"/>
    </row>
    <row r="233" spans="2:2" s="1623" customFormat="1" x14ac:dyDescent="0.2">
      <c r="B233" s="1631"/>
    </row>
    <row r="234" spans="2:2" s="1623" customFormat="1" x14ac:dyDescent="0.2">
      <c r="B234" s="1631"/>
    </row>
    <row r="235" spans="2:2" s="1623" customFormat="1" x14ac:dyDescent="0.2">
      <c r="B235" s="1631"/>
    </row>
    <row r="236" spans="2:2" s="1623" customFormat="1" x14ac:dyDescent="0.2">
      <c r="B236" s="1631"/>
    </row>
    <row r="237" spans="2:2" s="1623" customFormat="1" x14ac:dyDescent="0.2">
      <c r="B237" s="1631"/>
    </row>
    <row r="238" spans="2:2" s="1623" customFormat="1" x14ac:dyDescent="0.2">
      <c r="B238" s="1631"/>
    </row>
    <row r="239" spans="2:2" s="1623" customFormat="1" x14ac:dyDescent="0.2">
      <c r="B239" s="1631"/>
    </row>
    <row r="240" spans="2:2" s="1623" customFormat="1" x14ac:dyDescent="0.2">
      <c r="B240" s="1631"/>
    </row>
    <row r="241" spans="2:2" s="1623" customFormat="1" x14ac:dyDescent="0.2">
      <c r="B241" s="1631"/>
    </row>
    <row r="242" spans="2:2" s="1623" customFormat="1" x14ac:dyDescent="0.2">
      <c r="B242" s="1631"/>
    </row>
    <row r="243" spans="2:2" s="1623" customFormat="1" x14ac:dyDescent="0.2">
      <c r="B243" s="1631"/>
    </row>
    <row r="244" spans="2:2" s="1623" customFormat="1" x14ac:dyDescent="0.2">
      <c r="B244" s="1631"/>
    </row>
    <row r="245" spans="2:2" s="1623" customFormat="1" x14ac:dyDescent="0.2">
      <c r="B245" s="1631"/>
    </row>
    <row r="246" spans="2:2" s="1623" customFormat="1" x14ac:dyDescent="0.2">
      <c r="B246" s="1631"/>
    </row>
    <row r="247" spans="2:2" s="1623" customFormat="1" x14ac:dyDescent="0.2">
      <c r="B247" s="1631"/>
    </row>
    <row r="248" spans="2:2" s="1623" customFormat="1" x14ac:dyDescent="0.2">
      <c r="B248" s="1631"/>
    </row>
    <row r="249" spans="2:2" s="1623" customFormat="1" x14ac:dyDescent="0.2">
      <c r="B249" s="1631"/>
    </row>
    <row r="250" spans="2:2" s="1623" customFormat="1" x14ac:dyDescent="0.2">
      <c r="B250" s="1631"/>
    </row>
    <row r="251" spans="2:2" s="1623" customFormat="1" x14ac:dyDescent="0.2">
      <c r="B251" s="1631"/>
    </row>
    <row r="252" spans="2:2" s="1623" customFormat="1" x14ac:dyDescent="0.2">
      <c r="B252" s="1631"/>
    </row>
    <row r="253" spans="2:2" s="1623" customFormat="1" x14ac:dyDescent="0.2">
      <c r="B253" s="1631"/>
    </row>
    <row r="254" spans="2:2" s="1623" customFormat="1" x14ac:dyDescent="0.2">
      <c r="B254" s="1631"/>
    </row>
    <row r="255" spans="2:2" s="1623" customFormat="1" x14ac:dyDescent="0.2">
      <c r="B255" s="1631"/>
    </row>
    <row r="256" spans="2:2" s="1623" customFormat="1" x14ac:dyDescent="0.2">
      <c r="B256" s="1631"/>
    </row>
    <row r="257" spans="2:2" s="1623" customFormat="1" x14ac:dyDescent="0.2">
      <c r="B257" s="1631"/>
    </row>
    <row r="258" spans="2:2" s="1623" customFormat="1" x14ac:dyDescent="0.2">
      <c r="B258" s="1631"/>
    </row>
    <row r="259" spans="2:2" s="1623" customFormat="1" x14ac:dyDescent="0.2">
      <c r="B259" s="1631"/>
    </row>
    <row r="260" spans="2:2" s="1623" customFormat="1" x14ac:dyDescent="0.2">
      <c r="B260" s="1631"/>
    </row>
    <row r="261" spans="2:2" s="1623" customFormat="1" x14ac:dyDescent="0.2">
      <c r="B261" s="1631"/>
    </row>
    <row r="262" spans="2:2" s="1623" customFormat="1" x14ac:dyDescent="0.2">
      <c r="B262" s="1631"/>
    </row>
    <row r="263" spans="2:2" s="1623" customFormat="1" x14ac:dyDescent="0.2">
      <c r="B263" s="1631"/>
    </row>
    <row r="264" spans="2:2" s="1623" customFormat="1" x14ac:dyDescent="0.2">
      <c r="B264" s="1631"/>
    </row>
    <row r="265" spans="2:2" s="1623" customFormat="1" x14ac:dyDescent="0.2">
      <c r="B265" s="1631"/>
    </row>
    <row r="266" spans="2:2" s="1623" customFormat="1" x14ac:dyDescent="0.2">
      <c r="B266" s="1631"/>
    </row>
    <row r="267" spans="2:2" s="1623" customFormat="1" x14ac:dyDescent="0.2">
      <c r="B267" s="1631"/>
    </row>
    <row r="268" spans="2:2" s="1623" customFormat="1" x14ac:dyDescent="0.2">
      <c r="B268" s="1631"/>
    </row>
    <row r="269" spans="2:2" s="1623" customFormat="1" x14ac:dyDescent="0.2">
      <c r="B269" s="1631"/>
    </row>
    <row r="270" spans="2:2" s="1623" customFormat="1" x14ac:dyDescent="0.2">
      <c r="B270" s="1631"/>
    </row>
    <row r="271" spans="2:2" s="1623" customFormat="1" x14ac:dyDescent="0.2">
      <c r="B271" s="1631"/>
    </row>
    <row r="272" spans="2:2" s="1623" customFormat="1" x14ac:dyDescent="0.2">
      <c r="B272" s="1631"/>
    </row>
    <row r="273" spans="2:2" s="1623" customFormat="1" x14ac:dyDescent="0.2">
      <c r="B273" s="1631"/>
    </row>
    <row r="274" spans="2:2" s="1623" customFormat="1" x14ac:dyDescent="0.2">
      <c r="B274" s="1631"/>
    </row>
    <row r="275" spans="2:2" s="1623" customFormat="1" x14ac:dyDescent="0.2">
      <c r="B275" s="1631"/>
    </row>
    <row r="276" spans="2:2" s="1623" customFormat="1" x14ac:dyDescent="0.2">
      <c r="B276" s="1631"/>
    </row>
    <row r="277" spans="2:2" s="1623" customFormat="1" x14ac:dyDescent="0.2">
      <c r="B277" s="1631"/>
    </row>
    <row r="278" spans="2:2" s="1623" customFormat="1" x14ac:dyDescent="0.2">
      <c r="B278" s="1631"/>
    </row>
    <row r="279" spans="2:2" s="1623" customFormat="1" x14ac:dyDescent="0.2">
      <c r="B279" s="1631"/>
    </row>
    <row r="280" spans="2:2" s="1623" customFormat="1" x14ac:dyDescent="0.2">
      <c r="B280" s="1631"/>
    </row>
    <row r="281" spans="2:2" s="1623" customFormat="1" x14ac:dyDescent="0.2">
      <c r="B281" s="1631"/>
    </row>
    <row r="282" spans="2:2" s="1623" customFormat="1" x14ac:dyDescent="0.2">
      <c r="B282" s="1631"/>
    </row>
    <row r="283" spans="2:2" s="1623" customFormat="1" x14ac:dyDescent="0.2">
      <c r="B283" s="1631"/>
    </row>
    <row r="284" spans="2:2" s="1623" customFormat="1" x14ac:dyDescent="0.2">
      <c r="B284" s="1631"/>
    </row>
    <row r="285" spans="2:2" s="1623" customFormat="1" x14ac:dyDescent="0.2">
      <c r="B285" s="1631"/>
    </row>
    <row r="286" spans="2:2" s="1623" customFormat="1" x14ac:dyDescent="0.2">
      <c r="B286" s="1631"/>
    </row>
    <row r="287" spans="2:2" s="1623" customFormat="1" x14ac:dyDescent="0.2">
      <c r="B287" s="1631"/>
    </row>
    <row r="288" spans="2:2" s="1623" customFormat="1" x14ac:dyDescent="0.2">
      <c r="B288" s="1631"/>
    </row>
    <row r="289" spans="2:2" s="1623" customFormat="1" x14ac:dyDescent="0.2">
      <c r="B289" s="1631"/>
    </row>
    <row r="290" spans="2:2" s="1623" customFormat="1" x14ac:dyDescent="0.2">
      <c r="B290" s="1631"/>
    </row>
    <row r="291" spans="2:2" s="1623" customFormat="1" x14ac:dyDescent="0.2">
      <c r="B291" s="1631"/>
    </row>
    <row r="292" spans="2:2" s="1623" customFormat="1" x14ac:dyDescent="0.2">
      <c r="B292" s="1631"/>
    </row>
    <row r="293" spans="2:2" s="1623" customFormat="1" x14ac:dyDescent="0.2">
      <c r="B293" s="1631"/>
    </row>
    <row r="294" spans="2:2" s="1623" customFormat="1" x14ac:dyDescent="0.2">
      <c r="B294" s="1631"/>
    </row>
    <row r="295" spans="2:2" s="1623" customFormat="1" x14ac:dyDescent="0.2">
      <c r="B295" s="1631"/>
    </row>
    <row r="296" spans="2:2" s="1623" customFormat="1" x14ac:dyDescent="0.2">
      <c r="B296" s="1631"/>
    </row>
    <row r="297" spans="2:2" s="1623" customFormat="1" x14ac:dyDescent="0.2">
      <c r="B297" s="1631"/>
    </row>
    <row r="298" spans="2:2" s="1623" customFormat="1" x14ac:dyDescent="0.2">
      <c r="B298" s="1631"/>
    </row>
    <row r="299" spans="2:2" s="1623" customFormat="1" x14ac:dyDescent="0.2">
      <c r="B299" s="1631"/>
    </row>
    <row r="300" spans="2:2" s="1623" customFormat="1" x14ac:dyDescent="0.2">
      <c r="B300" s="1631"/>
    </row>
    <row r="301" spans="2:2" s="1623" customFormat="1" x14ac:dyDescent="0.2">
      <c r="B301" s="1631"/>
    </row>
    <row r="302" spans="2:2" s="1623" customFormat="1" x14ac:dyDescent="0.2">
      <c r="B302" s="1631"/>
    </row>
    <row r="303" spans="2:2" s="1623" customFormat="1" x14ac:dyDescent="0.2">
      <c r="B303" s="1631"/>
    </row>
    <row r="304" spans="2:2" s="1623" customFormat="1" x14ac:dyDescent="0.2">
      <c r="B304" s="1631"/>
    </row>
    <row r="305" spans="2:2" s="1623" customFormat="1" x14ac:dyDescent="0.2">
      <c r="B305" s="1631"/>
    </row>
    <row r="306" spans="2:2" s="1623" customFormat="1" x14ac:dyDescent="0.2">
      <c r="B306" s="1631"/>
    </row>
    <row r="307" spans="2:2" s="1623" customFormat="1" x14ac:dyDescent="0.2">
      <c r="B307" s="1631"/>
    </row>
    <row r="308" spans="2:2" s="1623" customFormat="1" x14ac:dyDescent="0.2">
      <c r="B308" s="1631"/>
    </row>
    <row r="309" spans="2:2" s="1623" customFormat="1" x14ac:dyDescent="0.2">
      <c r="B309" s="1631"/>
    </row>
    <row r="310" spans="2:2" s="1623" customFormat="1" x14ac:dyDescent="0.2">
      <c r="B310" s="1631"/>
    </row>
    <row r="311" spans="2:2" s="1623" customFormat="1" x14ac:dyDescent="0.2">
      <c r="B311" s="1631"/>
    </row>
    <row r="312" spans="2:2" s="1623" customFormat="1" x14ac:dyDescent="0.2">
      <c r="B312" s="1631"/>
    </row>
    <row r="313" spans="2:2" s="1623" customFormat="1" x14ac:dyDescent="0.2">
      <c r="B313" s="1631"/>
    </row>
    <row r="314" spans="2:2" s="1623" customFormat="1" x14ac:dyDescent="0.2">
      <c r="B314" s="1631"/>
    </row>
    <row r="315" spans="2:2" s="1623" customFormat="1" x14ac:dyDescent="0.2">
      <c r="B315" s="1631"/>
    </row>
    <row r="316" spans="2:2" s="1623" customFormat="1" x14ac:dyDescent="0.2">
      <c r="B316" s="1631"/>
    </row>
    <row r="317" spans="2:2" s="1623" customFormat="1" x14ac:dyDescent="0.2">
      <c r="B317" s="1631"/>
    </row>
    <row r="318" spans="2:2" s="1623" customFormat="1" x14ac:dyDescent="0.2">
      <c r="B318" s="1631"/>
    </row>
    <row r="319" spans="2:2" s="1623" customFormat="1" x14ac:dyDescent="0.2">
      <c r="B319" s="1631"/>
    </row>
    <row r="320" spans="2:2" s="1623" customFormat="1" x14ac:dyDescent="0.2">
      <c r="B320" s="1631"/>
    </row>
    <row r="321" spans="2:2" s="1623" customFormat="1" x14ac:dyDescent="0.2">
      <c r="B321" s="1631"/>
    </row>
    <row r="322" spans="2:2" s="1623" customFormat="1" x14ac:dyDescent="0.2">
      <c r="B322" s="1631"/>
    </row>
    <row r="323" spans="2:2" s="1623" customFormat="1" x14ac:dyDescent="0.2">
      <c r="B323" s="1631"/>
    </row>
    <row r="324" spans="2:2" s="1623" customFormat="1" x14ac:dyDescent="0.2">
      <c r="B324" s="1631"/>
    </row>
    <row r="325" spans="2:2" s="1623" customFormat="1" x14ac:dyDescent="0.2">
      <c r="B325" s="1631"/>
    </row>
    <row r="326" spans="2:2" s="1623" customFormat="1" x14ac:dyDescent="0.2">
      <c r="B326" s="1631"/>
    </row>
    <row r="327" spans="2:2" s="1623" customFormat="1" x14ac:dyDescent="0.2">
      <c r="B327" s="1631"/>
    </row>
    <row r="328" spans="2:2" s="1623" customFormat="1" x14ac:dyDescent="0.2">
      <c r="B328" s="1631"/>
    </row>
    <row r="329" spans="2:2" s="1623" customFormat="1" x14ac:dyDescent="0.2">
      <c r="B329" s="1631"/>
    </row>
    <row r="330" spans="2:2" s="1623" customFormat="1" x14ac:dyDescent="0.2">
      <c r="B330" s="1631"/>
    </row>
    <row r="331" spans="2:2" s="1623" customFormat="1" x14ac:dyDescent="0.2">
      <c r="B331" s="1631"/>
    </row>
    <row r="332" spans="2:2" s="1623" customFormat="1" x14ac:dyDescent="0.2">
      <c r="B332" s="1631"/>
    </row>
    <row r="333" spans="2:2" s="1623" customFormat="1" x14ac:dyDescent="0.2">
      <c r="B333" s="1631"/>
    </row>
    <row r="334" spans="2:2" s="1623" customFormat="1" x14ac:dyDescent="0.2">
      <c r="B334" s="1631"/>
    </row>
    <row r="335" spans="2:2" s="1623" customFormat="1" x14ac:dyDescent="0.2">
      <c r="B335" s="1631"/>
    </row>
    <row r="336" spans="2:2" s="1623" customFormat="1" x14ac:dyDescent="0.2">
      <c r="B336" s="1631"/>
    </row>
    <row r="337" spans="2:2" s="1623" customFormat="1" x14ac:dyDescent="0.2">
      <c r="B337" s="1631"/>
    </row>
    <row r="338" spans="2:2" s="1623" customFormat="1" x14ac:dyDescent="0.2">
      <c r="B338" s="1631"/>
    </row>
    <row r="339" spans="2:2" s="1623" customFormat="1" x14ac:dyDescent="0.2">
      <c r="B339" s="1631"/>
    </row>
    <row r="340" spans="2:2" s="1623" customFormat="1" x14ac:dyDescent="0.2">
      <c r="B340" s="1631"/>
    </row>
    <row r="341" spans="2:2" s="1623" customFormat="1" x14ac:dyDescent="0.2">
      <c r="B341" s="1631"/>
    </row>
    <row r="342" spans="2:2" s="1623" customFormat="1" x14ac:dyDescent="0.2">
      <c r="B342" s="1631"/>
    </row>
    <row r="343" spans="2:2" s="1623" customFormat="1" x14ac:dyDescent="0.2">
      <c r="B343" s="1631"/>
    </row>
    <row r="344" spans="2:2" s="1623" customFormat="1" x14ac:dyDescent="0.2">
      <c r="B344" s="1631"/>
    </row>
    <row r="345" spans="2:2" s="1623" customFormat="1" x14ac:dyDescent="0.2">
      <c r="B345" s="1631"/>
    </row>
    <row r="346" spans="2:2" s="1623" customFormat="1" x14ac:dyDescent="0.2">
      <c r="B346" s="1631"/>
    </row>
    <row r="347" spans="2:2" s="1623" customFormat="1" x14ac:dyDescent="0.2">
      <c r="B347" s="1631"/>
    </row>
    <row r="348" spans="2:2" s="1623" customFormat="1" x14ac:dyDescent="0.2">
      <c r="B348" s="1631"/>
    </row>
    <row r="349" spans="2:2" s="1623" customFormat="1" x14ac:dyDescent="0.2">
      <c r="B349" s="1631"/>
    </row>
    <row r="350" spans="2:2" s="1623" customFormat="1" x14ac:dyDescent="0.2">
      <c r="B350" s="1631"/>
    </row>
    <row r="351" spans="2:2" s="1623" customFormat="1" x14ac:dyDescent="0.2">
      <c r="B351" s="1631"/>
    </row>
    <row r="352" spans="2:2" s="1623" customFormat="1" x14ac:dyDescent="0.2">
      <c r="B352" s="1631"/>
    </row>
    <row r="353" spans="2:2" s="1623" customFormat="1" x14ac:dyDescent="0.2">
      <c r="B353" s="1631"/>
    </row>
    <row r="354" spans="2:2" s="1623" customFormat="1" x14ac:dyDescent="0.2">
      <c r="B354" s="1631"/>
    </row>
    <row r="355" spans="2:2" s="1623" customFormat="1" x14ac:dyDescent="0.2">
      <c r="B355" s="1631"/>
    </row>
    <row r="356" spans="2:2" s="1623" customFormat="1" x14ac:dyDescent="0.2">
      <c r="B356" s="1631"/>
    </row>
    <row r="357" spans="2:2" s="1623" customFormat="1" x14ac:dyDescent="0.2">
      <c r="B357" s="1631"/>
    </row>
    <row r="358" spans="2:2" s="1623" customFormat="1" x14ac:dyDescent="0.2">
      <c r="B358" s="1631"/>
    </row>
    <row r="359" spans="2:2" s="1623" customFormat="1" x14ac:dyDescent="0.2">
      <c r="B359" s="1631"/>
    </row>
    <row r="360" spans="2:2" s="1623" customFormat="1" x14ac:dyDescent="0.2">
      <c r="B360" s="1631"/>
    </row>
    <row r="361" spans="2:2" s="1623" customFormat="1" x14ac:dyDescent="0.2">
      <c r="B361" s="1631"/>
    </row>
    <row r="362" spans="2:2" s="1623" customFormat="1" x14ac:dyDescent="0.2">
      <c r="B362" s="1631"/>
    </row>
    <row r="363" spans="2:2" s="1623" customFormat="1" x14ac:dyDescent="0.2">
      <c r="B363" s="1631"/>
    </row>
    <row r="364" spans="2:2" s="1623" customFormat="1" x14ac:dyDescent="0.2">
      <c r="B364" s="1631"/>
    </row>
    <row r="365" spans="2:2" s="1623" customFormat="1" x14ac:dyDescent="0.2">
      <c r="B365" s="1631"/>
    </row>
    <row r="366" spans="2:2" s="1623" customFormat="1" x14ac:dyDescent="0.2">
      <c r="B366" s="1631"/>
    </row>
    <row r="367" spans="2:2" s="1623" customFormat="1" x14ac:dyDescent="0.2">
      <c r="B367" s="1631"/>
    </row>
    <row r="368" spans="2:2" s="1623" customFormat="1" x14ac:dyDescent="0.2">
      <c r="B368" s="1631"/>
    </row>
    <row r="369" spans="2:2" s="1623" customFormat="1" x14ac:dyDescent="0.2">
      <c r="B369" s="1631"/>
    </row>
    <row r="370" spans="2:2" s="1623" customFormat="1" x14ac:dyDescent="0.2">
      <c r="B370" s="1631"/>
    </row>
    <row r="371" spans="2:2" s="1623" customFormat="1" x14ac:dyDescent="0.2">
      <c r="B371" s="1631"/>
    </row>
    <row r="372" spans="2:2" s="1623" customFormat="1" x14ac:dyDescent="0.2">
      <c r="B372" s="1631"/>
    </row>
    <row r="373" spans="2:2" s="1623" customFormat="1" x14ac:dyDescent="0.2">
      <c r="B373" s="1631"/>
    </row>
    <row r="374" spans="2:2" s="1623" customFormat="1" x14ac:dyDescent="0.2">
      <c r="B374" s="1631"/>
    </row>
    <row r="375" spans="2:2" s="1623" customFormat="1" x14ac:dyDescent="0.2">
      <c r="B375" s="1631"/>
    </row>
    <row r="376" spans="2:2" s="1623" customFormat="1" x14ac:dyDescent="0.2">
      <c r="B376" s="1631"/>
    </row>
    <row r="377" spans="2:2" s="1623" customFormat="1" x14ac:dyDescent="0.2">
      <c r="B377" s="1631"/>
    </row>
    <row r="378" spans="2:2" s="1623" customFormat="1" x14ac:dyDescent="0.2">
      <c r="B378" s="1631"/>
    </row>
    <row r="379" spans="2:2" s="1623" customFormat="1" x14ac:dyDescent="0.2">
      <c r="B379" s="1631"/>
    </row>
    <row r="380" spans="2:2" s="1623" customFormat="1" x14ac:dyDescent="0.2">
      <c r="B380" s="1631"/>
    </row>
    <row r="381" spans="2:2" s="1623" customFormat="1" x14ac:dyDescent="0.2">
      <c r="B381" s="1631"/>
    </row>
    <row r="382" spans="2:2" s="1623" customFormat="1" x14ac:dyDescent="0.2">
      <c r="B382" s="1631"/>
    </row>
    <row r="383" spans="2:2" s="1623" customFormat="1" x14ac:dyDescent="0.2">
      <c r="B383" s="1631"/>
    </row>
    <row r="384" spans="2:2" s="1623" customFormat="1" x14ac:dyDescent="0.2">
      <c r="B384" s="1631"/>
    </row>
    <row r="385" spans="2:2" s="1623" customFormat="1" x14ac:dyDescent="0.2">
      <c r="B385" s="1631"/>
    </row>
    <row r="386" spans="2:2" s="1623" customFormat="1" x14ac:dyDescent="0.2">
      <c r="B386" s="1631"/>
    </row>
    <row r="387" spans="2:2" s="1623" customFormat="1" x14ac:dyDescent="0.2">
      <c r="B387" s="1631"/>
    </row>
    <row r="388" spans="2:2" s="1623" customFormat="1" x14ac:dyDescent="0.2">
      <c r="B388" s="1631"/>
    </row>
    <row r="389" spans="2:2" s="1623" customFormat="1" x14ac:dyDescent="0.2">
      <c r="B389" s="1631"/>
    </row>
    <row r="390" spans="2:2" s="1623" customFormat="1" x14ac:dyDescent="0.2">
      <c r="B390" s="1631"/>
    </row>
    <row r="391" spans="2:2" s="1623" customFormat="1" x14ac:dyDescent="0.2">
      <c r="B391" s="1631"/>
    </row>
    <row r="392" spans="2:2" s="1623" customFormat="1" x14ac:dyDescent="0.2">
      <c r="B392" s="1631"/>
    </row>
    <row r="393" spans="2:2" s="1623" customFormat="1" x14ac:dyDescent="0.2">
      <c r="B393" s="1631"/>
    </row>
    <row r="394" spans="2:2" s="1623" customFormat="1" x14ac:dyDescent="0.2">
      <c r="B394" s="1631"/>
    </row>
    <row r="395" spans="2:2" s="1623" customFormat="1" x14ac:dyDescent="0.2">
      <c r="B395" s="1631"/>
    </row>
    <row r="396" spans="2:2" s="1623" customFormat="1" x14ac:dyDescent="0.2">
      <c r="B396" s="1631"/>
    </row>
    <row r="397" spans="2:2" s="1623" customFormat="1" x14ac:dyDescent="0.2">
      <c r="B397" s="1631"/>
    </row>
    <row r="398" spans="2:2" s="1623" customFormat="1" x14ac:dyDescent="0.2">
      <c r="B398" s="1631"/>
    </row>
    <row r="399" spans="2:2" s="1623" customFormat="1" x14ac:dyDescent="0.2">
      <c r="B399" s="1631"/>
    </row>
    <row r="400" spans="2:2" s="1623" customFormat="1" x14ac:dyDescent="0.2">
      <c r="B400" s="1631"/>
    </row>
    <row r="401" spans="2:2" s="1623" customFormat="1" x14ac:dyDescent="0.2">
      <c r="B401" s="1631"/>
    </row>
    <row r="402" spans="2:2" s="1623" customFormat="1" x14ac:dyDescent="0.2">
      <c r="B402" s="1631"/>
    </row>
    <row r="403" spans="2:2" s="1623" customFormat="1" x14ac:dyDescent="0.2">
      <c r="B403" s="1631"/>
    </row>
    <row r="404" spans="2:2" s="1623" customFormat="1" x14ac:dyDescent="0.2">
      <c r="B404" s="1631"/>
    </row>
    <row r="405" spans="2:2" s="1623" customFormat="1" x14ac:dyDescent="0.2">
      <c r="B405" s="1631"/>
    </row>
    <row r="406" spans="2:2" s="1623" customFormat="1" x14ac:dyDescent="0.2">
      <c r="B406" s="1631"/>
    </row>
    <row r="407" spans="2:2" s="1623" customFormat="1" x14ac:dyDescent="0.2">
      <c r="B407" s="1631"/>
    </row>
    <row r="408" spans="2:2" s="1623" customFormat="1" x14ac:dyDescent="0.2">
      <c r="B408" s="1631"/>
    </row>
    <row r="409" spans="2:2" s="1623" customFormat="1" x14ac:dyDescent="0.2">
      <c r="B409" s="1631"/>
    </row>
    <row r="410" spans="2:2" s="1623" customFormat="1" x14ac:dyDescent="0.2">
      <c r="B410" s="1631"/>
    </row>
    <row r="411" spans="2:2" s="1623" customFormat="1" x14ac:dyDescent="0.2">
      <c r="B411" s="1631"/>
    </row>
    <row r="412" spans="2:2" s="1623" customFormat="1" x14ac:dyDescent="0.2">
      <c r="B412" s="1631"/>
    </row>
    <row r="413" spans="2:2" s="1623" customFormat="1" x14ac:dyDescent="0.2">
      <c r="B413" s="1631"/>
    </row>
    <row r="414" spans="2:2" s="1623" customFormat="1" x14ac:dyDescent="0.2">
      <c r="B414" s="1631"/>
    </row>
    <row r="415" spans="2:2" s="1623" customFormat="1" x14ac:dyDescent="0.2">
      <c r="B415" s="1631"/>
    </row>
    <row r="416" spans="2:2" s="1623" customFormat="1" x14ac:dyDescent="0.2">
      <c r="B416" s="1631"/>
    </row>
    <row r="417" spans="2:2" s="1623" customFormat="1" x14ac:dyDescent="0.2">
      <c r="B417" s="1631"/>
    </row>
    <row r="418" spans="2:2" s="1623" customFormat="1" x14ac:dyDescent="0.2">
      <c r="B418" s="1631"/>
    </row>
    <row r="419" spans="2:2" s="1623" customFormat="1" x14ac:dyDescent="0.2">
      <c r="B419" s="1631"/>
    </row>
    <row r="420" spans="2:2" s="1623" customFormat="1" x14ac:dyDescent="0.2">
      <c r="B420" s="1631"/>
    </row>
    <row r="421" spans="2:2" s="1623" customFormat="1" x14ac:dyDescent="0.2">
      <c r="B421" s="1631"/>
    </row>
    <row r="422" spans="2:2" s="1623" customFormat="1" x14ac:dyDescent="0.2">
      <c r="B422" s="1631"/>
    </row>
    <row r="423" spans="2:2" s="1623" customFormat="1" x14ac:dyDescent="0.2">
      <c r="B423" s="1631"/>
    </row>
    <row r="424" spans="2:2" s="1623" customFormat="1" x14ac:dyDescent="0.2">
      <c r="B424" s="1631"/>
    </row>
    <row r="425" spans="2:2" s="1623" customFormat="1" x14ac:dyDescent="0.2">
      <c r="B425" s="1631"/>
    </row>
    <row r="426" spans="2:2" s="1623" customFormat="1" x14ac:dyDescent="0.2">
      <c r="B426" s="1631"/>
    </row>
    <row r="427" spans="2:2" s="1623" customFormat="1" x14ac:dyDescent="0.2">
      <c r="B427" s="1631"/>
    </row>
    <row r="428" spans="2:2" s="1623" customFormat="1" x14ac:dyDescent="0.2">
      <c r="B428" s="1631"/>
    </row>
    <row r="429" spans="2:2" s="1623" customFormat="1" x14ac:dyDescent="0.2">
      <c r="B429" s="1631"/>
    </row>
    <row r="430" spans="2:2" s="1623" customFormat="1" x14ac:dyDescent="0.2">
      <c r="B430" s="1631"/>
    </row>
    <row r="431" spans="2:2" s="1623" customFormat="1" x14ac:dyDescent="0.2">
      <c r="B431" s="1631"/>
    </row>
    <row r="432" spans="2:2" s="1623" customFormat="1" x14ac:dyDescent="0.2">
      <c r="B432" s="1631"/>
    </row>
    <row r="433" spans="2:2" s="1623" customFormat="1" x14ac:dyDescent="0.2">
      <c r="B433" s="1631"/>
    </row>
    <row r="434" spans="2:2" s="1623" customFormat="1" x14ac:dyDescent="0.2">
      <c r="B434" s="1631"/>
    </row>
    <row r="435" spans="2:2" s="1623" customFormat="1" x14ac:dyDescent="0.2">
      <c r="B435" s="1631"/>
    </row>
    <row r="436" spans="2:2" s="1623" customFormat="1" x14ac:dyDescent="0.2">
      <c r="B436" s="1631"/>
    </row>
    <row r="437" spans="2:2" s="1623" customFormat="1" x14ac:dyDescent="0.2">
      <c r="B437" s="1631"/>
    </row>
    <row r="438" spans="2:2" s="1623" customFormat="1" x14ac:dyDescent="0.2">
      <c r="B438" s="1631"/>
    </row>
    <row r="439" spans="2:2" s="1623" customFormat="1" x14ac:dyDescent="0.2">
      <c r="B439" s="1631"/>
    </row>
    <row r="440" spans="2:2" s="1623" customFormat="1" x14ac:dyDescent="0.2">
      <c r="B440" s="1631"/>
    </row>
    <row r="441" spans="2:2" s="1623" customFormat="1" x14ac:dyDescent="0.2">
      <c r="B441" s="1631"/>
    </row>
    <row r="442" spans="2:2" s="1623" customFormat="1" x14ac:dyDescent="0.2">
      <c r="B442" s="1631"/>
    </row>
    <row r="443" spans="2:2" s="1623" customFormat="1" x14ac:dyDescent="0.2">
      <c r="B443" s="1631"/>
    </row>
    <row r="444" spans="2:2" s="1623" customFormat="1" x14ac:dyDescent="0.2">
      <c r="B444" s="1631"/>
    </row>
    <row r="445" spans="2:2" s="1623" customFormat="1" x14ac:dyDescent="0.2">
      <c r="B445" s="1631"/>
    </row>
    <row r="446" spans="2:2" s="1623" customFormat="1" x14ac:dyDescent="0.2">
      <c r="B446" s="1631"/>
    </row>
    <row r="447" spans="2:2" s="1623" customFormat="1" x14ac:dyDescent="0.2">
      <c r="B447" s="1631"/>
    </row>
    <row r="448" spans="2:2" s="1623" customFormat="1" x14ac:dyDescent="0.2">
      <c r="B448" s="1631"/>
    </row>
    <row r="449" spans="2:2" s="1623" customFormat="1" x14ac:dyDescent="0.2">
      <c r="B449" s="1631"/>
    </row>
    <row r="450" spans="2:2" s="1623" customFormat="1" x14ac:dyDescent="0.2">
      <c r="B450" s="1631"/>
    </row>
    <row r="451" spans="2:2" s="1623" customFormat="1" x14ac:dyDescent="0.2">
      <c r="B451" s="1631"/>
    </row>
    <row r="452" spans="2:2" s="1623" customFormat="1" x14ac:dyDescent="0.2">
      <c r="B452" s="1631"/>
    </row>
    <row r="453" spans="2:2" s="1623" customFormat="1" x14ac:dyDescent="0.2">
      <c r="B453" s="1631"/>
    </row>
    <row r="454" spans="2:2" s="1623" customFormat="1" x14ac:dyDescent="0.2">
      <c r="B454" s="1631"/>
    </row>
    <row r="455" spans="2:2" s="1623" customFormat="1" x14ac:dyDescent="0.2">
      <c r="B455" s="1631"/>
    </row>
    <row r="456" spans="2:2" s="1623" customFormat="1" x14ac:dyDescent="0.2">
      <c r="B456" s="1631"/>
    </row>
    <row r="457" spans="2:2" s="1623" customFormat="1" x14ac:dyDescent="0.2">
      <c r="B457" s="1631"/>
    </row>
    <row r="458" spans="2:2" s="1623" customFormat="1" x14ac:dyDescent="0.2">
      <c r="B458" s="1631"/>
    </row>
    <row r="459" spans="2:2" s="1623" customFormat="1" x14ac:dyDescent="0.2">
      <c r="B459" s="1631"/>
    </row>
    <row r="460" spans="2:2" s="1623" customFormat="1" x14ac:dyDescent="0.2">
      <c r="B460" s="1631"/>
    </row>
    <row r="461" spans="2:2" s="1623" customFormat="1" x14ac:dyDescent="0.2">
      <c r="B461" s="1631"/>
    </row>
    <row r="462" spans="2:2" s="1623" customFormat="1" x14ac:dyDescent="0.2">
      <c r="B462" s="1631"/>
    </row>
    <row r="463" spans="2:2" s="1623" customFormat="1" x14ac:dyDescent="0.2">
      <c r="B463" s="1631"/>
    </row>
    <row r="464" spans="2:2" s="1623" customFormat="1" x14ac:dyDescent="0.2">
      <c r="B464" s="1631"/>
    </row>
    <row r="465" spans="2:2" s="1623" customFormat="1" x14ac:dyDescent="0.2">
      <c r="B465" s="1631"/>
    </row>
    <row r="466" spans="2:2" s="1623" customFormat="1" x14ac:dyDescent="0.2">
      <c r="B466" s="1631"/>
    </row>
    <row r="467" spans="2:2" s="1623" customFormat="1" x14ac:dyDescent="0.2">
      <c r="B467" s="1631"/>
    </row>
    <row r="468" spans="2:2" s="1623" customFormat="1" x14ac:dyDescent="0.2">
      <c r="B468" s="1631"/>
    </row>
    <row r="469" spans="2:2" s="1623" customFormat="1" x14ac:dyDescent="0.2">
      <c r="B469" s="1631"/>
    </row>
    <row r="470" spans="2:2" s="1623" customFormat="1" x14ac:dyDescent="0.2">
      <c r="B470" s="1631"/>
    </row>
    <row r="471" spans="2:2" s="1623" customFormat="1" x14ac:dyDescent="0.2">
      <c r="B471" s="1631"/>
    </row>
    <row r="472" spans="2:2" s="1623" customFormat="1" x14ac:dyDescent="0.2">
      <c r="B472" s="1631"/>
    </row>
    <row r="473" spans="2:2" s="1623" customFormat="1" x14ac:dyDescent="0.2">
      <c r="B473" s="1631"/>
    </row>
    <row r="474" spans="2:2" s="1623" customFormat="1" x14ac:dyDescent="0.2">
      <c r="B474" s="1631"/>
    </row>
    <row r="475" spans="2:2" s="1623" customFormat="1" x14ac:dyDescent="0.2">
      <c r="B475" s="1631"/>
    </row>
    <row r="476" spans="2:2" s="1623" customFormat="1" x14ac:dyDescent="0.2">
      <c r="B476" s="1631"/>
    </row>
    <row r="477" spans="2:2" s="1623" customFormat="1" x14ac:dyDescent="0.2">
      <c r="B477" s="1631"/>
    </row>
    <row r="478" spans="2:2" s="1623" customFormat="1" x14ac:dyDescent="0.2">
      <c r="B478" s="1631"/>
    </row>
    <row r="479" spans="2:2" s="1623" customFormat="1" x14ac:dyDescent="0.2">
      <c r="B479" s="1631"/>
    </row>
    <row r="480" spans="2:2" s="1623" customFormat="1" x14ac:dyDescent="0.2">
      <c r="B480" s="1631"/>
    </row>
    <row r="481" spans="2:2" s="1623" customFormat="1" x14ac:dyDescent="0.2">
      <c r="B481" s="1631"/>
    </row>
    <row r="482" spans="2:2" s="1623" customFormat="1" x14ac:dyDescent="0.2">
      <c r="B482" s="1631"/>
    </row>
    <row r="483" spans="2:2" s="1623" customFormat="1" x14ac:dyDescent="0.2">
      <c r="B483" s="1631"/>
    </row>
    <row r="484" spans="2:2" s="1623" customFormat="1" x14ac:dyDescent="0.2">
      <c r="B484" s="1631"/>
    </row>
    <row r="485" spans="2:2" s="1623" customFormat="1" x14ac:dyDescent="0.2">
      <c r="B485" s="1631"/>
    </row>
    <row r="486" spans="2:2" s="1623" customFormat="1" x14ac:dyDescent="0.2">
      <c r="B486" s="1631"/>
    </row>
    <row r="487" spans="2:2" s="1623" customFormat="1" x14ac:dyDescent="0.2">
      <c r="B487" s="1631"/>
    </row>
    <row r="488" spans="2:2" s="1623" customFormat="1" x14ac:dyDescent="0.2">
      <c r="B488" s="1631"/>
    </row>
    <row r="489" spans="2:2" s="1623" customFormat="1" x14ac:dyDescent="0.2">
      <c r="B489" s="1631"/>
    </row>
    <row r="490" spans="2:2" s="1623" customFormat="1" x14ac:dyDescent="0.2">
      <c r="B490" s="1631"/>
    </row>
    <row r="491" spans="2:2" s="1623" customFormat="1" x14ac:dyDescent="0.2">
      <c r="B491" s="1631"/>
    </row>
    <row r="492" spans="2:2" s="1623" customFormat="1" x14ac:dyDescent="0.2">
      <c r="B492" s="1631"/>
    </row>
    <row r="493" spans="2:2" s="1623" customFormat="1" x14ac:dyDescent="0.2">
      <c r="B493" s="1631"/>
    </row>
    <row r="494" spans="2:2" s="1623" customFormat="1" x14ac:dyDescent="0.2">
      <c r="B494" s="1631"/>
    </row>
    <row r="495" spans="2:2" s="1623" customFormat="1" x14ac:dyDescent="0.2">
      <c r="B495" s="1631"/>
    </row>
    <row r="496" spans="2:2" s="1623" customFormat="1" x14ac:dyDescent="0.2">
      <c r="B496" s="1631"/>
    </row>
    <row r="497" spans="2:2" s="1623" customFormat="1" x14ac:dyDescent="0.2">
      <c r="B497" s="1631"/>
    </row>
    <row r="498" spans="2:2" s="1623" customFormat="1" x14ac:dyDescent="0.2">
      <c r="B498" s="1631"/>
    </row>
    <row r="499" spans="2:2" s="1623" customFormat="1" x14ac:dyDescent="0.2">
      <c r="B499" s="1631"/>
    </row>
    <row r="500" spans="2:2" s="1623" customFormat="1" x14ac:dyDescent="0.2">
      <c r="B500" s="1631"/>
    </row>
    <row r="501" spans="2:2" s="1623" customFormat="1" x14ac:dyDescent="0.2">
      <c r="B501" s="1631"/>
    </row>
    <row r="502" spans="2:2" s="1623" customFormat="1" x14ac:dyDescent="0.2">
      <c r="B502" s="1631"/>
    </row>
    <row r="503" spans="2:2" s="1623" customFormat="1" x14ac:dyDescent="0.2">
      <c r="B503" s="1631"/>
    </row>
    <row r="504" spans="2:2" s="1623" customFormat="1" x14ac:dyDescent="0.2">
      <c r="B504" s="1631"/>
    </row>
    <row r="505" spans="2:2" s="1623" customFormat="1" x14ac:dyDescent="0.2">
      <c r="B505" s="1631"/>
    </row>
    <row r="506" spans="2:2" s="1623" customFormat="1" x14ac:dyDescent="0.2">
      <c r="B506" s="1631"/>
    </row>
    <row r="507" spans="2:2" s="1623" customFormat="1" x14ac:dyDescent="0.2">
      <c r="B507" s="1631"/>
    </row>
    <row r="508" spans="2:2" s="1623" customFormat="1" x14ac:dyDescent="0.2">
      <c r="B508" s="1631"/>
    </row>
    <row r="509" spans="2:2" s="1623" customFormat="1" x14ac:dyDescent="0.2">
      <c r="B509" s="1631"/>
    </row>
    <row r="510" spans="2:2" s="1623" customFormat="1" x14ac:dyDescent="0.2">
      <c r="B510" s="1631"/>
    </row>
    <row r="511" spans="2:2" s="1623" customFormat="1" x14ac:dyDescent="0.2">
      <c r="B511" s="1631"/>
    </row>
    <row r="512" spans="2:2" s="1623" customFormat="1" x14ac:dyDescent="0.2">
      <c r="B512" s="1631"/>
    </row>
    <row r="513" spans="2:2" s="1623" customFormat="1" x14ac:dyDescent="0.2">
      <c r="B513" s="1631"/>
    </row>
    <row r="514" spans="2:2" s="1623" customFormat="1" x14ac:dyDescent="0.2">
      <c r="B514" s="1631"/>
    </row>
    <row r="515" spans="2:2" s="1623" customFormat="1" x14ac:dyDescent="0.2">
      <c r="B515" s="1631"/>
    </row>
    <row r="516" spans="2:2" s="1623" customFormat="1" x14ac:dyDescent="0.2">
      <c r="B516" s="1631"/>
    </row>
    <row r="517" spans="2:2" s="1623" customFormat="1" x14ac:dyDescent="0.2">
      <c r="B517" s="1631"/>
    </row>
    <row r="518" spans="2:2" s="1623" customFormat="1" x14ac:dyDescent="0.2">
      <c r="B518" s="1631"/>
    </row>
    <row r="519" spans="2:2" s="1623" customFormat="1" x14ac:dyDescent="0.2">
      <c r="B519" s="1631"/>
    </row>
    <row r="520" spans="2:2" s="1623" customFormat="1" x14ac:dyDescent="0.2">
      <c r="B520" s="1631"/>
    </row>
    <row r="521" spans="2:2" s="1623" customFormat="1" x14ac:dyDescent="0.2">
      <c r="B521" s="1631"/>
    </row>
    <row r="522" spans="2:2" s="1623" customFormat="1" x14ac:dyDescent="0.2">
      <c r="B522" s="1631"/>
    </row>
    <row r="523" spans="2:2" s="1623" customFormat="1" x14ac:dyDescent="0.2">
      <c r="B523" s="1631"/>
    </row>
    <row r="524" spans="2:2" s="1623" customFormat="1" x14ac:dyDescent="0.2">
      <c r="B524" s="1631"/>
    </row>
    <row r="525" spans="2:2" s="1623" customFormat="1" x14ac:dyDescent="0.2">
      <c r="B525" s="1631"/>
    </row>
    <row r="526" spans="2:2" s="1623" customFormat="1" x14ac:dyDescent="0.2">
      <c r="B526" s="1631"/>
    </row>
    <row r="527" spans="2:2" s="1623" customFormat="1" x14ac:dyDescent="0.2">
      <c r="B527" s="1631"/>
    </row>
    <row r="528" spans="2:2" s="1623" customFormat="1" x14ac:dyDescent="0.2">
      <c r="B528" s="1631"/>
    </row>
    <row r="529" spans="2:2" s="1623" customFormat="1" x14ac:dyDescent="0.2">
      <c r="B529" s="1631"/>
    </row>
    <row r="530" spans="2:2" s="1623" customFormat="1" x14ac:dyDescent="0.2">
      <c r="B530" s="1631"/>
    </row>
    <row r="531" spans="2:2" s="1623" customFormat="1" x14ac:dyDescent="0.2">
      <c r="B531" s="1631"/>
    </row>
    <row r="532" spans="2:2" s="1623" customFormat="1" x14ac:dyDescent="0.2">
      <c r="B532" s="1631"/>
    </row>
    <row r="533" spans="2:2" s="1623" customFormat="1" x14ac:dyDescent="0.2">
      <c r="B533" s="1631"/>
    </row>
    <row r="534" spans="2:2" s="1623" customFormat="1" x14ac:dyDescent="0.2">
      <c r="B534" s="1631"/>
    </row>
    <row r="535" spans="2:2" s="1623" customFormat="1" x14ac:dyDescent="0.2">
      <c r="B535" s="1631"/>
    </row>
    <row r="536" spans="2:2" s="1623" customFormat="1" x14ac:dyDescent="0.2">
      <c r="B536" s="1631"/>
    </row>
    <row r="537" spans="2:2" s="1623" customFormat="1" x14ac:dyDescent="0.2">
      <c r="B537" s="1631"/>
    </row>
    <row r="538" spans="2:2" s="1623" customFormat="1" x14ac:dyDescent="0.2">
      <c r="B538" s="1631"/>
    </row>
    <row r="539" spans="2:2" s="1623" customFormat="1" x14ac:dyDescent="0.2">
      <c r="B539" s="1631"/>
    </row>
    <row r="540" spans="2:2" s="1623" customFormat="1" x14ac:dyDescent="0.2">
      <c r="B540" s="1631"/>
    </row>
    <row r="541" spans="2:2" s="1623" customFormat="1" x14ac:dyDescent="0.2">
      <c r="B541" s="1631"/>
    </row>
    <row r="542" spans="2:2" s="1623" customFormat="1" x14ac:dyDescent="0.2">
      <c r="B542" s="1631"/>
    </row>
    <row r="543" spans="2:2" s="1623" customFormat="1" x14ac:dyDescent="0.2">
      <c r="B543" s="1631"/>
    </row>
    <row r="544" spans="2:2" s="1623" customFormat="1" x14ac:dyDescent="0.2">
      <c r="B544" s="1631"/>
    </row>
    <row r="545" spans="2:2" s="1623" customFormat="1" x14ac:dyDescent="0.2">
      <c r="B545" s="1631"/>
    </row>
    <row r="546" spans="2:2" s="1623" customFormat="1" x14ac:dyDescent="0.2">
      <c r="B546" s="1631"/>
    </row>
    <row r="547" spans="2:2" s="1623" customFormat="1" x14ac:dyDescent="0.2">
      <c r="B547" s="1631"/>
    </row>
    <row r="548" spans="2:2" s="1623" customFormat="1" x14ac:dyDescent="0.2">
      <c r="B548" s="1631"/>
    </row>
    <row r="549" spans="2:2" s="1623" customFormat="1" x14ac:dyDescent="0.2">
      <c r="B549" s="1631"/>
    </row>
    <row r="550" spans="2:2" s="1623" customFormat="1" x14ac:dyDescent="0.2">
      <c r="B550" s="1631"/>
    </row>
    <row r="551" spans="2:2" s="1623" customFormat="1" x14ac:dyDescent="0.2">
      <c r="B551" s="1631"/>
    </row>
    <row r="552" spans="2:2" s="1623" customFormat="1" x14ac:dyDescent="0.2">
      <c r="B552" s="1631"/>
    </row>
    <row r="553" spans="2:2" s="1623" customFormat="1" x14ac:dyDescent="0.2">
      <c r="B553" s="1631"/>
    </row>
    <row r="554" spans="2:2" s="1623" customFormat="1" x14ac:dyDescent="0.2">
      <c r="B554" s="1631"/>
    </row>
    <row r="555" spans="2:2" s="1623" customFormat="1" x14ac:dyDescent="0.2">
      <c r="B555" s="1631"/>
    </row>
    <row r="556" spans="2:2" s="1623" customFormat="1" x14ac:dyDescent="0.2">
      <c r="B556" s="1631"/>
    </row>
    <row r="557" spans="2:2" s="1623" customFormat="1" x14ac:dyDescent="0.2">
      <c r="B557" s="1631"/>
    </row>
    <row r="558" spans="2:2" s="1623" customFormat="1" x14ac:dyDescent="0.2">
      <c r="B558" s="1631"/>
    </row>
    <row r="559" spans="2:2" s="1623" customFormat="1" x14ac:dyDescent="0.2">
      <c r="B559" s="1631"/>
    </row>
    <row r="560" spans="2:2" s="1623" customFormat="1" x14ac:dyDescent="0.2">
      <c r="B560" s="1631"/>
    </row>
    <row r="561" spans="2:2" s="1623" customFormat="1" x14ac:dyDescent="0.2">
      <c r="B561" s="1631"/>
    </row>
    <row r="562" spans="2:2" s="1623" customFormat="1" x14ac:dyDescent="0.2">
      <c r="B562" s="1631"/>
    </row>
    <row r="563" spans="2:2" s="1623" customFormat="1" x14ac:dyDescent="0.2">
      <c r="B563" s="1631"/>
    </row>
    <row r="564" spans="2:2" s="1623" customFormat="1" x14ac:dyDescent="0.2">
      <c r="B564" s="1631"/>
    </row>
    <row r="565" spans="2:2" s="1623" customFormat="1" x14ac:dyDescent="0.2">
      <c r="B565" s="1631"/>
    </row>
    <row r="566" spans="2:2" s="1623" customFormat="1" x14ac:dyDescent="0.2">
      <c r="B566" s="1631"/>
    </row>
    <row r="567" spans="2:2" s="1623" customFormat="1" x14ac:dyDescent="0.2">
      <c r="B567" s="1631"/>
    </row>
    <row r="568" spans="2:2" s="1623" customFormat="1" x14ac:dyDescent="0.2">
      <c r="B568" s="1631"/>
    </row>
    <row r="569" spans="2:2" s="1623" customFormat="1" x14ac:dyDescent="0.2">
      <c r="B569" s="1631"/>
    </row>
    <row r="570" spans="2:2" s="1623" customFormat="1" x14ac:dyDescent="0.2">
      <c r="B570" s="1631"/>
    </row>
    <row r="571" spans="2:2" s="1623" customFormat="1" x14ac:dyDescent="0.2">
      <c r="B571" s="1631"/>
    </row>
    <row r="572" spans="2:2" s="1623" customFormat="1" x14ac:dyDescent="0.2">
      <c r="B572" s="1631"/>
    </row>
    <row r="573" spans="2:2" s="1623" customFormat="1" x14ac:dyDescent="0.2">
      <c r="B573" s="1631"/>
    </row>
    <row r="574" spans="2:2" s="1623" customFormat="1" x14ac:dyDescent="0.2">
      <c r="B574" s="1631"/>
    </row>
    <row r="575" spans="2:2" s="1623" customFormat="1" x14ac:dyDescent="0.2">
      <c r="B575" s="1631"/>
    </row>
    <row r="576" spans="2:2" s="1623" customFormat="1" x14ac:dyDescent="0.2">
      <c r="B576" s="1631"/>
    </row>
    <row r="577" spans="2:2" s="1623" customFormat="1" x14ac:dyDescent="0.2">
      <c r="B577" s="1631"/>
    </row>
    <row r="578" spans="2:2" s="1623" customFormat="1" x14ac:dyDescent="0.2">
      <c r="B578" s="1631"/>
    </row>
    <row r="579" spans="2:2" s="1623" customFormat="1" x14ac:dyDescent="0.2">
      <c r="B579" s="1631"/>
    </row>
    <row r="580" spans="2:2" s="1623" customFormat="1" x14ac:dyDescent="0.2">
      <c r="B580" s="1631"/>
    </row>
    <row r="581" spans="2:2" s="1623" customFormat="1" x14ac:dyDescent="0.2">
      <c r="B581" s="1631"/>
    </row>
    <row r="582" spans="2:2" s="1623" customFormat="1" x14ac:dyDescent="0.2">
      <c r="B582" s="1631"/>
    </row>
    <row r="583" spans="2:2" s="1623" customFormat="1" x14ac:dyDescent="0.2">
      <c r="B583" s="1631"/>
    </row>
    <row r="584" spans="2:2" s="1623" customFormat="1" x14ac:dyDescent="0.2">
      <c r="B584" s="1631"/>
    </row>
    <row r="585" spans="2:2" s="1623" customFormat="1" x14ac:dyDescent="0.2">
      <c r="B585" s="1631"/>
    </row>
    <row r="586" spans="2:2" s="1623" customFormat="1" x14ac:dyDescent="0.2">
      <c r="B586" s="1631"/>
    </row>
    <row r="587" spans="2:2" s="1623" customFormat="1" x14ac:dyDescent="0.2">
      <c r="B587" s="1631"/>
    </row>
    <row r="588" spans="2:2" s="1623" customFormat="1" x14ac:dyDescent="0.2">
      <c r="B588" s="1631"/>
    </row>
    <row r="589" spans="2:2" s="1623" customFormat="1" x14ac:dyDescent="0.2">
      <c r="B589" s="1631"/>
    </row>
    <row r="590" spans="2:2" s="1623" customFormat="1" x14ac:dyDescent="0.2">
      <c r="B590" s="1631"/>
    </row>
    <row r="591" spans="2:2" s="1623" customFormat="1" x14ac:dyDescent="0.2">
      <c r="B591" s="1631"/>
    </row>
    <row r="592" spans="2:2" s="1623" customFormat="1" x14ac:dyDescent="0.2">
      <c r="B592" s="1631"/>
    </row>
    <row r="593" spans="2:2" s="1623" customFormat="1" x14ac:dyDescent="0.2">
      <c r="B593" s="1631"/>
    </row>
    <row r="594" spans="2:2" s="1623" customFormat="1" x14ac:dyDescent="0.2">
      <c r="B594" s="1631"/>
    </row>
    <row r="595" spans="2:2" s="1623" customFormat="1" x14ac:dyDescent="0.2">
      <c r="B595" s="1631"/>
    </row>
    <row r="596" spans="2:2" s="1623" customFormat="1" x14ac:dyDescent="0.2">
      <c r="B596" s="1631"/>
    </row>
    <row r="597" spans="2:2" s="1623" customFormat="1" x14ac:dyDescent="0.2">
      <c r="B597" s="1631"/>
    </row>
    <row r="598" spans="2:2" s="1623" customFormat="1" x14ac:dyDescent="0.2">
      <c r="B598" s="1631"/>
    </row>
    <row r="599" spans="2:2" s="1623" customFormat="1" x14ac:dyDescent="0.2">
      <c r="B599" s="1631"/>
    </row>
    <row r="600" spans="2:2" s="1623" customFormat="1" x14ac:dyDescent="0.2">
      <c r="B600" s="1631"/>
    </row>
    <row r="601" spans="2:2" s="1623" customFormat="1" x14ac:dyDescent="0.2">
      <c r="B601" s="1631"/>
    </row>
    <row r="602" spans="2:2" s="1623" customFormat="1" x14ac:dyDescent="0.2">
      <c r="B602" s="1631"/>
    </row>
    <row r="603" spans="2:2" s="1623" customFormat="1" x14ac:dyDescent="0.2">
      <c r="B603" s="1631"/>
    </row>
    <row r="604" spans="2:2" s="1623" customFormat="1" x14ac:dyDescent="0.2">
      <c r="B604" s="1631"/>
    </row>
    <row r="605" spans="2:2" s="1623" customFormat="1" x14ac:dyDescent="0.2">
      <c r="B605" s="1631"/>
    </row>
    <row r="606" spans="2:2" s="1623" customFormat="1" x14ac:dyDescent="0.2">
      <c r="B606" s="1631"/>
    </row>
    <row r="607" spans="2:2" s="1623" customFormat="1" x14ac:dyDescent="0.2">
      <c r="B607" s="1631"/>
    </row>
    <row r="608" spans="2:2" s="1623" customFormat="1" x14ac:dyDescent="0.2">
      <c r="B608" s="1631"/>
    </row>
    <row r="609" spans="2:2" s="1623" customFormat="1" x14ac:dyDescent="0.2">
      <c r="B609" s="1631"/>
    </row>
    <row r="610" spans="2:2" s="1623" customFormat="1" x14ac:dyDescent="0.2">
      <c r="B610" s="1631"/>
    </row>
    <row r="611" spans="2:2" s="1623" customFormat="1" x14ac:dyDescent="0.2">
      <c r="B611" s="1631"/>
    </row>
    <row r="612" spans="2:2" s="1623" customFormat="1" x14ac:dyDescent="0.2">
      <c r="B612" s="1631"/>
    </row>
    <row r="613" spans="2:2" s="1623" customFormat="1" x14ac:dyDescent="0.2">
      <c r="B613" s="1631"/>
    </row>
    <row r="614" spans="2:2" s="1623" customFormat="1" x14ac:dyDescent="0.2">
      <c r="B614" s="1631"/>
    </row>
    <row r="615" spans="2:2" s="1623" customFormat="1" x14ac:dyDescent="0.2">
      <c r="B615" s="1631"/>
    </row>
    <row r="616" spans="2:2" s="1623" customFormat="1" x14ac:dyDescent="0.2">
      <c r="B616" s="1631"/>
    </row>
    <row r="617" spans="2:2" s="1623" customFormat="1" x14ac:dyDescent="0.2">
      <c r="B617" s="1631"/>
    </row>
    <row r="618" spans="2:2" s="1623" customFormat="1" x14ac:dyDescent="0.2">
      <c r="B618" s="1631"/>
    </row>
    <row r="619" spans="2:2" s="1623" customFormat="1" x14ac:dyDescent="0.2">
      <c r="B619" s="1631"/>
    </row>
    <row r="620" spans="2:2" s="1623" customFormat="1" x14ac:dyDescent="0.2">
      <c r="B620" s="1631"/>
    </row>
    <row r="621" spans="2:2" s="1623" customFormat="1" x14ac:dyDescent="0.2">
      <c r="B621" s="1631"/>
    </row>
    <row r="622" spans="2:2" s="1623" customFormat="1" x14ac:dyDescent="0.2">
      <c r="B622" s="1631"/>
    </row>
    <row r="623" spans="2:2" s="1623" customFormat="1" x14ac:dyDescent="0.2">
      <c r="B623" s="1631"/>
    </row>
    <row r="624" spans="2:2" s="1623" customFormat="1" x14ac:dyDescent="0.2">
      <c r="B624" s="1631"/>
    </row>
    <row r="625" spans="2:2" s="1623" customFormat="1" x14ac:dyDescent="0.2">
      <c r="B625" s="1631"/>
    </row>
    <row r="626" spans="2:2" s="1623" customFormat="1" x14ac:dyDescent="0.2">
      <c r="B626" s="1631"/>
    </row>
    <row r="627" spans="2:2" s="1623" customFormat="1" x14ac:dyDescent="0.2">
      <c r="B627" s="1631"/>
    </row>
    <row r="628" spans="2:2" s="1623" customFormat="1" x14ac:dyDescent="0.2">
      <c r="B628" s="1631"/>
    </row>
    <row r="629" spans="2:2" s="1623" customFormat="1" x14ac:dyDescent="0.2">
      <c r="B629" s="1631"/>
    </row>
    <row r="630" spans="2:2" s="1623" customFormat="1" x14ac:dyDescent="0.2">
      <c r="B630" s="1631"/>
    </row>
    <row r="631" spans="2:2" s="1623" customFormat="1" x14ac:dyDescent="0.2">
      <c r="B631" s="1631"/>
    </row>
    <row r="632" spans="2:2" s="1623" customFormat="1" x14ac:dyDescent="0.2">
      <c r="B632" s="1631"/>
    </row>
    <row r="633" spans="2:2" s="1623" customFormat="1" x14ac:dyDescent="0.2">
      <c r="B633" s="1631"/>
    </row>
    <row r="634" spans="2:2" s="1623" customFormat="1" x14ac:dyDescent="0.2">
      <c r="B634" s="1631"/>
    </row>
    <row r="635" spans="2:2" s="1623" customFormat="1" x14ac:dyDescent="0.2">
      <c r="B635" s="1631"/>
    </row>
    <row r="636" spans="2:2" s="1623" customFormat="1" x14ac:dyDescent="0.2">
      <c r="B636" s="1631"/>
    </row>
    <row r="637" spans="2:2" s="1623" customFormat="1" x14ac:dyDescent="0.2">
      <c r="B637" s="1631"/>
    </row>
    <row r="638" spans="2:2" s="1623" customFormat="1" x14ac:dyDescent="0.2">
      <c r="B638" s="1631"/>
    </row>
    <row r="639" spans="2:2" s="1623" customFormat="1" x14ac:dyDescent="0.2">
      <c r="B639" s="1631"/>
    </row>
    <row r="640" spans="2:2" s="1623" customFormat="1" x14ac:dyDescent="0.2">
      <c r="B640" s="1631"/>
    </row>
    <row r="641" spans="2:2" s="1623" customFormat="1" x14ac:dyDescent="0.2">
      <c r="B641" s="1631"/>
    </row>
    <row r="642" spans="2:2" s="1623" customFormat="1" x14ac:dyDescent="0.2">
      <c r="B642" s="1631"/>
    </row>
    <row r="643" spans="2:2" s="1623" customFormat="1" x14ac:dyDescent="0.2">
      <c r="B643" s="1631"/>
    </row>
    <row r="644" spans="2:2" s="1623" customFormat="1" x14ac:dyDescent="0.2">
      <c r="B644" s="1631"/>
    </row>
    <row r="645" spans="2:2" s="1623" customFormat="1" x14ac:dyDescent="0.2">
      <c r="B645" s="1631"/>
    </row>
    <row r="646" spans="2:2" s="1623" customFormat="1" x14ac:dyDescent="0.2">
      <c r="B646" s="1631"/>
    </row>
    <row r="647" spans="2:2" s="1623" customFormat="1" x14ac:dyDescent="0.2">
      <c r="B647" s="1631"/>
    </row>
    <row r="648" spans="2:2" s="1623" customFormat="1" x14ac:dyDescent="0.2">
      <c r="B648" s="1631"/>
    </row>
    <row r="649" spans="2:2" s="1623" customFormat="1" x14ac:dyDescent="0.2">
      <c r="B649" s="1631"/>
    </row>
    <row r="650" spans="2:2" s="1623" customFormat="1" x14ac:dyDescent="0.2">
      <c r="B650" s="1631"/>
    </row>
    <row r="651" spans="2:2" s="1623" customFormat="1" x14ac:dyDescent="0.2">
      <c r="B651" s="1631"/>
    </row>
    <row r="652" spans="2:2" s="1623" customFormat="1" x14ac:dyDescent="0.2">
      <c r="B652" s="1631"/>
    </row>
    <row r="653" spans="2:2" s="1623" customFormat="1" x14ac:dyDescent="0.2">
      <c r="B653" s="1631"/>
    </row>
    <row r="654" spans="2:2" s="1623" customFormat="1" x14ac:dyDescent="0.2">
      <c r="B654" s="1631"/>
    </row>
    <row r="655" spans="2:2" s="1623" customFormat="1" x14ac:dyDescent="0.2">
      <c r="B655" s="1631"/>
    </row>
    <row r="656" spans="2:2" s="1623" customFormat="1" x14ac:dyDescent="0.2">
      <c r="B656" s="1631"/>
    </row>
    <row r="657" spans="2:2" s="1623" customFormat="1" x14ac:dyDescent="0.2">
      <c r="B657" s="1631"/>
    </row>
    <row r="658" spans="2:2" s="1623" customFormat="1" x14ac:dyDescent="0.2">
      <c r="B658" s="1631"/>
    </row>
    <row r="659" spans="2:2" s="1623" customFormat="1" x14ac:dyDescent="0.2">
      <c r="B659" s="1631"/>
    </row>
    <row r="660" spans="2:2" s="1623" customFormat="1" x14ac:dyDescent="0.2">
      <c r="B660" s="1631"/>
    </row>
    <row r="661" spans="2:2" s="1623" customFormat="1" x14ac:dyDescent="0.2">
      <c r="B661" s="1631"/>
    </row>
    <row r="662" spans="2:2" s="1623" customFormat="1" x14ac:dyDescent="0.2">
      <c r="B662" s="1631"/>
    </row>
    <row r="663" spans="2:2" s="1623" customFormat="1" x14ac:dyDescent="0.2">
      <c r="B663" s="1631"/>
    </row>
    <row r="664" spans="2:2" s="1623" customFormat="1" x14ac:dyDescent="0.2">
      <c r="B664" s="1631"/>
    </row>
    <row r="665" spans="2:2" s="1623" customFormat="1" x14ac:dyDescent="0.2">
      <c r="B665" s="1631"/>
    </row>
    <row r="666" spans="2:2" s="1623" customFormat="1" x14ac:dyDescent="0.2">
      <c r="B666" s="1631"/>
    </row>
    <row r="667" spans="2:2" s="1623" customFormat="1" x14ac:dyDescent="0.2">
      <c r="B667" s="1631"/>
    </row>
    <row r="668" spans="2:2" s="1623" customFormat="1" x14ac:dyDescent="0.2">
      <c r="B668" s="1631"/>
    </row>
    <row r="669" spans="2:2" s="1623" customFormat="1" x14ac:dyDescent="0.2">
      <c r="B669" s="1631"/>
    </row>
    <row r="670" spans="2:2" s="1623" customFormat="1" x14ac:dyDescent="0.2">
      <c r="B670" s="1631"/>
    </row>
    <row r="671" spans="2:2" s="1623" customFormat="1" x14ac:dyDescent="0.2">
      <c r="B671" s="1631"/>
    </row>
    <row r="672" spans="2:2" s="1623" customFormat="1" x14ac:dyDescent="0.2">
      <c r="B672" s="1631"/>
    </row>
    <row r="673" spans="2:2" s="1623" customFormat="1" x14ac:dyDescent="0.2">
      <c r="B673" s="1631"/>
    </row>
    <row r="674" spans="2:2" s="1623" customFormat="1" x14ac:dyDescent="0.2">
      <c r="B674" s="1631"/>
    </row>
    <row r="675" spans="2:2" s="1623" customFormat="1" x14ac:dyDescent="0.2">
      <c r="B675" s="1631"/>
    </row>
    <row r="676" spans="2:2" s="1623" customFormat="1" x14ac:dyDescent="0.2">
      <c r="B676" s="1631"/>
    </row>
    <row r="677" spans="2:2" s="1623" customFormat="1" x14ac:dyDescent="0.2">
      <c r="B677" s="1631"/>
    </row>
    <row r="678" spans="2:2" s="1623" customFormat="1" x14ac:dyDescent="0.2">
      <c r="B678" s="1631"/>
    </row>
    <row r="679" spans="2:2" s="1623" customFormat="1" x14ac:dyDescent="0.2">
      <c r="B679" s="1631"/>
    </row>
    <row r="680" spans="2:2" s="1623" customFormat="1" x14ac:dyDescent="0.2">
      <c r="B680" s="1631"/>
    </row>
    <row r="681" spans="2:2" s="1623" customFormat="1" x14ac:dyDescent="0.2">
      <c r="B681" s="1631"/>
    </row>
    <row r="682" spans="2:2" s="1623" customFormat="1" x14ac:dyDescent="0.2">
      <c r="B682" s="1631"/>
    </row>
    <row r="683" spans="2:2" s="1623" customFormat="1" x14ac:dyDescent="0.2">
      <c r="B683" s="1631"/>
    </row>
    <row r="684" spans="2:2" s="1623" customFormat="1" x14ac:dyDescent="0.2">
      <c r="B684" s="1631"/>
    </row>
    <row r="685" spans="2:2" s="1623" customFormat="1" x14ac:dyDescent="0.2">
      <c r="B685" s="1631"/>
    </row>
    <row r="686" spans="2:2" s="1623" customFormat="1" x14ac:dyDescent="0.2">
      <c r="B686" s="1631"/>
    </row>
    <row r="687" spans="2:2" s="1623" customFormat="1" x14ac:dyDescent="0.2">
      <c r="B687" s="1631"/>
    </row>
    <row r="688" spans="2:2" s="1623" customFormat="1" x14ac:dyDescent="0.2">
      <c r="B688" s="1631"/>
    </row>
    <row r="689" spans="2:2" s="1623" customFormat="1" x14ac:dyDescent="0.2">
      <c r="B689" s="1631"/>
    </row>
    <row r="690" spans="2:2" s="1623" customFormat="1" x14ac:dyDescent="0.2">
      <c r="B690" s="1631"/>
    </row>
    <row r="691" spans="2:2" s="1623" customFormat="1" x14ac:dyDescent="0.2">
      <c r="B691" s="1631"/>
    </row>
    <row r="692" spans="2:2" s="1623" customFormat="1" x14ac:dyDescent="0.2">
      <c r="B692" s="1631"/>
    </row>
    <row r="693" spans="2:2" s="1623" customFormat="1" x14ac:dyDescent="0.2">
      <c r="B693" s="1631"/>
    </row>
    <row r="694" spans="2:2" s="1623" customFormat="1" x14ac:dyDescent="0.2">
      <c r="B694" s="1631"/>
    </row>
    <row r="695" spans="2:2" s="1623" customFormat="1" x14ac:dyDescent="0.2">
      <c r="B695" s="1631"/>
    </row>
    <row r="696" spans="2:2" s="1623" customFormat="1" x14ac:dyDescent="0.2">
      <c r="B696" s="1631"/>
    </row>
    <row r="697" spans="2:2" s="1623" customFormat="1" x14ac:dyDescent="0.2">
      <c r="B697" s="1631"/>
    </row>
    <row r="698" spans="2:2" s="1623" customFormat="1" x14ac:dyDescent="0.2">
      <c r="B698" s="1631"/>
    </row>
    <row r="699" spans="2:2" s="1623" customFormat="1" x14ac:dyDescent="0.2">
      <c r="B699" s="1631"/>
    </row>
    <row r="700" spans="2:2" s="1623" customFormat="1" x14ac:dyDescent="0.2">
      <c r="B700" s="1631"/>
    </row>
    <row r="701" spans="2:2" s="1623" customFormat="1" x14ac:dyDescent="0.2">
      <c r="B701" s="1631"/>
    </row>
    <row r="702" spans="2:2" s="1623" customFormat="1" x14ac:dyDescent="0.2">
      <c r="B702" s="1631"/>
    </row>
    <row r="703" spans="2:2" s="1623" customFormat="1" x14ac:dyDescent="0.2">
      <c r="B703" s="1631"/>
    </row>
    <row r="704" spans="2:2" s="1623" customFormat="1" x14ac:dyDescent="0.2">
      <c r="B704" s="1631"/>
    </row>
    <row r="705" spans="2:2" s="1623" customFormat="1" x14ac:dyDescent="0.2">
      <c r="B705" s="1631"/>
    </row>
    <row r="706" spans="2:2" s="1623" customFormat="1" x14ac:dyDescent="0.2">
      <c r="B706" s="1631"/>
    </row>
  </sheetData>
  <pageMargins left="0.7" right="0.7" top="0.75" bottom="0.75" header="0.3" footer="0.3"/>
  <pageSetup paperSize="9" orientation="portrait" verticalDpi="0"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N706"/>
  <sheetViews>
    <sheetView zoomScale="69" zoomScaleNormal="69" zoomScalePageLayoutView="69" workbookViewId="0">
      <selection activeCell="D21" sqref="D21"/>
    </sheetView>
  </sheetViews>
  <sheetFormatPr baseColWidth="10" defaultColWidth="11.5" defaultRowHeight="15" x14ac:dyDescent="0.2"/>
  <cols>
    <col min="1" max="1" width="6" style="1614" customWidth="1"/>
    <col min="2" max="2" width="62.83203125" style="1689" customWidth="1"/>
    <col min="3" max="3" width="6.1640625" style="1614" customWidth="1"/>
    <col min="4" max="5" width="96.6640625" style="1614" customWidth="1"/>
    <col min="6" max="14" width="12" style="1614" customWidth="1"/>
    <col min="15" max="15" width="11.6640625" style="1614" customWidth="1"/>
    <col min="16" max="25" width="12" style="1614" customWidth="1"/>
    <col min="26" max="26" width="11.33203125" style="1614" customWidth="1"/>
    <col min="27" max="39" width="12" style="1614" customWidth="1"/>
    <col min="40" max="16384" width="11.5" style="1614"/>
  </cols>
  <sheetData>
    <row r="1" spans="2:40" x14ac:dyDescent="0.2">
      <c r="B1" s="1689" t="s">
        <v>827</v>
      </c>
      <c r="D1" s="1728" t="s">
        <v>754</v>
      </c>
      <c r="E1" s="1729" t="s">
        <v>753</v>
      </c>
    </row>
    <row r="2" spans="2:40" s="1623" customFormat="1" ht="30" x14ac:dyDescent="0.2">
      <c r="B2" s="1631" t="str">
        <f>IF(Presentation!$D$2="Français",'TRAD-Synthesis Adults'!D2,IF(Presentation!$D$2="Anglais",'TRAD-Synthesis Adults'!E2,""))</f>
        <v>Résultats N ° 1: Estimation du nombre d' ADULTES par schéma thérapeutique sur la période de quantification</v>
      </c>
      <c r="D2" s="1617" t="s">
        <v>1262</v>
      </c>
      <c r="E2" s="1619" t="s">
        <v>1357</v>
      </c>
      <c r="F2" s="1618"/>
      <c r="G2" s="1618"/>
      <c r="H2" s="1618"/>
      <c r="I2" s="1618"/>
      <c r="J2" s="1618"/>
      <c r="K2" s="1618"/>
      <c r="L2" s="1618"/>
      <c r="M2" s="1618"/>
      <c r="N2" s="1618"/>
      <c r="O2" s="1618"/>
      <c r="P2" s="1618"/>
      <c r="Q2" s="1622"/>
      <c r="R2" s="1622"/>
      <c r="S2" s="1622"/>
      <c r="T2" s="1622"/>
      <c r="U2" s="1622"/>
      <c r="V2" s="1622"/>
      <c r="W2" s="1622"/>
      <c r="X2" s="1622"/>
      <c r="Y2" s="1622"/>
      <c r="Z2" s="1622"/>
      <c r="AA2" s="1622"/>
      <c r="AB2" s="1622"/>
      <c r="AC2" s="1622"/>
      <c r="AD2" s="1622"/>
      <c r="AE2" s="1622"/>
      <c r="AF2" s="1622"/>
      <c r="AG2" s="1622"/>
      <c r="AH2" s="1622"/>
      <c r="AI2" s="1622"/>
      <c r="AJ2" s="1622"/>
      <c r="AK2" s="1622"/>
      <c r="AL2" s="1622"/>
      <c r="AM2" s="1622"/>
      <c r="AN2" s="1622"/>
    </row>
    <row r="3" spans="2:40" s="1623" customFormat="1" x14ac:dyDescent="0.2">
      <c r="B3" s="1631" t="str">
        <f>IF(Presentation!$D$2="Français",'TRAD-Synthesis Adults'!D3,IF(Presentation!$D$2="Anglais",'TRAD-Synthesis Adults'!E3,""))</f>
        <v>Au début de la 1ère année</v>
      </c>
      <c r="D3" s="1617" t="s">
        <v>1062</v>
      </c>
      <c r="E3" s="1617" t="s">
        <v>1347</v>
      </c>
      <c r="F3" s="1622"/>
      <c r="G3" s="1622"/>
      <c r="H3" s="1622"/>
      <c r="I3" s="1622"/>
      <c r="J3" s="1622"/>
      <c r="K3" s="1622"/>
      <c r="L3" s="1622"/>
      <c r="M3" s="1622"/>
      <c r="N3" s="1622"/>
      <c r="O3" s="1622"/>
      <c r="P3" s="1622"/>
      <c r="Q3" s="1622"/>
      <c r="R3" s="1622"/>
      <c r="S3" s="1622"/>
      <c r="T3" s="1622"/>
      <c r="U3" s="1622"/>
      <c r="V3" s="1622"/>
      <c r="W3" s="1622"/>
      <c r="X3" s="1622"/>
      <c r="Y3" s="1622"/>
      <c r="Z3" s="1622"/>
      <c r="AA3" s="1622"/>
      <c r="AB3" s="1622"/>
      <c r="AC3" s="1622"/>
      <c r="AD3" s="1622"/>
      <c r="AE3" s="1622"/>
      <c r="AF3" s="1622"/>
      <c r="AG3" s="1622"/>
      <c r="AH3" s="1622"/>
      <c r="AI3" s="1622"/>
      <c r="AJ3" s="1622"/>
      <c r="AK3" s="1622"/>
      <c r="AL3" s="1622"/>
      <c r="AM3" s="1622"/>
      <c r="AN3" s="1622"/>
    </row>
    <row r="4" spans="2:40" s="1623" customFormat="1" x14ac:dyDescent="0.2">
      <c r="B4" s="1631" t="str">
        <f>IF(Presentation!$D$2="Français",'TRAD-Synthesis Adults'!D4,IF(Presentation!$D$2="Anglais",'TRAD-Synthesis Adults'!E4,""))</f>
        <v>Fin 1ère année / Début  2ème année</v>
      </c>
      <c r="D4" s="1617" t="s">
        <v>1082</v>
      </c>
      <c r="E4" s="1617" t="s">
        <v>1348</v>
      </c>
      <c r="H4" s="1620"/>
      <c r="J4" s="1620"/>
      <c r="L4" s="1620"/>
      <c r="N4" s="1620"/>
      <c r="P4" s="1620"/>
      <c r="R4" s="1620"/>
      <c r="S4" s="1622"/>
      <c r="T4" s="1622"/>
      <c r="U4" s="1622"/>
      <c r="V4" s="1622"/>
      <c r="W4" s="1622"/>
      <c r="X4" s="1622"/>
      <c r="Y4" s="1622"/>
      <c r="Z4" s="1622"/>
      <c r="AA4" s="1622"/>
      <c r="AB4" s="1622"/>
      <c r="AC4" s="1622"/>
      <c r="AD4" s="1622"/>
      <c r="AE4" s="1622"/>
      <c r="AF4" s="1622"/>
      <c r="AG4" s="1622"/>
      <c r="AH4" s="1622"/>
      <c r="AI4" s="1622"/>
      <c r="AJ4" s="1622"/>
      <c r="AK4" s="1622"/>
      <c r="AL4" s="1622"/>
      <c r="AM4" s="1622"/>
      <c r="AN4" s="1622"/>
    </row>
    <row r="5" spans="2:40" s="1623" customFormat="1" x14ac:dyDescent="0.2">
      <c r="B5" s="1631" t="str">
        <f>IF(Presentation!$D$2="Français",'TRAD-Synthesis Adults'!D5,IF(Presentation!$D$2="Anglais",'TRAD-Synthesis Adults'!E5,""))</f>
        <v>Fin 2ème année / Début 3ème année</v>
      </c>
      <c r="D5" s="1617" t="s">
        <v>1083</v>
      </c>
      <c r="E5" s="1617" t="s">
        <v>1349</v>
      </c>
      <c r="F5" s="1625"/>
      <c r="I5" s="1625"/>
      <c r="J5" s="1625"/>
      <c r="K5" s="1625"/>
      <c r="L5" s="1625"/>
      <c r="M5" s="1625"/>
      <c r="N5" s="1625"/>
      <c r="O5" s="1625"/>
      <c r="P5" s="1625"/>
      <c r="Q5" s="1625"/>
      <c r="R5" s="1625"/>
      <c r="S5" s="1622"/>
      <c r="T5" s="1622"/>
      <c r="U5" s="1622"/>
      <c r="V5" s="1622"/>
      <c r="W5" s="1622"/>
      <c r="X5" s="1622"/>
      <c r="Y5" s="1622"/>
      <c r="Z5" s="1622"/>
      <c r="AA5" s="1622"/>
      <c r="AB5" s="1622"/>
      <c r="AC5" s="1622"/>
      <c r="AD5" s="1622"/>
      <c r="AE5" s="1622"/>
      <c r="AF5" s="1622"/>
      <c r="AG5" s="1622"/>
      <c r="AH5" s="1622"/>
      <c r="AI5" s="1622"/>
      <c r="AJ5" s="1622"/>
      <c r="AK5" s="1622"/>
      <c r="AL5" s="1622"/>
      <c r="AM5" s="1622"/>
      <c r="AN5" s="1622"/>
    </row>
    <row r="6" spans="2:40" s="1623" customFormat="1" x14ac:dyDescent="0.2">
      <c r="B6" s="1631" t="str">
        <f>IF(Presentation!$D$2="Français",'TRAD-Synthesis Adults'!D6,IF(Presentation!$D$2="Anglais",'TRAD-Synthesis Adults'!E6,""))</f>
        <v>Fin 3ème année / Début 4ème année</v>
      </c>
      <c r="D6" s="1617" t="s">
        <v>1084</v>
      </c>
      <c r="E6" s="1617" t="s">
        <v>1350</v>
      </c>
      <c r="F6" s="1625"/>
      <c r="G6" s="1625"/>
      <c r="H6" s="1625"/>
      <c r="I6" s="1625"/>
      <c r="J6" s="1625"/>
      <c r="K6" s="1625"/>
      <c r="L6" s="1625"/>
      <c r="M6" s="1625"/>
      <c r="N6" s="1625"/>
      <c r="O6" s="1625"/>
      <c r="P6" s="1625"/>
      <c r="Q6" s="1625"/>
      <c r="R6" s="1625"/>
      <c r="S6" s="1622"/>
      <c r="T6" s="1622"/>
      <c r="U6" s="1622"/>
      <c r="V6" s="1622"/>
      <c r="W6" s="1622"/>
      <c r="X6" s="1622"/>
      <c r="Y6" s="1622"/>
      <c r="Z6" s="1622"/>
      <c r="AA6" s="1622"/>
      <c r="AB6" s="1622"/>
      <c r="AC6" s="1622"/>
      <c r="AD6" s="1622"/>
      <c r="AE6" s="1622"/>
      <c r="AF6" s="1622"/>
      <c r="AG6" s="1622"/>
      <c r="AH6" s="1622"/>
      <c r="AI6" s="1622"/>
      <c r="AJ6" s="1622"/>
      <c r="AK6" s="1622"/>
      <c r="AL6" s="1622"/>
      <c r="AM6" s="1622"/>
      <c r="AN6" s="1622"/>
    </row>
    <row r="7" spans="2:40" s="1623" customFormat="1" x14ac:dyDescent="0.2">
      <c r="B7" s="1631" t="str">
        <f>IF(Presentation!$D$2="Français",'TRAD-Synthesis Adults'!D7,IF(Presentation!$D$2="Anglais",'TRAD-Synthesis Adults'!E7,""))</f>
        <v>Fin 4ème année / Début 5ème année</v>
      </c>
      <c r="D7" s="1617" t="s">
        <v>1085</v>
      </c>
      <c r="E7" s="1617" t="s">
        <v>1351</v>
      </c>
      <c r="F7" s="1625"/>
      <c r="G7" s="1625"/>
      <c r="H7" s="1625"/>
      <c r="I7" s="1625"/>
      <c r="J7" s="1625"/>
      <c r="K7" s="1625"/>
      <c r="L7" s="1625"/>
      <c r="M7" s="1625"/>
      <c r="N7" s="1625"/>
      <c r="O7" s="1625"/>
      <c r="P7" s="1625"/>
      <c r="Q7" s="1625"/>
      <c r="R7" s="1625"/>
      <c r="S7" s="1622"/>
      <c r="T7" s="1622"/>
      <c r="U7" s="1622"/>
      <c r="V7" s="1622"/>
      <c r="W7" s="1622"/>
      <c r="X7" s="1622"/>
      <c r="Y7" s="1622"/>
      <c r="Z7" s="1622"/>
      <c r="AA7" s="1622"/>
      <c r="AB7" s="1622"/>
      <c r="AC7" s="1622"/>
      <c r="AD7" s="1622"/>
      <c r="AE7" s="1622"/>
      <c r="AF7" s="1622"/>
      <c r="AG7" s="1622"/>
      <c r="AH7" s="1622"/>
      <c r="AI7" s="1622"/>
      <c r="AJ7" s="1622"/>
      <c r="AK7" s="1622"/>
      <c r="AL7" s="1622"/>
      <c r="AM7" s="1622"/>
      <c r="AN7" s="1622"/>
    </row>
    <row r="8" spans="2:40" s="1623" customFormat="1" x14ac:dyDescent="0.2">
      <c r="B8" s="1631" t="str">
        <f>IF(Presentation!$D$2="Français",'TRAD-Synthesis Adults'!D8,IF(Presentation!$D$2="Anglais",'TRAD-Synthesis Adults'!E8,""))</f>
        <v>Fin de la 5ème année</v>
      </c>
      <c r="D8" s="1617" t="s">
        <v>1063</v>
      </c>
      <c r="E8" s="1617" t="s">
        <v>1352</v>
      </c>
      <c r="F8" s="1625"/>
      <c r="G8" s="1625"/>
      <c r="H8" s="1625"/>
      <c r="I8" s="1625"/>
      <c r="J8" s="1625"/>
      <c r="K8" s="1625"/>
      <c r="L8" s="1625"/>
      <c r="M8" s="1625"/>
      <c r="N8" s="1625"/>
      <c r="O8" s="1625"/>
      <c r="P8" s="1625"/>
      <c r="Q8" s="1625"/>
      <c r="R8" s="1625"/>
      <c r="S8" s="1622"/>
      <c r="T8" s="1622"/>
      <c r="U8" s="1622"/>
      <c r="V8" s="1622"/>
      <c r="W8" s="1622"/>
      <c r="X8" s="1622"/>
      <c r="Y8" s="1622"/>
      <c r="Z8" s="1622"/>
      <c r="AA8" s="1622"/>
      <c r="AB8" s="1622"/>
      <c r="AC8" s="1622"/>
      <c r="AD8" s="1622"/>
      <c r="AE8" s="1622"/>
      <c r="AF8" s="1622"/>
      <c r="AG8" s="1622"/>
      <c r="AH8" s="1622"/>
      <c r="AI8" s="1622"/>
      <c r="AJ8" s="1622"/>
      <c r="AK8" s="1622"/>
      <c r="AL8" s="1622"/>
      <c r="AM8" s="1622"/>
      <c r="AN8" s="1622"/>
    </row>
    <row r="9" spans="2:40" s="1623" customFormat="1" x14ac:dyDescent="0.2">
      <c r="B9" s="1631" t="str">
        <f>IF(Presentation!$D$2="Français",'TRAD-Synthesis Adults'!D9,IF(Presentation!$D$2="Anglais",'TRAD-Synthesis Adults'!E9,""))</f>
        <v>Nbre de patients</v>
      </c>
      <c r="D9" s="1617" t="s">
        <v>1064</v>
      </c>
      <c r="E9" s="1619" t="s">
        <v>1353</v>
      </c>
      <c r="F9" s="1625"/>
      <c r="G9" s="1625"/>
      <c r="H9" s="1625"/>
      <c r="I9" s="1625"/>
      <c r="J9" s="1625"/>
      <c r="K9" s="1625"/>
      <c r="L9" s="1625"/>
      <c r="M9" s="1625"/>
      <c r="N9" s="1625"/>
      <c r="O9" s="1625"/>
      <c r="P9" s="1625"/>
      <c r="Q9" s="1625"/>
      <c r="R9" s="1625"/>
      <c r="S9" s="1622"/>
      <c r="T9" s="1622"/>
      <c r="U9" s="1622"/>
      <c r="V9" s="1622"/>
      <c r="W9" s="1622"/>
      <c r="X9" s="1622"/>
      <c r="Y9" s="1622"/>
      <c r="Z9" s="1622"/>
      <c r="AA9" s="1622"/>
      <c r="AB9" s="1622"/>
      <c r="AC9" s="1622"/>
      <c r="AD9" s="1622"/>
      <c r="AE9" s="1622"/>
      <c r="AF9" s="1622"/>
      <c r="AG9" s="1622"/>
      <c r="AH9" s="1622"/>
      <c r="AI9" s="1622"/>
      <c r="AJ9" s="1622"/>
      <c r="AK9" s="1622"/>
      <c r="AL9" s="1622"/>
      <c r="AM9" s="1622"/>
      <c r="AN9" s="1622"/>
    </row>
    <row r="10" spans="2:40" s="1623" customFormat="1" x14ac:dyDescent="0.2">
      <c r="B10" s="1631" t="str">
        <f>IF(Presentation!$D$2="Français",'TRAD-Synthesis Adults'!D10,IF(Presentation!$D$2="Anglais",'TRAD-Synthesis Adults'!E10,""))</f>
        <v>Schéma thérapeutique</v>
      </c>
      <c r="D10" s="1617" t="s">
        <v>180</v>
      </c>
      <c r="E10" s="1619" t="s">
        <v>435</v>
      </c>
      <c r="F10" s="1625"/>
      <c r="G10" s="1625"/>
      <c r="H10" s="1625"/>
      <c r="I10" s="1625"/>
      <c r="J10" s="1625"/>
      <c r="K10" s="1625"/>
      <c r="L10" s="1625"/>
      <c r="M10" s="1625"/>
      <c r="N10" s="1625"/>
      <c r="O10" s="1625"/>
      <c r="P10" s="1625"/>
      <c r="Q10" s="1625"/>
      <c r="R10" s="1625"/>
      <c r="S10" s="1622"/>
      <c r="T10" s="1622"/>
      <c r="U10" s="1622"/>
      <c r="V10" s="1622"/>
      <c r="W10" s="1622"/>
      <c r="X10" s="1622"/>
      <c r="Y10" s="1622"/>
      <c r="Z10" s="1622"/>
      <c r="AA10" s="1622"/>
      <c r="AB10" s="1622"/>
      <c r="AC10" s="1622"/>
      <c r="AD10" s="1622"/>
      <c r="AE10" s="1622"/>
      <c r="AF10" s="1622"/>
      <c r="AG10" s="1622"/>
      <c r="AH10" s="1622"/>
      <c r="AI10" s="1622"/>
      <c r="AJ10" s="1622"/>
      <c r="AK10" s="1622"/>
      <c r="AL10" s="1622"/>
      <c r="AM10" s="1622"/>
      <c r="AN10" s="1622"/>
    </row>
    <row r="11" spans="2:40" s="1623" customFormat="1" x14ac:dyDescent="0.2">
      <c r="B11" s="1631" t="str">
        <f>IF(Presentation!$D$2="Français",'TRAD-Synthesis Adults'!D11,IF(Presentation!$D$2="Anglais",'TRAD-Synthesis Adults'!E11,""))</f>
        <v>Proportion</v>
      </c>
      <c r="D11" s="1619" t="s">
        <v>51</v>
      </c>
      <c r="E11" s="1619" t="s">
        <v>51</v>
      </c>
      <c r="F11" s="1625"/>
      <c r="G11" s="1625"/>
      <c r="H11" s="1625"/>
      <c r="I11" s="1625"/>
      <c r="J11" s="1625"/>
      <c r="K11" s="1625"/>
      <c r="L11" s="1625"/>
      <c r="M11" s="1625"/>
      <c r="N11" s="1625"/>
      <c r="O11" s="1625"/>
      <c r="P11" s="1625"/>
      <c r="Q11" s="1625"/>
      <c r="R11" s="1625"/>
      <c r="S11" s="1622"/>
      <c r="T11" s="1622"/>
      <c r="U11" s="1622"/>
      <c r="V11" s="1622"/>
      <c r="W11" s="1622"/>
      <c r="X11" s="1622"/>
      <c r="Y11" s="1622"/>
      <c r="Z11" s="1622"/>
      <c r="AA11" s="1622"/>
      <c r="AB11" s="1622"/>
      <c r="AC11" s="1622"/>
      <c r="AD11" s="1622"/>
      <c r="AE11" s="1622"/>
      <c r="AF11" s="1622"/>
      <c r="AG11" s="1622"/>
      <c r="AH11" s="1622"/>
      <c r="AI11" s="1622"/>
      <c r="AJ11" s="1622"/>
      <c r="AK11" s="1622"/>
      <c r="AL11" s="1622"/>
      <c r="AM11" s="1622"/>
      <c r="AN11" s="1622"/>
    </row>
    <row r="12" spans="2:40" s="1623" customFormat="1" x14ac:dyDescent="0.2">
      <c r="B12" s="1631" t="str">
        <f>IF(Presentation!$D$2="Français",'TRAD-Synthesis Adults'!D12,IF(Presentation!$D$2="Anglais",'TRAD-Synthesis Adults'!E12,""))</f>
        <v>Commentaires</v>
      </c>
      <c r="D12" s="1617" t="s">
        <v>242</v>
      </c>
      <c r="E12" s="1619" t="s">
        <v>413</v>
      </c>
      <c r="F12" s="1622"/>
      <c r="G12" s="1622"/>
      <c r="H12" s="1622"/>
      <c r="I12" s="1622"/>
      <c r="J12" s="1622"/>
      <c r="K12" s="1622"/>
      <c r="L12" s="1622"/>
      <c r="M12" s="1622"/>
      <c r="N12" s="1622"/>
      <c r="O12" s="1622"/>
      <c r="P12" s="1622"/>
      <c r="Q12" s="1622"/>
      <c r="R12" s="1622"/>
      <c r="S12" s="1622"/>
      <c r="T12" s="1622"/>
      <c r="U12" s="1622"/>
      <c r="V12" s="1622"/>
      <c r="W12" s="1622"/>
      <c r="X12" s="1622"/>
      <c r="Y12" s="1622"/>
      <c r="Z12" s="1622"/>
      <c r="AA12" s="1622"/>
      <c r="AB12" s="1622"/>
      <c r="AC12" s="1622"/>
      <c r="AD12" s="1622"/>
      <c r="AE12" s="1622"/>
      <c r="AF12" s="1622"/>
      <c r="AG12" s="1622"/>
      <c r="AH12" s="1622"/>
      <c r="AI12" s="1622"/>
      <c r="AJ12" s="1622"/>
      <c r="AK12" s="1622"/>
      <c r="AL12" s="1622"/>
      <c r="AM12" s="1622"/>
      <c r="AN12" s="1622"/>
    </row>
    <row r="13" spans="2:40" s="1623" customFormat="1" ht="30" x14ac:dyDescent="0.2">
      <c r="B13" s="1631" t="str">
        <f>IF(Presentation!$D$2="Français",'TRAD-Synthesis Adults'!D13,IF(Presentation!$D$2="Anglais",'TRAD-Synthesis Adults'!E13,""))</f>
        <v>La répartition en 3ème ligne est une hypothèse. Le Total est supérieur à 100%</v>
      </c>
      <c r="D13" s="1617" t="s">
        <v>1065</v>
      </c>
      <c r="E13" s="1621" t="s">
        <v>573</v>
      </c>
      <c r="F13" s="1622"/>
      <c r="G13" s="1622"/>
      <c r="H13" s="1622"/>
      <c r="I13" s="1622"/>
      <c r="J13" s="1622"/>
      <c r="K13" s="1622"/>
      <c r="L13" s="1622"/>
      <c r="M13" s="1622"/>
      <c r="N13" s="1622"/>
      <c r="O13" s="1622"/>
      <c r="P13" s="1622"/>
      <c r="Q13" s="1622"/>
      <c r="R13" s="1622"/>
      <c r="S13" s="1622"/>
      <c r="T13" s="1622"/>
      <c r="U13" s="1622"/>
      <c r="V13" s="1622"/>
      <c r="W13" s="1622"/>
      <c r="X13" s="1622"/>
      <c r="Y13" s="1622"/>
      <c r="Z13" s="1622"/>
      <c r="AA13" s="1622"/>
      <c r="AB13" s="1622"/>
      <c r="AC13" s="1622"/>
      <c r="AD13" s="1622"/>
      <c r="AE13" s="1622"/>
      <c r="AF13" s="1622"/>
      <c r="AG13" s="1622"/>
      <c r="AH13" s="1622"/>
      <c r="AI13" s="1622"/>
      <c r="AJ13" s="1622"/>
      <c r="AK13" s="1622"/>
      <c r="AL13" s="1622"/>
      <c r="AM13" s="1622"/>
      <c r="AN13" s="1622"/>
    </row>
    <row r="14" spans="2:40" s="1623" customFormat="1" ht="30" x14ac:dyDescent="0.2">
      <c r="B14" s="1631" t="str">
        <f>IF(Presentation!$D$2="Français",'TRAD-Synthesis Adults'!D14,IF(Presentation!$D$2="Anglais",'TRAD-Synthesis Adults'!E14,""))</f>
        <v>Résultats N ° 2: LES BESOINS EN ARV POUR ADULTES (sans stocks disponibles au début de la période)</v>
      </c>
      <c r="D14" s="1617" t="s">
        <v>1066</v>
      </c>
      <c r="E14" s="1692" t="s">
        <v>1358</v>
      </c>
      <c r="G14" s="1622"/>
      <c r="H14" s="1622"/>
      <c r="I14" s="1622"/>
      <c r="J14" s="1622"/>
      <c r="K14" s="1622"/>
      <c r="L14" s="1622"/>
      <c r="M14" s="1622"/>
      <c r="N14" s="1622"/>
      <c r="O14" s="1622"/>
      <c r="P14" s="1622"/>
      <c r="Q14" s="1622"/>
      <c r="R14" s="1622"/>
      <c r="S14" s="1622"/>
      <c r="T14" s="1622"/>
      <c r="U14" s="1622"/>
      <c r="V14" s="1622"/>
      <c r="W14" s="1622"/>
      <c r="X14" s="1622"/>
      <c r="Y14" s="1622"/>
      <c r="Z14" s="1622"/>
      <c r="AA14" s="1622"/>
      <c r="AB14" s="1622"/>
      <c r="AC14" s="1622"/>
      <c r="AD14" s="1622"/>
      <c r="AE14" s="1622"/>
      <c r="AF14" s="1622"/>
      <c r="AG14" s="1622"/>
      <c r="AH14" s="1622"/>
      <c r="AI14" s="1622"/>
      <c r="AJ14" s="1622"/>
      <c r="AK14" s="1622"/>
      <c r="AL14" s="1622"/>
      <c r="AM14" s="1622"/>
      <c r="AN14" s="1622"/>
    </row>
    <row r="15" spans="2:40" s="1623" customFormat="1" x14ac:dyDescent="0.2">
      <c r="B15" s="1631" t="str">
        <f>IF(Presentation!$D$2="Français",'TRAD-Synthesis Adults'!D15,IF(Presentation!$D$2="Anglais",'TRAD-Synthesis Adults'!E15,""))</f>
        <v>produit</v>
      </c>
      <c r="D15" s="1617" t="s">
        <v>1067</v>
      </c>
      <c r="E15" s="1619" t="s">
        <v>513</v>
      </c>
      <c r="F15" s="1622"/>
      <c r="G15" s="1622"/>
      <c r="H15" s="1622"/>
      <c r="I15" s="1622"/>
      <c r="J15" s="1622"/>
      <c r="K15" s="1622"/>
      <c r="L15" s="1622"/>
      <c r="M15" s="1622"/>
      <c r="N15" s="1622"/>
      <c r="O15" s="1622"/>
      <c r="P15" s="1622"/>
      <c r="Q15" s="1622"/>
      <c r="R15" s="1622"/>
      <c r="S15" s="1622"/>
      <c r="T15" s="1622"/>
      <c r="U15" s="1622"/>
      <c r="V15" s="1622"/>
      <c r="W15" s="1622"/>
      <c r="X15" s="1622"/>
      <c r="Y15" s="1622"/>
      <c r="Z15" s="1622"/>
      <c r="AA15" s="1622"/>
      <c r="AB15" s="1622"/>
      <c r="AC15" s="1622"/>
      <c r="AD15" s="1622"/>
      <c r="AE15" s="1622"/>
      <c r="AF15" s="1622"/>
      <c r="AG15" s="1622"/>
      <c r="AH15" s="1622"/>
      <c r="AI15" s="1622"/>
      <c r="AJ15" s="1622"/>
      <c r="AK15" s="1622"/>
      <c r="AL15" s="1622"/>
      <c r="AM15" s="1622"/>
      <c r="AN15" s="1622"/>
    </row>
    <row r="16" spans="2:40" s="1623" customFormat="1" x14ac:dyDescent="0.2">
      <c r="B16" s="1631" t="str">
        <f>IF(Presentation!$D$2="Français",'TRAD-Synthesis Adults'!D16,IF(Presentation!$D$2="Anglais",'TRAD-Synthesis Adults'!E16,""))</f>
        <v>Nom de spécialité</v>
      </c>
      <c r="D16" s="1617" t="s">
        <v>3</v>
      </c>
      <c r="E16" s="1619" t="s">
        <v>469</v>
      </c>
      <c r="F16" s="1622"/>
      <c r="G16" s="1622"/>
      <c r="H16" s="1622"/>
      <c r="I16" s="1622"/>
      <c r="J16" s="1622"/>
      <c r="K16" s="1622"/>
      <c r="L16" s="1622"/>
      <c r="M16" s="1622"/>
      <c r="N16" s="1622"/>
      <c r="O16" s="1622"/>
      <c r="P16" s="1622"/>
      <c r="Q16" s="1622"/>
      <c r="R16" s="1622"/>
      <c r="S16" s="1622"/>
      <c r="T16" s="1622"/>
      <c r="U16" s="1622"/>
      <c r="V16" s="1622"/>
      <c r="W16" s="1622"/>
      <c r="X16" s="1622"/>
      <c r="Y16" s="1622"/>
      <c r="Z16" s="1622"/>
      <c r="AA16" s="1622"/>
      <c r="AB16" s="1622"/>
      <c r="AC16" s="1622"/>
      <c r="AD16" s="1622"/>
      <c r="AE16" s="1622"/>
      <c r="AF16" s="1622"/>
      <c r="AG16" s="1622"/>
      <c r="AH16" s="1622"/>
      <c r="AI16" s="1622"/>
      <c r="AJ16" s="1622"/>
      <c r="AK16" s="1622"/>
      <c r="AL16" s="1622"/>
      <c r="AM16" s="1622"/>
      <c r="AN16" s="1622"/>
    </row>
    <row r="17" spans="2:40" s="1623" customFormat="1" x14ac:dyDescent="0.2">
      <c r="B17" s="1631" t="str">
        <f>IF(Presentation!$D$2="Français",'TRAD-Synthesis Adults'!D17,IF(Presentation!$D$2="Anglais",'TRAD-Synthesis Adults'!E17,""))</f>
        <v>Forme galénique</v>
      </c>
      <c r="D17" s="1617" t="s">
        <v>1</v>
      </c>
      <c r="E17" s="1619" t="s">
        <v>511</v>
      </c>
      <c r="F17" s="1618"/>
      <c r="G17" s="1618"/>
      <c r="H17" s="1618"/>
      <c r="I17" s="1618"/>
      <c r="J17" s="1618"/>
      <c r="K17" s="1618"/>
      <c r="L17" s="1618"/>
      <c r="M17" s="1618"/>
      <c r="N17" s="1618"/>
      <c r="O17" s="1618"/>
      <c r="P17" s="1618"/>
      <c r="Q17" s="1622"/>
      <c r="R17" s="1622"/>
      <c r="S17" s="1622"/>
      <c r="T17" s="1622"/>
      <c r="U17" s="1622"/>
      <c r="V17" s="1622"/>
      <c r="W17" s="1622"/>
      <c r="X17" s="1622"/>
      <c r="Y17" s="1622"/>
      <c r="Z17" s="1622"/>
      <c r="AA17" s="1622"/>
      <c r="AB17" s="1622"/>
      <c r="AC17" s="1622"/>
      <c r="AD17" s="1622"/>
      <c r="AE17" s="1622"/>
      <c r="AF17" s="1622"/>
      <c r="AG17" s="1622"/>
      <c r="AH17" s="1622"/>
      <c r="AI17" s="1622"/>
      <c r="AJ17" s="1622"/>
      <c r="AK17" s="1622"/>
      <c r="AL17" s="1622"/>
      <c r="AM17" s="1622"/>
      <c r="AN17" s="1622"/>
    </row>
    <row r="18" spans="2:40" s="1623" customFormat="1" x14ac:dyDescent="0.2">
      <c r="B18" s="1631" t="str">
        <f>IF(Presentation!$D$2="Français",'TRAD-Synthesis Adults'!D18,IF(Presentation!$D$2="Anglais",'TRAD-Synthesis Adults'!E18,""))</f>
        <v>Dosage</v>
      </c>
      <c r="D18" s="1617" t="s">
        <v>2</v>
      </c>
      <c r="E18" s="1619" t="s">
        <v>2</v>
      </c>
      <c r="F18" s="1622"/>
      <c r="G18" s="1622"/>
      <c r="H18" s="1622"/>
      <c r="I18" s="1622"/>
      <c r="J18" s="1622"/>
      <c r="K18" s="1622"/>
      <c r="L18" s="1622"/>
      <c r="M18" s="1622"/>
      <c r="N18" s="1622"/>
      <c r="O18" s="1622"/>
      <c r="P18" s="1622"/>
      <c r="Q18" s="1622"/>
      <c r="R18" s="1622"/>
      <c r="S18" s="1622"/>
      <c r="T18" s="1622"/>
      <c r="U18" s="1622"/>
      <c r="V18" s="1622"/>
      <c r="W18" s="1622"/>
      <c r="X18" s="1622"/>
      <c r="Y18" s="1622"/>
      <c r="Z18" s="1622"/>
      <c r="AA18" s="1622"/>
      <c r="AB18" s="1622"/>
      <c r="AC18" s="1622"/>
      <c r="AD18" s="1622"/>
      <c r="AE18" s="1622"/>
      <c r="AF18" s="1622"/>
      <c r="AG18" s="1622"/>
      <c r="AH18" s="1622"/>
      <c r="AI18" s="1622"/>
      <c r="AJ18" s="1622"/>
      <c r="AK18" s="1622"/>
      <c r="AL18" s="1622"/>
      <c r="AM18" s="1622"/>
      <c r="AN18" s="1622"/>
    </row>
    <row r="19" spans="2:40" s="1623" customFormat="1" x14ac:dyDescent="0.2">
      <c r="B19" s="1631" t="str">
        <f>IF(Presentation!$D$2="Français",'TRAD-Synthesis Adults'!D19,IF(Presentation!$D$2="Anglais",'TRAD-Synthesis Adults'!E19,""))</f>
        <v>unité de mesure</v>
      </c>
      <c r="D19" s="1617" t="s">
        <v>1068</v>
      </c>
      <c r="E19" s="1619" t="s">
        <v>514</v>
      </c>
      <c r="F19" s="1622"/>
      <c r="G19" s="1622"/>
      <c r="H19" s="1622"/>
      <c r="I19" s="1622"/>
      <c r="J19" s="1622"/>
      <c r="K19" s="1622"/>
      <c r="L19" s="1622"/>
      <c r="M19" s="1622"/>
      <c r="N19" s="1622"/>
      <c r="O19" s="1622"/>
      <c r="P19" s="1622"/>
      <c r="Q19" s="1622"/>
      <c r="R19" s="1622"/>
      <c r="S19" s="1622"/>
      <c r="T19" s="1622"/>
      <c r="U19" s="1622"/>
      <c r="V19" s="1622"/>
      <c r="W19" s="1622"/>
      <c r="X19" s="1622"/>
      <c r="Y19" s="1622"/>
      <c r="Z19" s="1622"/>
      <c r="AA19" s="1622"/>
      <c r="AB19" s="1622"/>
      <c r="AC19" s="1622"/>
      <c r="AD19" s="1622"/>
      <c r="AE19" s="1622"/>
      <c r="AF19" s="1622"/>
      <c r="AG19" s="1622"/>
      <c r="AH19" s="1622"/>
      <c r="AI19" s="1622"/>
      <c r="AJ19" s="1622"/>
      <c r="AK19" s="1622"/>
      <c r="AL19" s="1622"/>
      <c r="AM19" s="1622"/>
      <c r="AN19" s="1622"/>
    </row>
    <row r="20" spans="2:40" s="1623" customFormat="1" x14ac:dyDescent="0.2">
      <c r="B20" s="1631" t="str">
        <f>IF(Presentation!$D$2="Français",'TRAD-Synthesis Adults'!D20,IF(Presentation!$D$2="Anglais",'TRAD-Synthesis Adults'!E20,""))</f>
        <v>Prix unitaire par cdt (US$)  [1]</v>
      </c>
      <c r="D20" s="1617" t="s">
        <v>1548</v>
      </c>
      <c r="E20" s="1619" t="s">
        <v>1549</v>
      </c>
      <c r="F20" s="1622"/>
      <c r="G20" s="1622"/>
      <c r="H20" s="1622"/>
      <c r="I20" s="1622"/>
      <c r="J20" s="1622"/>
      <c r="K20" s="1622"/>
      <c r="L20" s="1620"/>
      <c r="M20" s="1620"/>
      <c r="N20" s="1620"/>
      <c r="O20" s="1620"/>
      <c r="P20" s="1620"/>
      <c r="Q20" s="1620"/>
      <c r="R20" s="1620"/>
      <c r="S20" s="1620"/>
      <c r="T20" s="1622"/>
      <c r="U20" s="1622"/>
      <c r="V20" s="1622"/>
      <c r="W20" s="1622"/>
      <c r="X20" s="1622"/>
      <c r="Y20" s="1622"/>
      <c r="Z20" s="1622"/>
      <c r="AA20" s="1620"/>
      <c r="AB20" s="1620"/>
      <c r="AC20" s="1620"/>
      <c r="AD20" s="1620"/>
      <c r="AE20" s="1620"/>
      <c r="AF20" s="1620"/>
      <c r="AG20" s="1620"/>
      <c r="AH20" s="1620"/>
      <c r="AI20" s="1620"/>
      <c r="AJ20" s="1620"/>
      <c r="AK20" s="1620"/>
      <c r="AL20" s="1620"/>
      <c r="AM20" s="1622"/>
      <c r="AN20" s="1622"/>
    </row>
    <row r="21" spans="2:40" s="1623" customFormat="1" x14ac:dyDescent="0.2">
      <c r="B21" s="1631" t="str">
        <f>IF(Presentation!$D$2="Français",'TRAD-Synthesis Adults'!D21,IF(Presentation!$D$2="Anglais",'TRAD-Synthesis Adults'!E21,""))</f>
        <v>TOTAL (nbre de btes)</v>
      </c>
      <c r="D21" s="1617" t="s">
        <v>1476</v>
      </c>
      <c r="E21" s="1619" t="s">
        <v>529</v>
      </c>
      <c r="P21" s="1620"/>
      <c r="R21" s="1620"/>
      <c r="S21" s="1620"/>
      <c r="T21" s="1622"/>
      <c r="U21" s="1620"/>
      <c r="V21" s="1620"/>
      <c r="W21" s="1620"/>
      <c r="X21" s="1620"/>
      <c r="Y21" s="1620"/>
      <c r="Z21" s="1620"/>
      <c r="AA21" s="1620"/>
      <c r="AB21" s="1620"/>
      <c r="AC21" s="1620"/>
      <c r="AD21" s="1620"/>
      <c r="AE21" s="1620"/>
      <c r="AF21" s="1620"/>
      <c r="AG21" s="1620"/>
      <c r="AH21" s="1620"/>
      <c r="AI21" s="1620"/>
      <c r="AJ21" s="1620"/>
      <c r="AK21" s="1620"/>
      <c r="AL21" s="1620"/>
      <c r="AM21" s="1620"/>
      <c r="AN21" s="1622"/>
    </row>
    <row r="22" spans="2:40" s="1623" customFormat="1" x14ac:dyDescent="0.2">
      <c r="B22" s="1631" t="str">
        <f>IF(Presentation!$D$2="Français",'TRAD-Synthesis Adults'!D22,IF(Presentation!$D$2="Anglais",'TRAD-Synthesis Adults'!E22,""))</f>
        <v>Tampon (nbre de btes)</v>
      </c>
      <c r="D22" s="1617" t="s">
        <v>1477</v>
      </c>
      <c r="E22" s="1619" t="s">
        <v>530</v>
      </c>
      <c r="M22" s="1620"/>
      <c r="N22" s="1620"/>
      <c r="O22" s="1620"/>
      <c r="P22" s="1620"/>
      <c r="Q22" s="1620"/>
      <c r="R22" s="1620"/>
      <c r="S22" s="1620"/>
      <c r="T22" s="1622"/>
      <c r="U22" s="1620"/>
      <c r="V22" s="1620"/>
      <c r="W22" s="1620"/>
      <c r="X22" s="1620"/>
      <c r="Y22" s="1620"/>
      <c r="Z22" s="1620"/>
      <c r="AA22" s="1620"/>
      <c r="AB22" s="1620"/>
      <c r="AC22" s="1620"/>
      <c r="AD22" s="1620"/>
      <c r="AE22" s="1620"/>
      <c r="AF22" s="1620"/>
      <c r="AG22" s="1620"/>
      <c r="AH22" s="1620"/>
      <c r="AI22" s="1620"/>
      <c r="AJ22" s="1620"/>
      <c r="AK22" s="1620"/>
      <c r="AL22" s="1620"/>
      <c r="AM22" s="1620"/>
      <c r="AN22" s="1622"/>
    </row>
    <row r="23" spans="2:40" s="1623" customFormat="1" x14ac:dyDescent="0.2">
      <c r="B23" s="1631" t="str">
        <f>IF(Presentation!$D$2="Français",'TRAD-Synthesis Adults'!D23,IF(Presentation!$D$2="Anglais",'TRAD-Synthesis Adults'!E23,""))</f>
        <v>TOTAL + Tampon (nbre de btes)</v>
      </c>
      <c r="D23" s="1617" t="s">
        <v>1479</v>
      </c>
      <c r="E23" s="1619" t="s">
        <v>531</v>
      </c>
      <c r="M23" s="1620"/>
      <c r="N23" s="1620"/>
      <c r="O23" s="1620"/>
      <c r="P23" s="1620"/>
      <c r="Q23" s="1620"/>
      <c r="R23" s="1620"/>
      <c r="S23" s="1620"/>
      <c r="T23" s="1622"/>
      <c r="U23" s="1620"/>
      <c r="V23" s="1620"/>
      <c r="W23" s="1620"/>
      <c r="X23" s="1620"/>
      <c r="Y23" s="1620"/>
      <c r="Z23" s="1620"/>
      <c r="AA23" s="1620"/>
      <c r="AB23" s="1620"/>
      <c r="AC23" s="1620"/>
      <c r="AD23" s="1620"/>
      <c r="AE23" s="1620"/>
      <c r="AF23" s="1620"/>
      <c r="AG23" s="1620"/>
      <c r="AH23" s="1620"/>
      <c r="AI23" s="1620"/>
      <c r="AJ23" s="1620"/>
      <c r="AK23" s="1620"/>
      <c r="AL23" s="1620"/>
      <c r="AM23" s="1620"/>
      <c r="AN23" s="1622"/>
    </row>
    <row r="24" spans="2:40" s="1623" customFormat="1" x14ac:dyDescent="0.2">
      <c r="B24" s="1631" t="str">
        <f>IF(Presentation!$D$2="Français",'TRAD-Synthesis Adults'!D24,IF(Presentation!$D$2="Anglais",'TRAD-Synthesis Adults'!E24,""))</f>
        <v>PRIX TOTAL (US$)</v>
      </c>
      <c r="D24" s="1617" t="s">
        <v>1071</v>
      </c>
      <c r="E24" s="1619" t="s">
        <v>520</v>
      </c>
      <c r="M24" s="1620"/>
      <c r="N24" s="1620"/>
      <c r="O24" s="1620"/>
      <c r="P24" s="1620"/>
      <c r="Q24" s="1620"/>
      <c r="R24" s="1620"/>
      <c r="S24" s="1620"/>
      <c r="T24" s="1622"/>
      <c r="U24" s="1620"/>
      <c r="V24" s="1620"/>
      <c r="W24" s="1620"/>
      <c r="X24" s="1620"/>
      <c r="Y24" s="1620"/>
      <c r="Z24" s="1620"/>
      <c r="AA24" s="1620"/>
      <c r="AB24" s="1620"/>
      <c r="AC24" s="1620"/>
      <c r="AD24" s="1620"/>
      <c r="AE24" s="1620"/>
      <c r="AF24" s="1620"/>
      <c r="AG24" s="1620"/>
      <c r="AH24" s="1620"/>
      <c r="AI24" s="1620"/>
      <c r="AJ24" s="1620"/>
      <c r="AK24" s="1620"/>
      <c r="AL24" s="1620"/>
      <c r="AM24" s="1620"/>
      <c r="AN24" s="1622"/>
    </row>
    <row r="25" spans="2:40" s="1623" customFormat="1" x14ac:dyDescent="0.2">
      <c r="B25" s="1631" t="str">
        <f>IF(Presentation!$D$2="Français",'TRAD-Synthesis Adults'!D25,IF(Presentation!$D$2="Anglais",'TRAD-Synthesis Adults'!E25,""))</f>
        <v>Tampon / Année passée (nbre de btes)</v>
      </c>
      <c r="D25" s="1617" t="s">
        <v>1478</v>
      </c>
      <c r="E25" s="1619" t="s">
        <v>533</v>
      </c>
      <c r="M25" s="1620"/>
      <c r="N25" s="1620"/>
      <c r="O25" s="1620"/>
      <c r="P25" s="1620"/>
      <c r="Q25" s="1620"/>
      <c r="R25" s="1620"/>
      <c r="S25" s="1620"/>
      <c r="T25" s="1622"/>
      <c r="U25" s="1620"/>
      <c r="V25" s="1620"/>
      <c r="W25" s="1620"/>
      <c r="X25" s="1620"/>
      <c r="Y25" s="1620"/>
      <c r="Z25" s="1620"/>
      <c r="AA25" s="1620"/>
      <c r="AB25" s="1620"/>
      <c r="AC25" s="1620"/>
      <c r="AD25" s="1620"/>
      <c r="AE25" s="1620"/>
      <c r="AF25" s="1620"/>
      <c r="AG25" s="1620"/>
      <c r="AH25" s="1620"/>
      <c r="AI25" s="1620"/>
      <c r="AJ25" s="1620"/>
      <c r="AK25" s="1620"/>
      <c r="AL25" s="1620"/>
      <c r="AM25" s="1620"/>
      <c r="AN25" s="1622"/>
    </row>
    <row r="26" spans="2:40" s="1623" customFormat="1" x14ac:dyDescent="0.2">
      <c r="B26" s="1631" t="str">
        <f>IF(Presentation!$D$2="Français",'TRAD-Synthesis Adults'!D26,IF(Presentation!$D$2="Anglais",'TRAD-Synthesis Adults'!E26,""))</f>
        <v>PRIX TOTAL durant toute la période (US$)</v>
      </c>
      <c r="D26" s="1617" t="s">
        <v>1072</v>
      </c>
      <c r="E26" s="1619" t="s">
        <v>1277</v>
      </c>
      <c r="M26" s="1620"/>
      <c r="N26" s="1620"/>
      <c r="O26" s="1620"/>
      <c r="P26" s="1620"/>
      <c r="Q26" s="1620"/>
      <c r="R26" s="1620"/>
      <c r="S26" s="1620"/>
      <c r="T26" s="1622"/>
      <c r="U26" s="1620"/>
      <c r="V26" s="1620"/>
      <c r="W26" s="1620"/>
      <c r="X26" s="1620"/>
      <c r="Y26" s="1620"/>
      <c r="Z26" s="1620"/>
      <c r="AA26" s="1620"/>
      <c r="AB26" s="1620"/>
      <c r="AC26" s="1620"/>
      <c r="AD26" s="1620"/>
      <c r="AE26" s="1620"/>
      <c r="AF26" s="1620"/>
      <c r="AG26" s="1620"/>
      <c r="AH26" s="1620"/>
      <c r="AI26" s="1620"/>
      <c r="AJ26" s="1620"/>
      <c r="AK26" s="1620"/>
      <c r="AL26" s="1620"/>
      <c r="AM26" s="1620"/>
      <c r="AN26" s="1622"/>
    </row>
    <row r="27" spans="2:40" s="1623" customFormat="1" x14ac:dyDescent="0.2">
      <c r="B27" s="1631" t="str">
        <f>IF(Presentation!$D$2="Français",'TRAD-Synthesis Adults'!D27,IF(Presentation!$D$2="Anglais",'TRAD-Synthesis Adults'!E27,""))</f>
        <v>Caps. Molle</v>
      </c>
      <c r="D27" s="1617" t="s">
        <v>1483</v>
      </c>
      <c r="E27" s="1619" t="s">
        <v>1481</v>
      </c>
      <c r="M27" s="1620"/>
      <c r="N27" s="1620"/>
      <c r="O27" s="1620"/>
      <c r="P27" s="1620"/>
      <c r="Q27" s="1620"/>
      <c r="R27" s="1620"/>
      <c r="S27" s="1620"/>
      <c r="T27" s="1622"/>
      <c r="U27" s="1620"/>
      <c r="V27" s="1620"/>
      <c r="W27" s="1620"/>
      <c r="X27" s="1620"/>
      <c r="Y27" s="1620"/>
      <c r="Z27" s="1620"/>
      <c r="AA27" s="1620"/>
      <c r="AB27" s="1620"/>
      <c r="AC27" s="1620"/>
      <c r="AD27" s="1620"/>
      <c r="AE27" s="1620"/>
      <c r="AF27" s="1620"/>
      <c r="AG27" s="1620"/>
      <c r="AH27" s="1620"/>
      <c r="AI27" s="1620"/>
      <c r="AJ27" s="1620"/>
      <c r="AK27" s="1620"/>
      <c r="AL27" s="1620"/>
      <c r="AM27" s="1620"/>
      <c r="AN27" s="1622"/>
    </row>
    <row r="28" spans="2:40" s="1623" customFormat="1" x14ac:dyDescent="0.2">
      <c r="B28" s="1631" t="str">
        <f>IF(Presentation!$D$2="Français",'TRAD-Synthesis Adults'!D28,IF(Presentation!$D$2="Anglais",'TRAD-Synthesis Adults'!E28,""))</f>
        <v>NNRTI 3ème ligne</v>
      </c>
      <c r="D28" s="1617" t="s">
        <v>333</v>
      </c>
      <c r="E28" s="1619" t="s">
        <v>1073</v>
      </c>
      <c r="F28" s="1625"/>
      <c r="G28" s="1622"/>
      <c r="H28" s="1622"/>
      <c r="I28" s="1622"/>
      <c r="J28" s="1641"/>
      <c r="K28" s="1638"/>
      <c r="L28" s="1647"/>
      <c r="M28" s="1647"/>
      <c r="N28" s="1647"/>
      <c r="O28" s="1648"/>
      <c r="P28" s="1647"/>
      <c r="Q28" s="1647"/>
      <c r="R28" s="1647"/>
      <c r="S28" s="1648"/>
      <c r="T28" s="1625"/>
      <c r="U28" s="1625"/>
      <c r="V28" s="1622"/>
      <c r="W28" s="1622"/>
      <c r="X28" s="1622"/>
      <c r="Y28" s="1641"/>
      <c r="Z28" s="1638"/>
      <c r="AA28" s="1647"/>
      <c r="AB28" s="1647"/>
      <c r="AC28" s="1647"/>
      <c r="AD28" s="1648"/>
      <c r="AE28" s="1647"/>
      <c r="AF28" s="1647"/>
      <c r="AG28" s="1647"/>
      <c r="AH28" s="1648"/>
      <c r="AI28" s="1647"/>
      <c r="AJ28" s="1647"/>
      <c r="AK28" s="1647"/>
      <c r="AL28" s="1648"/>
      <c r="AM28" s="1648"/>
      <c r="AN28" s="1622"/>
    </row>
    <row r="29" spans="2:40" s="1623" customFormat="1" x14ac:dyDescent="0.2">
      <c r="B29" s="1631" t="str">
        <f>IF(Presentation!$D$2="Français",'TRAD-Synthesis Adults'!D29,IF(Presentation!$D$2="Anglais",'TRAD-Synthesis Adults'!E29,""))</f>
        <v>Notes</v>
      </c>
      <c r="D29" s="1617" t="s">
        <v>241</v>
      </c>
      <c r="E29" s="1619" t="s">
        <v>241</v>
      </c>
      <c r="F29" s="1625"/>
      <c r="G29" s="1622"/>
      <c r="H29" s="1622"/>
      <c r="I29" s="1622"/>
      <c r="J29" s="1641"/>
      <c r="K29" s="1638"/>
      <c r="L29" s="1647"/>
      <c r="M29" s="1647"/>
      <c r="N29" s="1647"/>
      <c r="O29" s="1648"/>
      <c r="P29" s="1647"/>
      <c r="Q29" s="1647"/>
      <c r="R29" s="1647"/>
      <c r="S29" s="1648"/>
      <c r="T29" s="1625"/>
      <c r="U29" s="1625"/>
      <c r="V29" s="1622"/>
      <c r="W29" s="1622"/>
      <c r="X29" s="1622"/>
      <c r="Y29" s="1641"/>
      <c r="Z29" s="1638"/>
      <c r="AA29" s="1647"/>
      <c r="AB29" s="1647"/>
      <c r="AC29" s="1647"/>
      <c r="AD29" s="1648"/>
      <c r="AE29" s="1647"/>
      <c r="AF29" s="1647"/>
      <c r="AG29" s="1647"/>
      <c r="AH29" s="1648"/>
      <c r="AI29" s="1647"/>
      <c r="AJ29" s="1647"/>
      <c r="AK29" s="1647"/>
      <c r="AL29" s="1648"/>
      <c r="AM29" s="1648"/>
      <c r="AN29" s="1622"/>
    </row>
    <row r="30" spans="2:40" s="1623" customFormat="1" ht="45" x14ac:dyDescent="0.2">
      <c r="B30" s="1631" t="str">
        <f>IF(Presentation!$D$2="Français",'TRAD-Synthesis Adults'!D30,IF(Presentation!$D$2="Anglais",'TRAD-Synthesis Adults'!E30,""))</f>
        <v>D'après GPRM-AMDS-OMS 10/2011, to 'Untangling the web of price reduction' MSF Access report and French price for ETV in 2010</v>
      </c>
      <c r="D30" s="1619" t="s">
        <v>1074</v>
      </c>
      <c r="E30" s="1619" t="s">
        <v>597</v>
      </c>
      <c r="F30" s="1622"/>
      <c r="G30" s="1622"/>
      <c r="H30" s="1622"/>
      <c r="I30" s="1622"/>
      <c r="J30" s="1622"/>
      <c r="K30" s="1622"/>
      <c r="L30" s="1622"/>
      <c r="M30" s="1622"/>
      <c r="N30" s="1622"/>
      <c r="O30" s="1622"/>
      <c r="P30" s="1622"/>
      <c r="Q30" s="1622"/>
      <c r="R30" s="1622"/>
      <c r="S30" s="1622"/>
      <c r="T30" s="1622"/>
      <c r="U30" s="1622"/>
      <c r="V30" s="1622"/>
      <c r="W30" s="1622"/>
      <c r="X30" s="1622"/>
      <c r="Y30" s="1622"/>
      <c r="Z30" s="1622"/>
      <c r="AA30" s="1622"/>
      <c r="AB30" s="1622"/>
      <c r="AC30" s="1622"/>
      <c r="AD30" s="1622"/>
      <c r="AE30" s="1622"/>
      <c r="AF30" s="1622"/>
      <c r="AG30" s="1622"/>
      <c r="AH30" s="1622"/>
      <c r="AI30" s="1622"/>
      <c r="AJ30" s="1622"/>
      <c r="AK30" s="1622"/>
      <c r="AL30" s="1622"/>
      <c r="AM30" s="1622"/>
      <c r="AN30" s="1622"/>
    </row>
    <row r="31" spans="2:40" s="1623" customFormat="1" ht="30" x14ac:dyDescent="0.2">
      <c r="B31" s="1631" t="str">
        <f>IF(Presentation!$D$2="Français",'TRAD-Synthesis Adults'!D31,IF(Presentation!$D$2="Anglais",'TRAD-Synthesis Adults'!E31,""))</f>
        <v xml:space="preserve">Selon les options choisies dans les différents modèles précédents   </v>
      </c>
      <c r="D31" s="1621" t="s">
        <v>1075</v>
      </c>
      <c r="E31" s="1621" t="s">
        <v>1517</v>
      </c>
      <c r="G31" s="1622"/>
      <c r="H31" s="1622"/>
      <c r="I31" s="1622"/>
      <c r="J31" s="1622"/>
      <c r="K31" s="1622"/>
      <c r="L31" s="1622"/>
      <c r="M31" s="1622"/>
      <c r="N31" s="1622"/>
      <c r="O31" s="1622"/>
      <c r="P31" s="1622"/>
      <c r="Q31" s="1622"/>
      <c r="R31" s="1622"/>
      <c r="S31" s="1622"/>
      <c r="T31" s="1622"/>
      <c r="U31" s="1622"/>
      <c r="V31" s="1622"/>
      <c r="W31" s="1622"/>
      <c r="X31" s="1622"/>
      <c r="Y31" s="1622"/>
      <c r="Z31" s="1622"/>
      <c r="AA31" s="1622"/>
      <c r="AB31" s="1622"/>
      <c r="AC31" s="1622"/>
      <c r="AD31" s="1622"/>
      <c r="AE31" s="1622"/>
      <c r="AF31" s="1622"/>
      <c r="AG31" s="1622"/>
      <c r="AH31" s="1622"/>
      <c r="AI31" s="1622"/>
      <c r="AK31" s="1730"/>
      <c r="AM31" s="1648"/>
      <c r="AN31" s="1622"/>
    </row>
    <row r="32" spans="2:40" s="1623" customFormat="1" ht="30" x14ac:dyDescent="0.2">
      <c r="B32" s="1631" t="str">
        <f>IF(Presentation!$D$2="Français",'TRAD-Synthesis Adults'!D32,IF(Presentation!$D$2="Anglais",'TRAD-Synthesis Adults'!E32,""))</f>
        <v>Les prix n'incluent pas les frais de transport ni les frais de gestion de stock</v>
      </c>
      <c r="D32" s="1617" t="s">
        <v>1076</v>
      </c>
      <c r="E32" s="1619" t="s">
        <v>541</v>
      </c>
      <c r="F32" s="1622"/>
      <c r="G32" s="1622"/>
      <c r="H32" s="1622"/>
      <c r="I32" s="1622"/>
      <c r="J32" s="1622"/>
      <c r="K32" s="1622"/>
      <c r="L32" s="1622"/>
      <c r="M32" s="1622"/>
      <c r="N32" s="1622"/>
      <c r="O32" s="1622"/>
      <c r="P32" s="1622"/>
      <c r="Q32" s="1622"/>
      <c r="R32" s="1622"/>
      <c r="S32" s="1622"/>
      <c r="T32" s="1622"/>
      <c r="U32" s="1622"/>
      <c r="V32" s="1622"/>
      <c r="W32" s="1622"/>
      <c r="X32" s="1622"/>
      <c r="Y32" s="1622"/>
      <c r="Z32" s="1622"/>
      <c r="AA32" s="1622"/>
      <c r="AB32" s="1622"/>
      <c r="AC32" s="1622"/>
      <c r="AD32" s="1622"/>
      <c r="AE32" s="1622"/>
      <c r="AF32" s="1622"/>
      <c r="AG32" s="1622"/>
      <c r="AH32" s="1622"/>
      <c r="AI32" s="1622"/>
      <c r="AJ32" s="1622"/>
      <c r="AK32" s="1622"/>
      <c r="AL32" s="1622"/>
      <c r="AM32" s="1622"/>
      <c r="AN32" s="1622"/>
    </row>
    <row r="33" spans="2:40" s="1623" customFormat="1" ht="30" x14ac:dyDescent="0.2">
      <c r="B33" s="1631" t="str">
        <f>IF(Presentation!$D$2="Français",'TRAD-Synthesis Adults'!D33,IF(Presentation!$D$2="Anglais",'TRAD-Synthesis Adults'!E33,""))</f>
        <v>Tarif de transport, d'assurance, coût de variation du tampon</v>
      </c>
      <c r="D33" s="1617" t="s">
        <v>1077</v>
      </c>
      <c r="E33" s="1619" t="s">
        <v>1513</v>
      </c>
      <c r="F33" s="1622"/>
      <c r="G33" s="1622"/>
      <c r="H33" s="1622"/>
      <c r="I33" s="1622"/>
      <c r="J33" s="1622"/>
      <c r="K33" s="1622"/>
      <c r="L33" s="1622"/>
      <c r="M33" s="1622"/>
      <c r="N33" s="1622"/>
      <c r="O33" s="1622"/>
      <c r="P33" s="1622"/>
      <c r="Q33" s="1622"/>
      <c r="R33" s="1622"/>
      <c r="S33" s="1622"/>
      <c r="T33" s="1622"/>
      <c r="U33" s="1622"/>
      <c r="V33" s="1622"/>
      <c r="W33" s="1622"/>
      <c r="X33" s="1622"/>
      <c r="Y33" s="1622"/>
      <c r="Z33" s="1622"/>
      <c r="AA33" s="1622"/>
      <c r="AB33" s="1622"/>
      <c r="AC33" s="1622"/>
      <c r="AD33" s="1622"/>
      <c r="AE33" s="1622"/>
      <c r="AF33" s="1622"/>
      <c r="AG33" s="1622"/>
      <c r="AH33" s="1622"/>
      <c r="AI33" s="1622"/>
      <c r="AJ33" s="1622"/>
      <c r="AK33" s="1622"/>
      <c r="AL33" s="1622"/>
      <c r="AM33" s="1622"/>
      <c r="AN33" s="1622"/>
    </row>
    <row r="34" spans="2:40" s="1623" customFormat="1" x14ac:dyDescent="0.2">
      <c r="B34" s="1631" t="str">
        <f>IF(Presentation!$D$2="Français",'TRAD-Synthesis Adults'!D34,IF(Presentation!$D$2="Anglais",'TRAD-Synthesis Adults'!E34,""))</f>
        <v>Frais de Gestion</v>
      </c>
      <c r="D34" s="1617" t="s">
        <v>1078</v>
      </c>
      <c r="E34" s="1619" t="s">
        <v>536</v>
      </c>
      <c r="G34" s="1622"/>
      <c r="H34" s="1622"/>
      <c r="I34" s="1622"/>
      <c r="J34" s="1622"/>
      <c r="K34" s="1622"/>
      <c r="L34" s="1622"/>
      <c r="M34" s="1622"/>
      <c r="N34" s="1622"/>
      <c r="O34" s="1622"/>
      <c r="P34" s="1622"/>
      <c r="Q34" s="1622"/>
      <c r="R34" s="1622"/>
      <c r="S34" s="1622"/>
      <c r="T34" s="1622"/>
      <c r="U34" s="1622"/>
      <c r="V34" s="1622"/>
      <c r="W34" s="1622"/>
      <c r="X34" s="1622"/>
      <c r="Y34" s="1622"/>
      <c r="Z34" s="1622"/>
      <c r="AA34" s="1622"/>
      <c r="AB34" s="1622"/>
      <c r="AC34" s="1622"/>
      <c r="AD34" s="1622"/>
      <c r="AE34" s="1622"/>
      <c r="AF34" s="1622"/>
      <c r="AG34" s="1622"/>
      <c r="AH34" s="1622"/>
      <c r="AI34" s="1622"/>
      <c r="AJ34" s="1622"/>
      <c r="AK34" s="1622"/>
      <c r="AM34" s="1648"/>
      <c r="AN34" s="1622"/>
    </row>
    <row r="35" spans="2:40" s="1623" customFormat="1" x14ac:dyDescent="0.2">
      <c r="B35" s="1631" t="str">
        <f>IF(Presentation!$D$2="Français",'TRAD-Synthesis Adults'!D35,IF(Presentation!$D$2="Anglais",'TRAD-Synthesis Adults'!E35,""))</f>
        <v>correspondant à</v>
      </c>
      <c r="D35" s="1617" t="s">
        <v>1079</v>
      </c>
      <c r="E35" s="1621" t="s">
        <v>537</v>
      </c>
      <c r="F35" s="1622"/>
      <c r="G35" s="1622"/>
      <c r="H35" s="1622"/>
      <c r="I35" s="1622"/>
      <c r="J35" s="1622"/>
      <c r="K35" s="1622"/>
      <c r="L35" s="1622"/>
      <c r="M35" s="1622"/>
      <c r="N35" s="1622"/>
      <c r="O35" s="1622"/>
      <c r="P35" s="1622"/>
      <c r="Q35" s="1622"/>
      <c r="R35" s="1622"/>
      <c r="S35" s="1622"/>
      <c r="T35" s="1622"/>
      <c r="U35" s="1622"/>
      <c r="V35" s="1622"/>
      <c r="W35" s="1622"/>
      <c r="X35" s="1622"/>
      <c r="Y35" s="1622"/>
      <c r="Z35" s="1622"/>
      <c r="AA35" s="1622"/>
      <c r="AB35" s="1622"/>
      <c r="AC35" s="1622"/>
      <c r="AD35" s="1622"/>
      <c r="AE35" s="1622"/>
      <c r="AF35" s="1622"/>
      <c r="AG35" s="1622"/>
      <c r="AH35" s="1622"/>
      <c r="AI35" s="1622"/>
      <c r="AJ35" s="1622"/>
      <c r="AK35" s="1622"/>
      <c r="AL35" s="1622"/>
      <c r="AM35" s="1622"/>
      <c r="AN35" s="1622"/>
    </row>
    <row r="36" spans="2:40" s="1623" customFormat="1" x14ac:dyDescent="0.2">
      <c r="B36" s="1631" t="str">
        <f>IF(Presentation!$D$2="Français",'TRAD-Synthesis Adults'!D36,IF(Presentation!$D$2="Anglais",'TRAD-Synthesis Adults'!E36,""))</f>
        <v>Coût Total</v>
      </c>
      <c r="D36" s="1617" t="s">
        <v>1080</v>
      </c>
      <c r="E36" s="1619" t="s">
        <v>538</v>
      </c>
      <c r="F36" s="1622"/>
      <c r="G36" s="1622"/>
      <c r="H36" s="1622"/>
      <c r="I36" s="1622"/>
      <c r="J36" s="1622"/>
      <c r="K36" s="1622"/>
      <c r="L36" s="1622"/>
      <c r="M36" s="1622"/>
      <c r="N36" s="1622"/>
      <c r="O36" s="1622"/>
      <c r="P36" s="1622"/>
      <c r="Q36" s="1622"/>
      <c r="R36" s="1622"/>
      <c r="S36" s="1622"/>
      <c r="T36" s="1622"/>
      <c r="U36" s="1622"/>
      <c r="V36" s="1622"/>
      <c r="W36" s="1622"/>
      <c r="X36" s="1622"/>
      <c r="Y36" s="1622"/>
      <c r="Z36" s="1622"/>
      <c r="AA36" s="1622"/>
      <c r="AB36" s="1622"/>
      <c r="AC36" s="1622"/>
      <c r="AD36" s="1622"/>
      <c r="AE36" s="1622"/>
      <c r="AF36" s="1622"/>
      <c r="AG36" s="1622"/>
      <c r="AH36" s="1622"/>
      <c r="AI36" s="1622"/>
      <c r="AJ36" s="1622"/>
      <c r="AL36" s="1622"/>
      <c r="AM36" s="1731"/>
      <c r="AN36" s="1622"/>
    </row>
    <row r="37" spans="2:40" s="1623" customFormat="1" x14ac:dyDescent="0.2">
      <c r="B37" s="1631" t="str">
        <f>IF(Presentation!$D$2="Français",'TRAD-Synthesis Adults'!D37,IF(Presentation!$D$2="Anglais",'TRAD-Synthesis Adults'!E37,""))</f>
        <v xml:space="preserve">Taux de change 1 $ =  </v>
      </c>
      <c r="D37" s="1617" t="s">
        <v>1081</v>
      </c>
      <c r="E37" s="1619" t="s">
        <v>1359</v>
      </c>
      <c r="F37" s="1622"/>
      <c r="G37" s="1622"/>
      <c r="H37" s="1622"/>
      <c r="I37" s="1622"/>
      <c r="J37" s="1622"/>
      <c r="K37" s="1622"/>
      <c r="L37" s="1622"/>
      <c r="M37" s="1622"/>
      <c r="N37" s="1622"/>
      <c r="O37" s="1622"/>
      <c r="P37" s="1622"/>
      <c r="Q37" s="1622"/>
      <c r="R37" s="1622"/>
      <c r="S37" s="1622"/>
      <c r="T37" s="1622"/>
      <c r="U37" s="1622"/>
      <c r="V37" s="1622"/>
      <c r="W37" s="1622"/>
      <c r="X37" s="1622"/>
      <c r="Y37" s="1622"/>
      <c r="Z37" s="1622"/>
      <c r="AA37" s="1622"/>
      <c r="AB37" s="1622"/>
      <c r="AC37" s="1622"/>
      <c r="AD37" s="1622"/>
      <c r="AE37" s="1622"/>
      <c r="AF37" s="1622"/>
      <c r="AG37" s="1622"/>
      <c r="AH37" s="1622"/>
      <c r="AI37" s="1622"/>
      <c r="AJ37" s="1622"/>
      <c r="AK37" s="1622"/>
      <c r="AL37" s="1622"/>
      <c r="AM37" s="1622"/>
      <c r="AN37" s="1622"/>
    </row>
    <row r="38" spans="2:40" s="1623" customFormat="1" x14ac:dyDescent="0.2">
      <c r="B38" s="1631"/>
    </row>
    <row r="39" spans="2:40" s="1623" customFormat="1" x14ac:dyDescent="0.2">
      <c r="B39" s="1631"/>
    </row>
    <row r="40" spans="2:40" s="1623" customFormat="1" x14ac:dyDescent="0.2">
      <c r="B40" s="1631"/>
    </row>
    <row r="41" spans="2:40" s="1623" customFormat="1" x14ac:dyDescent="0.2">
      <c r="B41" s="1631"/>
    </row>
    <row r="42" spans="2:40" s="1623" customFormat="1" x14ac:dyDescent="0.2">
      <c r="B42" s="1631"/>
    </row>
    <row r="43" spans="2:40" s="1623" customFormat="1" x14ac:dyDescent="0.2">
      <c r="B43" s="1631"/>
    </row>
    <row r="44" spans="2:40" s="1623" customFormat="1" x14ac:dyDescent="0.2">
      <c r="B44" s="1631"/>
    </row>
    <row r="45" spans="2:40" s="1623" customFormat="1" x14ac:dyDescent="0.2">
      <c r="B45" s="1631"/>
    </row>
    <row r="46" spans="2:40" s="1623" customFormat="1" x14ac:dyDescent="0.2">
      <c r="B46" s="1631"/>
    </row>
    <row r="47" spans="2:40" s="1623" customFormat="1" x14ac:dyDescent="0.2">
      <c r="B47" s="1631"/>
    </row>
    <row r="48" spans="2:40" s="1623" customFormat="1" x14ac:dyDescent="0.2">
      <c r="B48" s="1631"/>
    </row>
    <row r="49" spans="2:2" s="1623" customFormat="1" x14ac:dyDescent="0.2">
      <c r="B49" s="1631"/>
    </row>
    <row r="50" spans="2:2" s="1623" customFormat="1" x14ac:dyDescent="0.2">
      <c r="B50" s="1631"/>
    </row>
    <row r="51" spans="2:2" s="1623" customFormat="1" x14ac:dyDescent="0.2">
      <c r="B51" s="1631"/>
    </row>
    <row r="52" spans="2:2" s="1623" customFormat="1" x14ac:dyDescent="0.2">
      <c r="B52" s="1631"/>
    </row>
    <row r="53" spans="2:2" s="1623" customFormat="1" x14ac:dyDescent="0.2">
      <c r="B53" s="1631"/>
    </row>
    <row r="54" spans="2:2" s="1623" customFormat="1" x14ac:dyDescent="0.2">
      <c r="B54" s="1631"/>
    </row>
    <row r="55" spans="2:2" s="1623" customFormat="1" x14ac:dyDescent="0.2">
      <c r="B55" s="1631"/>
    </row>
    <row r="56" spans="2:2" s="1623" customFormat="1" x14ac:dyDescent="0.2">
      <c r="B56" s="1631"/>
    </row>
    <row r="57" spans="2:2" s="1623" customFormat="1" x14ac:dyDescent="0.2">
      <c r="B57" s="1631"/>
    </row>
    <row r="58" spans="2:2" s="1623" customFormat="1" x14ac:dyDescent="0.2">
      <c r="B58" s="1631"/>
    </row>
    <row r="59" spans="2:2" s="1623" customFormat="1" x14ac:dyDescent="0.2">
      <c r="B59" s="1631"/>
    </row>
    <row r="60" spans="2:2" s="1623" customFormat="1" x14ac:dyDescent="0.2">
      <c r="B60" s="1631"/>
    </row>
    <row r="61" spans="2:2" s="1623" customFormat="1" x14ac:dyDescent="0.2">
      <c r="B61" s="1631"/>
    </row>
    <row r="62" spans="2:2" s="1623" customFormat="1" x14ac:dyDescent="0.2">
      <c r="B62" s="1631"/>
    </row>
    <row r="63" spans="2:2" s="1623" customFormat="1" x14ac:dyDescent="0.2">
      <c r="B63" s="1631"/>
    </row>
    <row r="64" spans="2:2" s="1623" customFormat="1" x14ac:dyDescent="0.2">
      <c r="B64" s="1631"/>
    </row>
    <row r="65" spans="2:2" s="1623" customFormat="1" x14ac:dyDescent="0.2">
      <c r="B65" s="1631"/>
    </row>
    <row r="66" spans="2:2" s="1623" customFormat="1" x14ac:dyDescent="0.2">
      <c r="B66" s="1631"/>
    </row>
    <row r="67" spans="2:2" s="1623" customFormat="1" x14ac:dyDescent="0.2">
      <c r="B67" s="1631"/>
    </row>
    <row r="68" spans="2:2" s="1623" customFormat="1" x14ac:dyDescent="0.2">
      <c r="B68" s="1631"/>
    </row>
    <row r="69" spans="2:2" s="1623" customFormat="1" x14ac:dyDescent="0.2">
      <c r="B69" s="1631"/>
    </row>
    <row r="70" spans="2:2" s="1623" customFormat="1" x14ac:dyDescent="0.2">
      <c r="B70" s="1631"/>
    </row>
    <row r="71" spans="2:2" s="1623" customFormat="1" x14ac:dyDescent="0.2">
      <c r="B71" s="1631"/>
    </row>
    <row r="72" spans="2:2" s="1623" customFormat="1" x14ac:dyDescent="0.2">
      <c r="B72" s="1631"/>
    </row>
    <row r="73" spans="2:2" s="1623" customFormat="1" x14ac:dyDescent="0.2">
      <c r="B73" s="1631"/>
    </row>
    <row r="74" spans="2:2" s="1623" customFormat="1" x14ac:dyDescent="0.2">
      <c r="B74" s="1631"/>
    </row>
    <row r="75" spans="2:2" s="1623" customFormat="1" x14ac:dyDescent="0.2">
      <c r="B75" s="1631"/>
    </row>
    <row r="76" spans="2:2" s="1623" customFormat="1" x14ac:dyDescent="0.2">
      <c r="B76" s="1631"/>
    </row>
    <row r="77" spans="2:2" s="1623" customFormat="1" x14ac:dyDescent="0.2">
      <c r="B77" s="1631"/>
    </row>
    <row r="78" spans="2:2" s="1623" customFormat="1" x14ac:dyDescent="0.2">
      <c r="B78" s="1631"/>
    </row>
    <row r="79" spans="2:2" s="1623" customFormat="1" x14ac:dyDescent="0.2">
      <c r="B79" s="1631"/>
    </row>
    <row r="80" spans="2:2" s="1623" customFormat="1" x14ac:dyDescent="0.2">
      <c r="B80" s="1631"/>
    </row>
    <row r="81" spans="2:2" s="1623" customFormat="1" x14ac:dyDescent="0.2">
      <c r="B81" s="1631"/>
    </row>
    <row r="82" spans="2:2" s="1623" customFormat="1" x14ac:dyDescent="0.2">
      <c r="B82" s="1631"/>
    </row>
    <row r="83" spans="2:2" s="1623" customFormat="1" x14ac:dyDescent="0.2">
      <c r="B83" s="1631"/>
    </row>
    <row r="84" spans="2:2" s="1623" customFormat="1" x14ac:dyDescent="0.2">
      <c r="B84" s="1631"/>
    </row>
    <row r="85" spans="2:2" s="1623" customFormat="1" x14ac:dyDescent="0.2">
      <c r="B85" s="1631"/>
    </row>
    <row r="86" spans="2:2" s="1623" customFormat="1" x14ac:dyDescent="0.2">
      <c r="B86" s="1631"/>
    </row>
    <row r="87" spans="2:2" s="1623" customFormat="1" x14ac:dyDescent="0.2">
      <c r="B87" s="1631"/>
    </row>
    <row r="88" spans="2:2" s="1623" customFormat="1" x14ac:dyDescent="0.2">
      <c r="B88" s="1631"/>
    </row>
    <row r="89" spans="2:2" s="1623" customFormat="1" x14ac:dyDescent="0.2">
      <c r="B89" s="1631"/>
    </row>
    <row r="90" spans="2:2" s="1623" customFormat="1" x14ac:dyDescent="0.2">
      <c r="B90" s="1631"/>
    </row>
    <row r="91" spans="2:2" s="1623" customFormat="1" x14ac:dyDescent="0.2">
      <c r="B91" s="1631"/>
    </row>
    <row r="92" spans="2:2" s="1623" customFormat="1" x14ac:dyDescent="0.2">
      <c r="B92" s="1631"/>
    </row>
    <row r="93" spans="2:2" s="1623" customFormat="1" x14ac:dyDescent="0.2">
      <c r="B93" s="1631"/>
    </row>
    <row r="94" spans="2:2" s="1623" customFormat="1" x14ac:dyDescent="0.2">
      <c r="B94" s="1631"/>
    </row>
    <row r="95" spans="2:2" s="1623" customFormat="1" x14ac:dyDescent="0.2">
      <c r="B95" s="1631"/>
    </row>
    <row r="96" spans="2:2" s="1623" customFormat="1" x14ac:dyDescent="0.2">
      <c r="B96" s="1631"/>
    </row>
    <row r="97" spans="2:2" s="1623" customFormat="1" x14ac:dyDescent="0.2">
      <c r="B97" s="1631"/>
    </row>
    <row r="98" spans="2:2" s="1623" customFormat="1" x14ac:dyDescent="0.2">
      <c r="B98" s="1631"/>
    </row>
    <row r="99" spans="2:2" s="1623" customFormat="1" x14ac:dyDescent="0.2">
      <c r="B99" s="1631"/>
    </row>
    <row r="100" spans="2:2" s="1623" customFormat="1" x14ac:dyDescent="0.2">
      <c r="B100" s="1631"/>
    </row>
    <row r="101" spans="2:2" s="1623" customFormat="1" x14ac:dyDescent="0.2">
      <c r="B101" s="1631"/>
    </row>
    <row r="102" spans="2:2" s="1623" customFormat="1" x14ac:dyDescent="0.2">
      <c r="B102" s="1631"/>
    </row>
    <row r="103" spans="2:2" s="1623" customFormat="1" x14ac:dyDescent="0.2">
      <c r="B103" s="1631"/>
    </row>
    <row r="104" spans="2:2" s="1623" customFormat="1" x14ac:dyDescent="0.2">
      <c r="B104" s="1631"/>
    </row>
    <row r="105" spans="2:2" s="1623" customFormat="1" x14ac:dyDescent="0.2">
      <c r="B105" s="1631"/>
    </row>
    <row r="106" spans="2:2" s="1623" customFormat="1" x14ac:dyDescent="0.2">
      <c r="B106" s="1631"/>
    </row>
    <row r="107" spans="2:2" s="1623" customFormat="1" x14ac:dyDescent="0.2">
      <c r="B107" s="1631"/>
    </row>
    <row r="108" spans="2:2" s="1623" customFormat="1" x14ac:dyDescent="0.2">
      <c r="B108" s="1631"/>
    </row>
    <row r="109" spans="2:2" s="1623" customFormat="1" x14ac:dyDescent="0.2">
      <c r="B109" s="1631"/>
    </row>
    <row r="110" spans="2:2" s="1623" customFormat="1" x14ac:dyDescent="0.2">
      <c r="B110" s="1631"/>
    </row>
    <row r="111" spans="2:2" s="1623" customFormat="1" x14ac:dyDescent="0.2">
      <c r="B111" s="1631"/>
    </row>
    <row r="112" spans="2:2" s="1623" customFormat="1" x14ac:dyDescent="0.2">
      <c r="B112" s="1631"/>
    </row>
    <row r="113" spans="2:2" s="1623" customFormat="1" x14ac:dyDescent="0.2">
      <c r="B113" s="1631"/>
    </row>
    <row r="114" spans="2:2" s="1623" customFormat="1" x14ac:dyDescent="0.2">
      <c r="B114" s="1631"/>
    </row>
    <row r="115" spans="2:2" s="1623" customFormat="1" x14ac:dyDescent="0.2">
      <c r="B115" s="1631"/>
    </row>
    <row r="116" spans="2:2" s="1623" customFormat="1" x14ac:dyDescent="0.2">
      <c r="B116" s="1631"/>
    </row>
    <row r="117" spans="2:2" s="1623" customFormat="1" x14ac:dyDescent="0.2">
      <c r="B117" s="1631"/>
    </row>
    <row r="118" spans="2:2" s="1623" customFormat="1" x14ac:dyDescent="0.2">
      <c r="B118" s="1631"/>
    </row>
    <row r="119" spans="2:2" s="1623" customFormat="1" x14ac:dyDescent="0.2">
      <c r="B119" s="1631"/>
    </row>
    <row r="120" spans="2:2" s="1623" customFormat="1" x14ac:dyDescent="0.2">
      <c r="B120" s="1631"/>
    </row>
    <row r="121" spans="2:2" s="1623" customFormat="1" x14ac:dyDescent="0.2">
      <c r="B121" s="1631"/>
    </row>
    <row r="122" spans="2:2" s="1623" customFormat="1" x14ac:dyDescent="0.2">
      <c r="B122" s="1631"/>
    </row>
    <row r="123" spans="2:2" s="1623" customFormat="1" x14ac:dyDescent="0.2">
      <c r="B123" s="1631"/>
    </row>
    <row r="124" spans="2:2" s="1623" customFormat="1" x14ac:dyDescent="0.2">
      <c r="B124" s="1631"/>
    </row>
    <row r="125" spans="2:2" s="1623" customFormat="1" x14ac:dyDescent="0.2">
      <c r="B125" s="1631"/>
    </row>
    <row r="126" spans="2:2" s="1623" customFormat="1" x14ac:dyDescent="0.2">
      <c r="B126" s="1631"/>
    </row>
    <row r="127" spans="2:2" s="1623" customFormat="1" x14ac:dyDescent="0.2">
      <c r="B127" s="1631"/>
    </row>
    <row r="128" spans="2:2" s="1623" customFormat="1" x14ac:dyDescent="0.2">
      <c r="B128" s="1631"/>
    </row>
    <row r="129" spans="2:2" s="1623" customFormat="1" x14ac:dyDescent="0.2">
      <c r="B129" s="1631"/>
    </row>
    <row r="130" spans="2:2" s="1623" customFormat="1" x14ac:dyDescent="0.2">
      <c r="B130" s="1631"/>
    </row>
    <row r="131" spans="2:2" s="1623" customFormat="1" x14ac:dyDescent="0.2">
      <c r="B131" s="1631"/>
    </row>
    <row r="132" spans="2:2" s="1623" customFormat="1" x14ac:dyDescent="0.2">
      <c r="B132" s="1631"/>
    </row>
    <row r="133" spans="2:2" s="1623" customFormat="1" x14ac:dyDescent="0.2">
      <c r="B133" s="1631"/>
    </row>
    <row r="134" spans="2:2" s="1623" customFormat="1" x14ac:dyDescent="0.2">
      <c r="B134" s="1631"/>
    </row>
    <row r="135" spans="2:2" s="1623" customFormat="1" x14ac:dyDescent="0.2">
      <c r="B135" s="1631"/>
    </row>
    <row r="136" spans="2:2" s="1623" customFormat="1" x14ac:dyDescent="0.2">
      <c r="B136" s="1631"/>
    </row>
    <row r="137" spans="2:2" s="1623" customFormat="1" x14ac:dyDescent="0.2">
      <c r="B137" s="1631"/>
    </row>
    <row r="138" spans="2:2" s="1623" customFormat="1" x14ac:dyDescent="0.2">
      <c r="B138" s="1631"/>
    </row>
    <row r="139" spans="2:2" s="1623" customFormat="1" x14ac:dyDescent="0.2">
      <c r="B139" s="1631"/>
    </row>
    <row r="140" spans="2:2" s="1623" customFormat="1" x14ac:dyDescent="0.2">
      <c r="B140" s="1631"/>
    </row>
    <row r="141" spans="2:2" s="1623" customFormat="1" x14ac:dyDescent="0.2">
      <c r="B141" s="1631"/>
    </row>
    <row r="142" spans="2:2" s="1623" customFormat="1" x14ac:dyDescent="0.2">
      <c r="B142" s="1631"/>
    </row>
    <row r="143" spans="2:2" s="1623" customFormat="1" x14ac:dyDescent="0.2">
      <c r="B143" s="1631"/>
    </row>
    <row r="144" spans="2:2" s="1623" customFormat="1" x14ac:dyDescent="0.2">
      <c r="B144" s="1631"/>
    </row>
    <row r="145" spans="2:2" s="1623" customFormat="1" x14ac:dyDescent="0.2">
      <c r="B145" s="1631"/>
    </row>
    <row r="146" spans="2:2" s="1623" customFormat="1" x14ac:dyDescent="0.2">
      <c r="B146" s="1631"/>
    </row>
    <row r="147" spans="2:2" s="1623" customFormat="1" x14ac:dyDescent="0.2">
      <c r="B147" s="1631"/>
    </row>
    <row r="148" spans="2:2" s="1623" customFormat="1" x14ac:dyDescent="0.2">
      <c r="B148" s="1631"/>
    </row>
    <row r="149" spans="2:2" s="1623" customFormat="1" x14ac:dyDescent="0.2">
      <c r="B149" s="1631"/>
    </row>
    <row r="150" spans="2:2" s="1623" customFormat="1" x14ac:dyDescent="0.2">
      <c r="B150" s="1631"/>
    </row>
    <row r="151" spans="2:2" s="1623" customFormat="1" x14ac:dyDescent="0.2">
      <c r="B151" s="1631"/>
    </row>
    <row r="152" spans="2:2" s="1623" customFormat="1" x14ac:dyDescent="0.2">
      <c r="B152" s="1631"/>
    </row>
    <row r="153" spans="2:2" s="1623" customFormat="1" x14ac:dyDescent="0.2">
      <c r="B153" s="1631"/>
    </row>
    <row r="154" spans="2:2" s="1623" customFormat="1" x14ac:dyDescent="0.2">
      <c r="B154" s="1631"/>
    </row>
    <row r="155" spans="2:2" s="1623" customFormat="1" x14ac:dyDescent="0.2">
      <c r="B155" s="1631"/>
    </row>
    <row r="156" spans="2:2" s="1623" customFormat="1" x14ac:dyDescent="0.2">
      <c r="B156" s="1631"/>
    </row>
    <row r="157" spans="2:2" s="1623" customFormat="1" x14ac:dyDescent="0.2">
      <c r="B157" s="1631"/>
    </row>
    <row r="158" spans="2:2" s="1623" customFormat="1" x14ac:dyDescent="0.2">
      <c r="B158" s="1631"/>
    </row>
    <row r="159" spans="2:2" s="1623" customFormat="1" x14ac:dyDescent="0.2">
      <c r="B159" s="1631"/>
    </row>
    <row r="160" spans="2:2" s="1623" customFormat="1" x14ac:dyDescent="0.2">
      <c r="B160" s="1631"/>
    </row>
    <row r="161" spans="2:2" s="1623" customFormat="1" x14ac:dyDescent="0.2">
      <c r="B161" s="1631"/>
    </row>
    <row r="162" spans="2:2" s="1623" customFormat="1" x14ac:dyDescent="0.2">
      <c r="B162" s="1631"/>
    </row>
    <row r="163" spans="2:2" s="1623" customFormat="1" x14ac:dyDescent="0.2">
      <c r="B163" s="1631"/>
    </row>
    <row r="164" spans="2:2" s="1623" customFormat="1" x14ac:dyDescent="0.2">
      <c r="B164" s="1631"/>
    </row>
    <row r="165" spans="2:2" s="1623" customFormat="1" x14ac:dyDescent="0.2">
      <c r="B165" s="1631"/>
    </row>
    <row r="166" spans="2:2" s="1623" customFormat="1" x14ac:dyDescent="0.2">
      <c r="B166" s="1631"/>
    </row>
    <row r="167" spans="2:2" s="1623" customFormat="1" x14ac:dyDescent="0.2">
      <c r="B167" s="1631"/>
    </row>
    <row r="168" spans="2:2" s="1623" customFormat="1" x14ac:dyDescent="0.2">
      <c r="B168" s="1631"/>
    </row>
    <row r="169" spans="2:2" s="1623" customFormat="1" x14ac:dyDescent="0.2">
      <c r="B169" s="1631"/>
    </row>
    <row r="170" spans="2:2" s="1623" customFormat="1" x14ac:dyDescent="0.2">
      <c r="B170" s="1631"/>
    </row>
    <row r="171" spans="2:2" s="1623" customFormat="1" x14ac:dyDescent="0.2">
      <c r="B171" s="1631"/>
    </row>
    <row r="172" spans="2:2" s="1623" customFormat="1" x14ac:dyDescent="0.2">
      <c r="B172" s="1631"/>
    </row>
    <row r="173" spans="2:2" s="1623" customFormat="1" x14ac:dyDescent="0.2">
      <c r="B173" s="1631"/>
    </row>
    <row r="174" spans="2:2" s="1623" customFormat="1" x14ac:dyDescent="0.2">
      <c r="B174" s="1631"/>
    </row>
    <row r="175" spans="2:2" s="1623" customFormat="1" x14ac:dyDescent="0.2">
      <c r="B175" s="1631"/>
    </row>
    <row r="176" spans="2:2" s="1623" customFormat="1" x14ac:dyDescent="0.2">
      <c r="B176" s="1631"/>
    </row>
    <row r="177" spans="2:2" s="1623" customFormat="1" x14ac:dyDescent="0.2">
      <c r="B177" s="1631"/>
    </row>
    <row r="178" spans="2:2" s="1623" customFormat="1" x14ac:dyDescent="0.2">
      <c r="B178" s="1631"/>
    </row>
    <row r="179" spans="2:2" s="1623" customFormat="1" x14ac:dyDescent="0.2">
      <c r="B179" s="1631"/>
    </row>
    <row r="180" spans="2:2" s="1623" customFormat="1" x14ac:dyDescent="0.2">
      <c r="B180" s="1631"/>
    </row>
    <row r="181" spans="2:2" s="1623" customFormat="1" x14ac:dyDescent="0.2">
      <c r="B181" s="1631"/>
    </row>
    <row r="182" spans="2:2" s="1623" customFormat="1" x14ac:dyDescent="0.2">
      <c r="B182" s="1631"/>
    </row>
    <row r="183" spans="2:2" s="1623" customFormat="1" x14ac:dyDescent="0.2">
      <c r="B183" s="1631"/>
    </row>
    <row r="184" spans="2:2" s="1623" customFormat="1" x14ac:dyDescent="0.2">
      <c r="B184" s="1631"/>
    </row>
    <row r="185" spans="2:2" s="1623" customFormat="1" x14ac:dyDescent="0.2">
      <c r="B185" s="1631"/>
    </row>
    <row r="186" spans="2:2" s="1623" customFormat="1" x14ac:dyDescent="0.2">
      <c r="B186" s="1631"/>
    </row>
    <row r="187" spans="2:2" s="1623" customFormat="1" x14ac:dyDescent="0.2">
      <c r="B187" s="1631"/>
    </row>
    <row r="188" spans="2:2" s="1623" customFormat="1" x14ac:dyDescent="0.2">
      <c r="B188" s="1631"/>
    </row>
    <row r="189" spans="2:2" s="1623" customFormat="1" x14ac:dyDescent="0.2">
      <c r="B189" s="1631"/>
    </row>
    <row r="190" spans="2:2" s="1623" customFormat="1" x14ac:dyDescent="0.2">
      <c r="B190" s="1631"/>
    </row>
    <row r="191" spans="2:2" s="1623" customFormat="1" x14ac:dyDescent="0.2">
      <c r="B191" s="1631"/>
    </row>
    <row r="192" spans="2:2" s="1623" customFormat="1" x14ac:dyDescent="0.2">
      <c r="B192" s="1631"/>
    </row>
    <row r="193" spans="2:2" s="1623" customFormat="1" x14ac:dyDescent="0.2">
      <c r="B193" s="1631"/>
    </row>
    <row r="194" spans="2:2" s="1623" customFormat="1" x14ac:dyDescent="0.2">
      <c r="B194" s="1631"/>
    </row>
    <row r="195" spans="2:2" s="1623" customFormat="1" x14ac:dyDescent="0.2">
      <c r="B195" s="1631"/>
    </row>
    <row r="196" spans="2:2" s="1623" customFormat="1" x14ac:dyDescent="0.2">
      <c r="B196" s="1631"/>
    </row>
    <row r="197" spans="2:2" s="1623" customFormat="1" x14ac:dyDescent="0.2">
      <c r="B197" s="1631"/>
    </row>
    <row r="198" spans="2:2" s="1623" customFormat="1" x14ac:dyDescent="0.2">
      <c r="B198" s="1631"/>
    </row>
    <row r="199" spans="2:2" s="1623" customFormat="1" x14ac:dyDescent="0.2">
      <c r="B199" s="1631"/>
    </row>
    <row r="200" spans="2:2" s="1623" customFormat="1" x14ac:dyDescent="0.2">
      <c r="B200" s="1631"/>
    </row>
    <row r="201" spans="2:2" s="1623" customFormat="1" x14ac:dyDescent="0.2">
      <c r="B201" s="1631"/>
    </row>
    <row r="202" spans="2:2" s="1623" customFormat="1" x14ac:dyDescent="0.2">
      <c r="B202" s="1631"/>
    </row>
    <row r="203" spans="2:2" s="1623" customFormat="1" x14ac:dyDescent="0.2">
      <c r="B203" s="1631"/>
    </row>
    <row r="204" spans="2:2" s="1623" customFormat="1" x14ac:dyDescent="0.2">
      <c r="B204" s="1631"/>
    </row>
    <row r="205" spans="2:2" s="1623" customFormat="1" x14ac:dyDescent="0.2">
      <c r="B205" s="1631"/>
    </row>
    <row r="206" spans="2:2" s="1623" customFormat="1" x14ac:dyDescent="0.2">
      <c r="B206" s="1631"/>
    </row>
    <row r="207" spans="2:2" s="1623" customFormat="1" x14ac:dyDescent="0.2">
      <c r="B207" s="1631"/>
    </row>
    <row r="208" spans="2:2" s="1623" customFormat="1" x14ac:dyDescent="0.2">
      <c r="B208" s="1631"/>
    </row>
    <row r="209" spans="2:2" s="1623" customFormat="1" x14ac:dyDescent="0.2">
      <c r="B209" s="1631"/>
    </row>
    <row r="210" spans="2:2" s="1623" customFormat="1" x14ac:dyDescent="0.2">
      <c r="B210" s="1631"/>
    </row>
    <row r="211" spans="2:2" s="1623" customFormat="1" x14ac:dyDescent="0.2">
      <c r="B211" s="1631"/>
    </row>
    <row r="212" spans="2:2" s="1623" customFormat="1" x14ac:dyDescent="0.2">
      <c r="B212" s="1631"/>
    </row>
    <row r="213" spans="2:2" s="1623" customFormat="1" x14ac:dyDescent="0.2">
      <c r="B213" s="1631"/>
    </row>
    <row r="214" spans="2:2" s="1623" customFormat="1" x14ac:dyDescent="0.2">
      <c r="B214" s="1631"/>
    </row>
    <row r="215" spans="2:2" s="1623" customFormat="1" x14ac:dyDescent="0.2">
      <c r="B215" s="1631"/>
    </row>
    <row r="216" spans="2:2" s="1623" customFormat="1" x14ac:dyDescent="0.2">
      <c r="B216" s="1631"/>
    </row>
    <row r="217" spans="2:2" s="1623" customFormat="1" x14ac:dyDescent="0.2">
      <c r="B217" s="1631"/>
    </row>
    <row r="218" spans="2:2" s="1623" customFormat="1" x14ac:dyDescent="0.2">
      <c r="B218" s="1631"/>
    </row>
    <row r="219" spans="2:2" s="1623" customFormat="1" x14ac:dyDescent="0.2">
      <c r="B219" s="1631"/>
    </row>
    <row r="220" spans="2:2" s="1623" customFormat="1" x14ac:dyDescent="0.2">
      <c r="B220" s="1631"/>
    </row>
    <row r="221" spans="2:2" s="1623" customFormat="1" x14ac:dyDescent="0.2">
      <c r="B221" s="1631"/>
    </row>
    <row r="222" spans="2:2" s="1623" customFormat="1" x14ac:dyDescent="0.2">
      <c r="B222" s="1631"/>
    </row>
    <row r="223" spans="2:2" s="1623" customFormat="1" x14ac:dyDescent="0.2">
      <c r="B223" s="1631"/>
    </row>
    <row r="224" spans="2:2" s="1623" customFormat="1" x14ac:dyDescent="0.2">
      <c r="B224" s="1631"/>
    </row>
    <row r="225" spans="2:2" s="1623" customFormat="1" x14ac:dyDescent="0.2">
      <c r="B225" s="1631"/>
    </row>
    <row r="226" spans="2:2" s="1623" customFormat="1" x14ac:dyDescent="0.2">
      <c r="B226" s="1631"/>
    </row>
    <row r="227" spans="2:2" s="1623" customFormat="1" x14ac:dyDescent="0.2">
      <c r="B227" s="1631"/>
    </row>
    <row r="228" spans="2:2" s="1623" customFormat="1" x14ac:dyDescent="0.2">
      <c r="B228" s="1631"/>
    </row>
    <row r="229" spans="2:2" s="1623" customFormat="1" x14ac:dyDescent="0.2">
      <c r="B229" s="1631"/>
    </row>
    <row r="230" spans="2:2" s="1623" customFormat="1" x14ac:dyDescent="0.2">
      <c r="B230" s="1631"/>
    </row>
    <row r="231" spans="2:2" s="1623" customFormat="1" x14ac:dyDescent="0.2">
      <c r="B231" s="1631"/>
    </row>
    <row r="232" spans="2:2" s="1623" customFormat="1" x14ac:dyDescent="0.2">
      <c r="B232" s="1631"/>
    </row>
    <row r="233" spans="2:2" s="1623" customFormat="1" x14ac:dyDescent="0.2">
      <c r="B233" s="1631"/>
    </row>
    <row r="234" spans="2:2" s="1623" customFormat="1" x14ac:dyDescent="0.2">
      <c r="B234" s="1631"/>
    </row>
    <row r="235" spans="2:2" s="1623" customFormat="1" x14ac:dyDescent="0.2">
      <c r="B235" s="1631"/>
    </row>
    <row r="236" spans="2:2" s="1623" customFormat="1" x14ac:dyDescent="0.2">
      <c r="B236" s="1631"/>
    </row>
    <row r="237" spans="2:2" s="1623" customFormat="1" x14ac:dyDescent="0.2">
      <c r="B237" s="1631"/>
    </row>
    <row r="238" spans="2:2" s="1623" customFormat="1" x14ac:dyDescent="0.2">
      <c r="B238" s="1631"/>
    </row>
    <row r="239" spans="2:2" s="1623" customFormat="1" x14ac:dyDescent="0.2">
      <c r="B239" s="1631"/>
    </row>
    <row r="240" spans="2:2" s="1623" customFormat="1" x14ac:dyDescent="0.2">
      <c r="B240" s="1631"/>
    </row>
    <row r="241" spans="2:2" s="1623" customFormat="1" x14ac:dyDescent="0.2">
      <c r="B241" s="1631"/>
    </row>
    <row r="242" spans="2:2" s="1623" customFormat="1" x14ac:dyDescent="0.2">
      <c r="B242" s="1631"/>
    </row>
    <row r="243" spans="2:2" s="1623" customFormat="1" x14ac:dyDescent="0.2">
      <c r="B243" s="1631"/>
    </row>
    <row r="244" spans="2:2" s="1623" customFormat="1" x14ac:dyDescent="0.2">
      <c r="B244" s="1631"/>
    </row>
    <row r="245" spans="2:2" s="1623" customFormat="1" x14ac:dyDescent="0.2">
      <c r="B245" s="1631"/>
    </row>
    <row r="246" spans="2:2" s="1623" customFormat="1" x14ac:dyDescent="0.2">
      <c r="B246" s="1631"/>
    </row>
    <row r="247" spans="2:2" s="1623" customFormat="1" x14ac:dyDescent="0.2">
      <c r="B247" s="1631"/>
    </row>
    <row r="248" spans="2:2" s="1623" customFormat="1" x14ac:dyDescent="0.2">
      <c r="B248" s="1631"/>
    </row>
    <row r="249" spans="2:2" s="1623" customFormat="1" x14ac:dyDescent="0.2">
      <c r="B249" s="1631"/>
    </row>
    <row r="250" spans="2:2" s="1623" customFormat="1" x14ac:dyDescent="0.2">
      <c r="B250" s="1631"/>
    </row>
    <row r="251" spans="2:2" s="1623" customFormat="1" x14ac:dyDescent="0.2">
      <c r="B251" s="1631"/>
    </row>
    <row r="252" spans="2:2" s="1623" customFormat="1" x14ac:dyDescent="0.2">
      <c r="B252" s="1631"/>
    </row>
    <row r="253" spans="2:2" s="1623" customFormat="1" x14ac:dyDescent="0.2">
      <c r="B253" s="1631"/>
    </row>
    <row r="254" spans="2:2" s="1623" customFormat="1" x14ac:dyDescent="0.2">
      <c r="B254" s="1631"/>
    </row>
    <row r="255" spans="2:2" s="1623" customFormat="1" x14ac:dyDescent="0.2">
      <c r="B255" s="1631"/>
    </row>
    <row r="256" spans="2:2" s="1623" customFormat="1" x14ac:dyDescent="0.2">
      <c r="B256" s="1631"/>
    </row>
    <row r="257" spans="2:2" s="1623" customFormat="1" x14ac:dyDescent="0.2">
      <c r="B257" s="1631"/>
    </row>
    <row r="258" spans="2:2" s="1623" customFormat="1" x14ac:dyDescent="0.2">
      <c r="B258" s="1631"/>
    </row>
    <row r="259" spans="2:2" s="1623" customFormat="1" x14ac:dyDescent="0.2">
      <c r="B259" s="1631"/>
    </row>
    <row r="260" spans="2:2" s="1623" customFormat="1" x14ac:dyDescent="0.2">
      <c r="B260" s="1631"/>
    </row>
    <row r="261" spans="2:2" s="1623" customFormat="1" x14ac:dyDescent="0.2">
      <c r="B261" s="1631"/>
    </row>
    <row r="262" spans="2:2" s="1623" customFormat="1" x14ac:dyDescent="0.2">
      <c r="B262" s="1631"/>
    </row>
    <row r="263" spans="2:2" s="1623" customFormat="1" x14ac:dyDescent="0.2">
      <c r="B263" s="1631"/>
    </row>
    <row r="264" spans="2:2" s="1623" customFormat="1" x14ac:dyDescent="0.2">
      <c r="B264" s="1631"/>
    </row>
    <row r="265" spans="2:2" s="1623" customFormat="1" x14ac:dyDescent="0.2">
      <c r="B265" s="1631"/>
    </row>
    <row r="266" spans="2:2" s="1623" customFormat="1" x14ac:dyDescent="0.2">
      <c r="B266" s="1631"/>
    </row>
    <row r="267" spans="2:2" s="1623" customFormat="1" x14ac:dyDescent="0.2">
      <c r="B267" s="1631"/>
    </row>
    <row r="268" spans="2:2" s="1623" customFormat="1" x14ac:dyDescent="0.2">
      <c r="B268" s="1631"/>
    </row>
    <row r="269" spans="2:2" s="1623" customFormat="1" x14ac:dyDescent="0.2">
      <c r="B269" s="1631"/>
    </row>
    <row r="270" spans="2:2" s="1623" customFormat="1" x14ac:dyDescent="0.2">
      <c r="B270" s="1631"/>
    </row>
    <row r="271" spans="2:2" s="1623" customFormat="1" x14ac:dyDescent="0.2">
      <c r="B271" s="1631"/>
    </row>
    <row r="272" spans="2:2" s="1623" customFormat="1" x14ac:dyDescent="0.2">
      <c r="B272" s="1631"/>
    </row>
    <row r="273" spans="2:2" s="1623" customFormat="1" x14ac:dyDescent="0.2">
      <c r="B273" s="1631"/>
    </row>
    <row r="274" spans="2:2" s="1623" customFormat="1" x14ac:dyDescent="0.2">
      <c r="B274" s="1631"/>
    </row>
    <row r="275" spans="2:2" s="1623" customFormat="1" x14ac:dyDescent="0.2">
      <c r="B275" s="1631"/>
    </row>
    <row r="276" spans="2:2" s="1623" customFormat="1" x14ac:dyDescent="0.2">
      <c r="B276" s="1631"/>
    </row>
    <row r="277" spans="2:2" s="1623" customFormat="1" x14ac:dyDescent="0.2">
      <c r="B277" s="1631"/>
    </row>
    <row r="278" spans="2:2" s="1623" customFormat="1" x14ac:dyDescent="0.2">
      <c r="B278" s="1631"/>
    </row>
    <row r="279" spans="2:2" s="1623" customFormat="1" x14ac:dyDescent="0.2">
      <c r="B279" s="1631"/>
    </row>
    <row r="280" spans="2:2" s="1623" customFormat="1" x14ac:dyDescent="0.2">
      <c r="B280" s="1631"/>
    </row>
    <row r="281" spans="2:2" s="1623" customFormat="1" x14ac:dyDescent="0.2">
      <c r="B281" s="1631"/>
    </row>
    <row r="282" spans="2:2" s="1623" customFormat="1" x14ac:dyDescent="0.2">
      <c r="B282" s="1631"/>
    </row>
    <row r="283" spans="2:2" s="1623" customFormat="1" x14ac:dyDescent="0.2">
      <c r="B283" s="1631"/>
    </row>
    <row r="284" spans="2:2" s="1623" customFormat="1" x14ac:dyDescent="0.2">
      <c r="B284" s="1631"/>
    </row>
    <row r="285" spans="2:2" s="1623" customFormat="1" x14ac:dyDescent="0.2">
      <c r="B285" s="1631"/>
    </row>
    <row r="286" spans="2:2" s="1623" customFormat="1" x14ac:dyDescent="0.2">
      <c r="B286" s="1631"/>
    </row>
    <row r="287" spans="2:2" s="1623" customFormat="1" x14ac:dyDescent="0.2">
      <c r="B287" s="1631"/>
    </row>
    <row r="288" spans="2:2" s="1623" customFormat="1" x14ac:dyDescent="0.2">
      <c r="B288" s="1631"/>
    </row>
    <row r="289" spans="2:2" s="1623" customFormat="1" x14ac:dyDescent="0.2">
      <c r="B289" s="1631"/>
    </row>
    <row r="290" spans="2:2" s="1623" customFormat="1" x14ac:dyDescent="0.2">
      <c r="B290" s="1631"/>
    </row>
    <row r="291" spans="2:2" s="1623" customFormat="1" x14ac:dyDescent="0.2">
      <c r="B291" s="1631"/>
    </row>
    <row r="292" spans="2:2" s="1623" customFormat="1" x14ac:dyDescent="0.2">
      <c r="B292" s="1631"/>
    </row>
    <row r="293" spans="2:2" s="1623" customFormat="1" x14ac:dyDescent="0.2">
      <c r="B293" s="1631"/>
    </row>
    <row r="294" spans="2:2" s="1623" customFormat="1" x14ac:dyDescent="0.2">
      <c r="B294" s="1631"/>
    </row>
    <row r="295" spans="2:2" s="1623" customFormat="1" x14ac:dyDescent="0.2">
      <c r="B295" s="1631"/>
    </row>
    <row r="296" spans="2:2" s="1623" customFormat="1" x14ac:dyDescent="0.2">
      <c r="B296" s="1631"/>
    </row>
    <row r="297" spans="2:2" s="1623" customFormat="1" x14ac:dyDescent="0.2">
      <c r="B297" s="1631"/>
    </row>
    <row r="298" spans="2:2" s="1623" customFormat="1" x14ac:dyDescent="0.2">
      <c r="B298" s="1631"/>
    </row>
    <row r="299" spans="2:2" s="1623" customFormat="1" x14ac:dyDescent="0.2">
      <c r="B299" s="1631"/>
    </row>
    <row r="300" spans="2:2" s="1623" customFormat="1" x14ac:dyDescent="0.2">
      <c r="B300" s="1631"/>
    </row>
    <row r="301" spans="2:2" s="1623" customFormat="1" x14ac:dyDescent="0.2">
      <c r="B301" s="1631"/>
    </row>
    <row r="302" spans="2:2" s="1623" customFormat="1" x14ac:dyDescent="0.2">
      <c r="B302" s="1631"/>
    </row>
    <row r="303" spans="2:2" s="1623" customFormat="1" x14ac:dyDescent="0.2">
      <c r="B303" s="1631"/>
    </row>
    <row r="304" spans="2:2" s="1623" customFormat="1" x14ac:dyDescent="0.2">
      <c r="B304" s="1631"/>
    </row>
    <row r="305" spans="2:2" s="1623" customFormat="1" x14ac:dyDescent="0.2">
      <c r="B305" s="1631"/>
    </row>
    <row r="306" spans="2:2" s="1623" customFormat="1" x14ac:dyDescent="0.2">
      <c r="B306" s="1631"/>
    </row>
    <row r="307" spans="2:2" s="1623" customFormat="1" x14ac:dyDescent="0.2">
      <c r="B307" s="1631"/>
    </row>
    <row r="308" spans="2:2" s="1623" customFormat="1" x14ac:dyDescent="0.2">
      <c r="B308" s="1631"/>
    </row>
    <row r="309" spans="2:2" s="1623" customFormat="1" x14ac:dyDescent="0.2">
      <c r="B309" s="1631"/>
    </row>
    <row r="310" spans="2:2" s="1623" customFormat="1" x14ac:dyDescent="0.2">
      <c r="B310" s="1631"/>
    </row>
    <row r="311" spans="2:2" s="1623" customFormat="1" x14ac:dyDescent="0.2">
      <c r="B311" s="1631"/>
    </row>
    <row r="312" spans="2:2" s="1623" customFormat="1" x14ac:dyDescent="0.2">
      <c r="B312" s="1631"/>
    </row>
    <row r="313" spans="2:2" s="1623" customFormat="1" x14ac:dyDescent="0.2">
      <c r="B313" s="1631"/>
    </row>
    <row r="314" spans="2:2" s="1623" customFormat="1" x14ac:dyDescent="0.2">
      <c r="B314" s="1631"/>
    </row>
    <row r="315" spans="2:2" s="1623" customFormat="1" x14ac:dyDescent="0.2">
      <c r="B315" s="1631"/>
    </row>
    <row r="316" spans="2:2" s="1623" customFormat="1" x14ac:dyDescent="0.2">
      <c r="B316" s="1631"/>
    </row>
    <row r="317" spans="2:2" s="1623" customFormat="1" x14ac:dyDescent="0.2">
      <c r="B317" s="1631"/>
    </row>
    <row r="318" spans="2:2" s="1623" customFormat="1" x14ac:dyDescent="0.2">
      <c r="B318" s="1631"/>
    </row>
    <row r="319" spans="2:2" s="1623" customFormat="1" x14ac:dyDescent="0.2">
      <c r="B319" s="1631"/>
    </row>
    <row r="320" spans="2:2" s="1623" customFormat="1" x14ac:dyDescent="0.2">
      <c r="B320" s="1631"/>
    </row>
    <row r="321" spans="2:2" s="1623" customFormat="1" x14ac:dyDescent="0.2">
      <c r="B321" s="1631"/>
    </row>
    <row r="322" spans="2:2" s="1623" customFormat="1" x14ac:dyDescent="0.2">
      <c r="B322" s="1631"/>
    </row>
    <row r="323" spans="2:2" s="1623" customFormat="1" x14ac:dyDescent="0.2">
      <c r="B323" s="1631"/>
    </row>
    <row r="324" spans="2:2" s="1623" customFormat="1" x14ac:dyDescent="0.2">
      <c r="B324" s="1631"/>
    </row>
    <row r="325" spans="2:2" s="1623" customFormat="1" x14ac:dyDescent="0.2">
      <c r="B325" s="1631"/>
    </row>
    <row r="326" spans="2:2" s="1623" customFormat="1" x14ac:dyDescent="0.2">
      <c r="B326" s="1631"/>
    </row>
    <row r="327" spans="2:2" s="1623" customFormat="1" x14ac:dyDescent="0.2">
      <c r="B327" s="1631"/>
    </row>
    <row r="328" spans="2:2" s="1623" customFormat="1" x14ac:dyDescent="0.2">
      <c r="B328" s="1631"/>
    </row>
    <row r="329" spans="2:2" s="1623" customFormat="1" x14ac:dyDescent="0.2">
      <c r="B329" s="1631"/>
    </row>
    <row r="330" spans="2:2" s="1623" customFormat="1" x14ac:dyDescent="0.2">
      <c r="B330" s="1631"/>
    </row>
    <row r="331" spans="2:2" s="1623" customFormat="1" x14ac:dyDescent="0.2">
      <c r="B331" s="1631"/>
    </row>
    <row r="332" spans="2:2" s="1623" customFormat="1" x14ac:dyDescent="0.2">
      <c r="B332" s="1631"/>
    </row>
    <row r="333" spans="2:2" s="1623" customFormat="1" x14ac:dyDescent="0.2">
      <c r="B333" s="1631"/>
    </row>
    <row r="334" spans="2:2" s="1623" customFormat="1" x14ac:dyDescent="0.2">
      <c r="B334" s="1631"/>
    </row>
    <row r="335" spans="2:2" s="1623" customFormat="1" x14ac:dyDescent="0.2">
      <c r="B335" s="1631"/>
    </row>
    <row r="336" spans="2:2" s="1623" customFormat="1" x14ac:dyDescent="0.2">
      <c r="B336" s="1631"/>
    </row>
    <row r="337" spans="2:2" s="1623" customFormat="1" x14ac:dyDescent="0.2">
      <c r="B337" s="1631"/>
    </row>
    <row r="338" spans="2:2" s="1623" customFormat="1" x14ac:dyDescent="0.2">
      <c r="B338" s="1631"/>
    </row>
    <row r="339" spans="2:2" s="1623" customFormat="1" x14ac:dyDescent="0.2">
      <c r="B339" s="1631"/>
    </row>
    <row r="340" spans="2:2" s="1623" customFormat="1" x14ac:dyDescent="0.2">
      <c r="B340" s="1631"/>
    </row>
    <row r="341" spans="2:2" s="1623" customFormat="1" x14ac:dyDescent="0.2">
      <c r="B341" s="1631"/>
    </row>
    <row r="342" spans="2:2" s="1623" customFormat="1" x14ac:dyDescent="0.2">
      <c r="B342" s="1631"/>
    </row>
    <row r="343" spans="2:2" s="1623" customFormat="1" x14ac:dyDescent="0.2">
      <c r="B343" s="1631"/>
    </row>
    <row r="344" spans="2:2" s="1623" customFormat="1" x14ac:dyDescent="0.2">
      <c r="B344" s="1631"/>
    </row>
    <row r="345" spans="2:2" s="1623" customFormat="1" x14ac:dyDescent="0.2">
      <c r="B345" s="1631"/>
    </row>
    <row r="346" spans="2:2" s="1623" customFormat="1" x14ac:dyDescent="0.2">
      <c r="B346" s="1631"/>
    </row>
    <row r="347" spans="2:2" s="1623" customFormat="1" x14ac:dyDescent="0.2">
      <c r="B347" s="1631"/>
    </row>
    <row r="348" spans="2:2" s="1623" customFormat="1" x14ac:dyDescent="0.2">
      <c r="B348" s="1631"/>
    </row>
    <row r="349" spans="2:2" s="1623" customFormat="1" x14ac:dyDescent="0.2">
      <c r="B349" s="1631"/>
    </row>
    <row r="350" spans="2:2" s="1623" customFormat="1" x14ac:dyDescent="0.2">
      <c r="B350" s="1631"/>
    </row>
    <row r="351" spans="2:2" s="1623" customFormat="1" x14ac:dyDescent="0.2">
      <c r="B351" s="1631"/>
    </row>
    <row r="352" spans="2:2" s="1623" customFormat="1" x14ac:dyDescent="0.2">
      <c r="B352" s="1631"/>
    </row>
    <row r="353" spans="2:2" s="1623" customFormat="1" x14ac:dyDescent="0.2">
      <c r="B353" s="1631"/>
    </row>
    <row r="354" spans="2:2" s="1623" customFormat="1" x14ac:dyDescent="0.2">
      <c r="B354" s="1631"/>
    </row>
    <row r="355" spans="2:2" s="1623" customFormat="1" x14ac:dyDescent="0.2">
      <c r="B355" s="1631"/>
    </row>
    <row r="356" spans="2:2" s="1623" customFormat="1" x14ac:dyDescent="0.2">
      <c r="B356" s="1631"/>
    </row>
    <row r="357" spans="2:2" s="1623" customFormat="1" x14ac:dyDescent="0.2">
      <c r="B357" s="1631"/>
    </row>
    <row r="358" spans="2:2" s="1623" customFormat="1" x14ac:dyDescent="0.2">
      <c r="B358" s="1631"/>
    </row>
    <row r="359" spans="2:2" s="1623" customFormat="1" x14ac:dyDescent="0.2">
      <c r="B359" s="1631"/>
    </row>
    <row r="360" spans="2:2" s="1623" customFormat="1" x14ac:dyDescent="0.2">
      <c r="B360" s="1631"/>
    </row>
    <row r="361" spans="2:2" s="1623" customFormat="1" x14ac:dyDescent="0.2">
      <c r="B361" s="1631"/>
    </row>
    <row r="362" spans="2:2" s="1623" customFormat="1" x14ac:dyDescent="0.2">
      <c r="B362" s="1631"/>
    </row>
    <row r="363" spans="2:2" s="1623" customFormat="1" x14ac:dyDescent="0.2">
      <c r="B363" s="1631"/>
    </row>
    <row r="364" spans="2:2" s="1623" customFormat="1" x14ac:dyDescent="0.2">
      <c r="B364" s="1631"/>
    </row>
    <row r="365" spans="2:2" s="1623" customFormat="1" x14ac:dyDescent="0.2">
      <c r="B365" s="1631"/>
    </row>
    <row r="366" spans="2:2" s="1623" customFormat="1" x14ac:dyDescent="0.2">
      <c r="B366" s="1631"/>
    </row>
    <row r="367" spans="2:2" s="1623" customFormat="1" x14ac:dyDescent="0.2">
      <c r="B367" s="1631"/>
    </row>
    <row r="368" spans="2:2" s="1623" customFormat="1" x14ac:dyDescent="0.2">
      <c r="B368" s="1631"/>
    </row>
    <row r="369" spans="2:2" s="1623" customFormat="1" x14ac:dyDescent="0.2">
      <c r="B369" s="1631"/>
    </row>
    <row r="370" spans="2:2" s="1623" customFormat="1" x14ac:dyDescent="0.2">
      <c r="B370" s="1631"/>
    </row>
    <row r="371" spans="2:2" s="1623" customFormat="1" x14ac:dyDescent="0.2">
      <c r="B371" s="1631"/>
    </row>
    <row r="372" spans="2:2" s="1623" customFormat="1" x14ac:dyDescent="0.2">
      <c r="B372" s="1631"/>
    </row>
    <row r="373" spans="2:2" s="1623" customFormat="1" x14ac:dyDescent="0.2">
      <c r="B373" s="1631"/>
    </row>
    <row r="374" spans="2:2" s="1623" customFormat="1" x14ac:dyDescent="0.2">
      <c r="B374" s="1631"/>
    </row>
    <row r="375" spans="2:2" s="1623" customFormat="1" x14ac:dyDescent="0.2">
      <c r="B375" s="1631"/>
    </row>
    <row r="376" spans="2:2" s="1623" customFormat="1" x14ac:dyDescent="0.2">
      <c r="B376" s="1631"/>
    </row>
    <row r="377" spans="2:2" s="1623" customFormat="1" x14ac:dyDescent="0.2">
      <c r="B377" s="1631"/>
    </row>
    <row r="378" spans="2:2" s="1623" customFormat="1" x14ac:dyDescent="0.2">
      <c r="B378" s="1631"/>
    </row>
    <row r="379" spans="2:2" s="1623" customFormat="1" x14ac:dyDescent="0.2">
      <c r="B379" s="1631"/>
    </row>
    <row r="380" spans="2:2" s="1623" customFormat="1" x14ac:dyDescent="0.2">
      <c r="B380" s="1631"/>
    </row>
    <row r="381" spans="2:2" s="1623" customFormat="1" x14ac:dyDescent="0.2">
      <c r="B381" s="1631"/>
    </row>
    <row r="382" spans="2:2" s="1623" customFormat="1" x14ac:dyDescent="0.2">
      <c r="B382" s="1631"/>
    </row>
    <row r="383" spans="2:2" s="1623" customFormat="1" x14ac:dyDescent="0.2">
      <c r="B383" s="1631"/>
    </row>
    <row r="384" spans="2:2" s="1623" customFormat="1" x14ac:dyDescent="0.2">
      <c r="B384" s="1631"/>
    </row>
    <row r="385" spans="2:2" s="1623" customFormat="1" x14ac:dyDescent="0.2">
      <c r="B385" s="1631"/>
    </row>
    <row r="386" spans="2:2" s="1623" customFormat="1" x14ac:dyDescent="0.2">
      <c r="B386" s="1631"/>
    </row>
    <row r="387" spans="2:2" s="1623" customFormat="1" x14ac:dyDescent="0.2">
      <c r="B387" s="1631"/>
    </row>
    <row r="388" spans="2:2" s="1623" customFormat="1" x14ac:dyDescent="0.2">
      <c r="B388" s="1631"/>
    </row>
    <row r="389" spans="2:2" s="1623" customFormat="1" x14ac:dyDescent="0.2">
      <c r="B389" s="1631"/>
    </row>
    <row r="390" spans="2:2" s="1623" customFormat="1" x14ac:dyDescent="0.2">
      <c r="B390" s="1631"/>
    </row>
    <row r="391" spans="2:2" s="1623" customFormat="1" x14ac:dyDescent="0.2">
      <c r="B391" s="1631"/>
    </row>
    <row r="392" spans="2:2" s="1623" customFormat="1" x14ac:dyDescent="0.2">
      <c r="B392" s="1631"/>
    </row>
    <row r="393" spans="2:2" s="1623" customFormat="1" x14ac:dyDescent="0.2">
      <c r="B393" s="1631"/>
    </row>
    <row r="394" spans="2:2" s="1623" customFormat="1" x14ac:dyDescent="0.2">
      <c r="B394" s="1631"/>
    </row>
    <row r="395" spans="2:2" s="1623" customFormat="1" x14ac:dyDescent="0.2">
      <c r="B395" s="1631"/>
    </row>
    <row r="396" spans="2:2" s="1623" customFormat="1" x14ac:dyDescent="0.2">
      <c r="B396" s="1631"/>
    </row>
    <row r="397" spans="2:2" s="1623" customFormat="1" x14ac:dyDescent="0.2">
      <c r="B397" s="1631"/>
    </row>
    <row r="398" spans="2:2" s="1623" customFormat="1" x14ac:dyDescent="0.2">
      <c r="B398" s="1631"/>
    </row>
    <row r="399" spans="2:2" s="1623" customFormat="1" x14ac:dyDescent="0.2">
      <c r="B399" s="1631"/>
    </row>
    <row r="400" spans="2:2" s="1623" customFormat="1" x14ac:dyDescent="0.2">
      <c r="B400" s="1631"/>
    </row>
    <row r="401" spans="2:2" s="1623" customFormat="1" x14ac:dyDescent="0.2">
      <c r="B401" s="1631"/>
    </row>
    <row r="402" spans="2:2" s="1623" customFormat="1" x14ac:dyDescent="0.2">
      <c r="B402" s="1631"/>
    </row>
    <row r="403" spans="2:2" s="1623" customFormat="1" x14ac:dyDescent="0.2">
      <c r="B403" s="1631"/>
    </row>
    <row r="404" spans="2:2" s="1623" customFormat="1" x14ac:dyDescent="0.2">
      <c r="B404" s="1631"/>
    </row>
    <row r="405" spans="2:2" s="1623" customFormat="1" x14ac:dyDescent="0.2">
      <c r="B405" s="1631"/>
    </row>
    <row r="406" spans="2:2" s="1623" customFormat="1" x14ac:dyDescent="0.2">
      <c r="B406" s="1631"/>
    </row>
    <row r="407" spans="2:2" s="1623" customFormat="1" x14ac:dyDescent="0.2">
      <c r="B407" s="1631"/>
    </row>
    <row r="408" spans="2:2" s="1623" customFormat="1" x14ac:dyDescent="0.2">
      <c r="B408" s="1631"/>
    </row>
    <row r="409" spans="2:2" s="1623" customFormat="1" x14ac:dyDescent="0.2">
      <c r="B409" s="1631"/>
    </row>
    <row r="410" spans="2:2" s="1623" customFormat="1" x14ac:dyDescent="0.2">
      <c r="B410" s="1631"/>
    </row>
    <row r="411" spans="2:2" s="1623" customFormat="1" x14ac:dyDescent="0.2">
      <c r="B411" s="1631"/>
    </row>
    <row r="412" spans="2:2" s="1623" customFormat="1" x14ac:dyDescent="0.2">
      <c r="B412" s="1631"/>
    </row>
    <row r="413" spans="2:2" s="1623" customFormat="1" x14ac:dyDescent="0.2">
      <c r="B413" s="1631"/>
    </row>
    <row r="414" spans="2:2" s="1623" customFormat="1" x14ac:dyDescent="0.2">
      <c r="B414" s="1631"/>
    </row>
    <row r="415" spans="2:2" s="1623" customFormat="1" x14ac:dyDescent="0.2">
      <c r="B415" s="1631"/>
    </row>
    <row r="416" spans="2:2" s="1623" customFormat="1" x14ac:dyDescent="0.2">
      <c r="B416" s="1631"/>
    </row>
    <row r="417" spans="2:2" s="1623" customFormat="1" x14ac:dyDescent="0.2">
      <c r="B417" s="1631"/>
    </row>
    <row r="418" spans="2:2" s="1623" customFormat="1" x14ac:dyDescent="0.2">
      <c r="B418" s="1631"/>
    </row>
    <row r="419" spans="2:2" s="1623" customFormat="1" x14ac:dyDescent="0.2">
      <c r="B419" s="1631"/>
    </row>
    <row r="420" spans="2:2" s="1623" customFormat="1" x14ac:dyDescent="0.2">
      <c r="B420" s="1631"/>
    </row>
    <row r="421" spans="2:2" s="1623" customFormat="1" x14ac:dyDescent="0.2">
      <c r="B421" s="1631"/>
    </row>
    <row r="422" spans="2:2" s="1623" customFormat="1" x14ac:dyDescent="0.2">
      <c r="B422" s="1631"/>
    </row>
    <row r="423" spans="2:2" s="1623" customFormat="1" x14ac:dyDescent="0.2">
      <c r="B423" s="1631"/>
    </row>
    <row r="424" spans="2:2" s="1623" customFormat="1" x14ac:dyDescent="0.2">
      <c r="B424" s="1631"/>
    </row>
    <row r="425" spans="2:2" s="1623" customFormat="1" x14ac:dyDescent="0.2">
      <c r="B425" s="1631"/>
    </row>
    <row r="426" spans="2:2" s="1623" customFormat="1" x14ac:dyDescent="0.2">
      <c r="B426" s="1631"/>
    </row>
    <row r="427" spans="2:2" s="1623" customFormat="1" x14ac:dyDescent="0.2">
      <c r="B427" s="1631"/>
    </row>
    <row r="428" spans="2:2" s="1623" customFormat="1" x14ac:dyDescent="0.2">
      <c r="B428" s="1631"/>
    </row>
    <row r="429" spans="2:2" s="1623" customFormat="1" x14ac:dyDescent="0.2">
      <c r="B429" s="1631"/>
    </row>
    <row r="430" spans="2:2" s="1623" customFormat="1" x14ac:dyDescent="0.2">
      <c r="B430" s="1631"/>
    </row>
    <row r="431" spans="2:2" s="1623" customFormat="1" x14ac:dyDescent="0.2">
      <c r="B431" s="1631"/>
    </row>
    <row r="432" spans="2:2" s="1623" customFormat="1" x14ac:dyDescent="0.2">
      <c r="B432" s="1631"/>
    </row>
    <row r="433" spans="2:2" s="1623" customFormat="1" x14ac:dyDescent="0.2">
      <c r="B433" s="1631"/>
    </row>
    <row r="434" spans="2:2" s="1623" customFormat="1" x14ac:dyDescent="0.2">
      <c r="B434" s="1631"/>
    </row>
    <row r="435" spans="2:2" s="1623" customFormat="1" x14ac:dyDescent="0.2">
      <c r="B435" s="1631"/>
    </row>
    <row r="436" spans="2:2" s="1623" customFormat="1" x14ac:dyDescent="0.2">
      <c r="B436" s="1631"/>
    </row>
    <row r="437" spans="2:2" s="1623" customFormat="1" x14ac:dyDescent="0.2">
      <c r="B437" s="1631"/>
    </row>
    <row r="438" spans="2:2" s="1623" customFormat="1" x14ac:dyDescent="0.2">
      <c r="B438" s="1631"/>
    </row>
    <row r="439" spans="2:2" s="1623" customFormat="1" x14ac:dyDescent="0.2">
      <c r="B439" s="1631"/>
    </row>
    <row r="440" spans="2:2" s="1623" customFormat="1" x14ac:dyDescent="0.2">
      <c r="B440" s="1631"/>
    </row>
    <row r="441" spans="2:2" s="1623" customFormat="1" x14ac:dyDescent="0.2">
      <c r="B441" s="1631"/>
    </row>
    <row r="442" spans="2:2" s="1623" customFormat="1" x14ac:dyDescent="0.2">
      <c r="B442" s="1631"/>
    </row>
    <row r="443" spans="2:2" s="1623" customFormat="1" x14ac:dyDescent="0.2">
      <c r="B443" s="1631"/>
    </row>
    <row r="444" spans="2:2" s="1623" customFormat="1" x14ac:dyDescent="0.2">
      <c r="B444" s="1631"/>
    </row>
    <row r="445" spans="2:2" s="1623" customFormat="1" x14ac:dyDescent="0.2">
      <c r="B445" s="1631"/>
    </row>
    <row r="446" spans="2:2" s="1623" customFormat="1" x14ac:dyDescent="0.2">
      <c r="B446" s="1631"/>
    </row>
    <row r="447" spans="2:2" s="1623" customFormat="1" x14ac:dyDescent="0.2">
      <c r="B447" s="1631"/>
    </row>
    <row r="448" spans="2:2" s="1623" customFormat="1" x14ac:dyDescent="0.2">
      <c r="B448" s="1631"/>
    </row>
    <row r="449" spans="2:2" s="1623" customFormat="1" x14ac:dyDescent="0.2">
      <c r="B449" s="1631"/>
    </row>
    <row r="450" spans="2:2" s="1623" customFormat="1" x14ac:dyDescent="0.2">
      <c r="B450" s="1631"/>
    </row>
    <row r="451" spans="2:2" s="1623" customFormat="1" x14ac:dyDescent="0.2">
      <c r="B451" s="1631"/>
    </row>
    <row r="452" spans="2:2" s="1623" customFormat="1" x14ac:dyDescent="0.2">
      <c r="B452" s="1631"/>
    </row>
    <row r="453" spans="2:2" s="1623" customFormat="1" x14ac:dyDescent="0.2">
      <c r="B453" s="1631"/>
    </row>
    <row r="454" spans="2:2" s="1623" customFormat="1" x14ac:dyDescent="0.2">
      <c r="B454" s="1631"/>
    </row>
    <row r="455" spans="2:2" s="1623" customFormat="1" x14ac:dyDescent="0.2">
      <c r="B455" s="1631"/>
    </row>
    <row r="456" spans="2:2" s="1623" customFormat="1" x14ac:dyDescent="0.2">
      <c r="B456" s="1631"/>
    </row>
    <row r="457" spans="2:2" s="1623" customFormat="1" x14ac:dyDescent="0.2">
      <c r="B457" s="1631"/>
    </row>
    <row r="458" spans="2:2" s="1623" customFormat="1" x14ac:dyDescent="0.2">
      <c r="B458" s="1631"/>
    </row>
    <row r="459" spans="2:2" s="1623" customFormat="1" x14ac:dyDescent="0.2">
      <c r="B459" s="1631"/>
    </row>
    <row r="460" spans="2:2" s="1623" customFormat="1" x14ac:dyDescent="0.2">
      <c r="B460" s="1631"/>
    </row>
    <row r="461" spans="2:2" s="1623" customFormat="1" x14ac:dyDescent="0.2">
      <c r="B461" s="1631"/>
    </row>
    <row r="462" spans="2:2" s="1623" customFormat="1" x14ac:dyDescent="0.2">
      <c r="B462" s="1631"/>
    </row>
    <row r="463" spans="2:2" s="1623" customFormat="1" x14ac:dyDescent="0.2">
      <c r="B463" s="1631"/>
    </row>
    <row r="464" spans="2:2" s="1623" customFormat="1" x14ac:dyDescent="0.2">
      <c r="B464" s="1631"/>
    </row>
    <row r="465" spans="2:2" s="1623" customFormat="1" x14ac:dyDescent="0.2">
      <c r="B465" s="1631"/>
    </row>
    <row r="466" spans="2:2" s="1623" customFormat="1" x14ac:dyDescent="0.2">
      <c r="B466" s="1631"/>
    </row>
    <row r="467" spans="2:2" s="1623" customFormat="1" x14ac:dyDescent="0.2">
      <c r="B467" s="1631"/>
    </row>
    <row r="468" spans="2:2" s="1623" customFormat="1" x14ac:dyDescent="0.2">
      <c r="B468" s="1631"/>
    </row>
    <row r="469" spans="2:2" s="1623" customFormat="1" x14ac:dyDescent="0.2">
      <c r="B469" s="1631"/>
    </row>
    <row r="470" spans="2:2" s="1623" customFormat="1" x14ac:dyDescent="0.2">
      <c r="B470" s="1631"/>
    </row>
    <row r="471" spans="2:2" s="1623" customFormat="1" x14ac:dyDescent="0.2">
      <c r="B471" s="1631"/>
    </row>
    <row r="472" spans="2:2" s="1623" customFormat="1" x14ac:dyDescent="0.2">
      <c r="B472" s="1631"/>
    </row>
    <row r="473" spans="2:2" s="1623" customFormat="1" x14ac:dyDescent="0.2">
      <c r="B473" s="1631"/>
    </row>
    <row r="474" spans="2:2" s="1623" customFormat="1" x14ac:dyDescent="0.2">
      <c r="B474" s="1631"/>
    </row>
    <row r="475" spans="2:2" s="1623" customFormat="1" x14ac:dyDescent="0.2">
      <c r="B475" s="1631"/>
    </row>
    <row r="476" spans="2:2" s="1623" customFormat="1" x14ac:dyDescent="0.2">
      <c r="B476" s="1631"/>
    </row>
    <row r="477" spans="2:2" s="1623" customFormat="1" x14ac:dyDescent="0.2">
      <c r="B477" s="1631"/>
    </row>
    <row r="478" spans="2:2" s="1623" customFormat="1" x14ac:dyDescent="0.2">
      <c r="B478" s="1631"/>
    </row>
    <row r="479" spans="2:2" s="1623" customFormat="1" x14ac:dyDescent="0.2">
      <c r="B479" s="1631"/>
    </row>
    <row r="480" spans="2:2" s="1623" customFormat="1" x14ac:dyDescent="0.2">
      <c r="B480" s="1631"/>
    </row>
    <row r="481" spans="2:2" s="1623" customFormat="1" x14ac:dyDescent="0.2">
      <c r="B481" s="1631"/>
    </row>
    <row r="482" spans="2:2" s="1623" customFormat="1" x14ac:dyDescent="0.2">
      <c r="B482" s="1631"/>
    </row>
    <row r="483" spans="2:2" s="1623" customFormat="1" x14ac:dyDescent="0.2">
      <c r="B483" s="1631"/>
    </row>
    <row r="484" spans="2:2" s="1623" customFormat="1" x14ac:dyDescent="0.2">
      <c r="B484" s="1631"/>
    </row>
    <row r="485" spans="2:2" s="1623" customFormat="1" x14ac:dyDescent="0.2">
      <c r="B485" s="1631"/>
    </row>
    <row r="486" spans="2:2" s="1623" customFormat="1" x14ac:dyDescent="0.2">
      <c r="B486" s="1631"/>
    </row>
    <row r="487" spans="2:2" s="1623" customFormat="1" x14ac:dyDescent="0.2">
      <c r="B487" s="1631"/>
    </row>
    <row r="488" spans="2:2" s="1623" customFormat="1" x14ac:dyDescent="0.2">
      <c r="B488" s="1631"/>
    </row>
    <row r="489" spans="2:2" s="1623" customFormat="1" x14ac:dyDescent="0.2">
      <c r="B489" s="1631"/>
    </row>
    <row r="490" spans="2:2" s="1623" customFormat="1" x14ac:dyDescent="0.2">
      <c r="B490" s="1631"/>
    </row>
    <row r="491" spans="2:2" s="1623" customFormat="1" x14ac:dyDescent="0.2">
      <c r="B491" s="1631"/>
    </row>
    <row r="492" spans="2:2" s="1623" customFormat="1" x14ac:dyDescent="0.2">
      <c r="B492" s="1631"/>
    </row>
    <row r="493" spans="2:2" s="1623" customFormat="1" x14ac:dyDescent="0.2">
      <c r="B493" s="1631"/>
    </row>
    <row r="494" spans="2:2" s="1623" customFormat="1" x14ac:dyDescent="0.2">
      <c r="B494" s="1631"/>
    </row>
    <row r="495" spans="2:2" s="1623" customFormat="1" x14ac:dyDescent="0.2">
      <c r="B495" s="1631"/>
    </row>
    <row r="496" spans="2:2" s="1623" customFormat="1" x14ac:dyDescent="0.2">
      <c r="B496" s="1631"/>
    </row>
    <row r="497" spans="2:2" s="1623" customFormat="1" x14ac:dyDescent="0.2">
      <c r="B497" s="1631"/>
    </row>
    <row r="498" spans="2:2" s="1623" customFormat="1" x14ac:dyDescent="0.2">
      <c r="B498" s="1631"/>
    </row>
    <row r="499" spans="2:2" s="1623" customFormat="1" x14ac:dyDescent="0.2">
      <c r="B499" s="1631"/>
    </row>
    <row r="500" spans="2:2" s="1623" customFormat="1" x14ac:dyDescent="0.2">
      <c r="B500" s="1631"/>
    </row>
    <row r="501" spans="2:2" s="1623" customFormat="1" x14ac:dyDescent="0.2">
      <c r="B501" s="1631"/>
    </row>
    <row r="502" spans="2:2" s="1623" customFormat="1" x14ac:dyDescent="0.2">
      <c r="B502" s="1631"/>
    </row>
    <row r="503" spans="2:2" s="1623" customFormat="1" x14ac:dyDescent="0.2">
      <c r="B503" s="1631"/>
    </row>
    <row r="504" spans="2:2" s="1623" customFormat="1" x14ac:dyDescent="0.2">
      <c r="B504" s="1631"/>
    </row>
    <row r="505" spans="2:2" s="1623" customFormat="1" x14ac:dyDescent="0.2">
      <c r="B505" s="1631"/>
    </row>
    <row r="506" spans="2:2" s="1623" customFormat="1" x14ac:dyDescent="0.2">
      <c r="B506" s="1631"/>
    </row>
    <row r="507" spans="2:2" s="1623" customFormat="1" x14ac:dyDescent="0.2">
      <c r="B507" s="1631"/>
    </row>
    <row r="508" spans="2:2" s="1623" customFormat="1" x14ac:dyDescent="0.2">
      <c r="B508" s="1631"/>
    </row>
    <row r="509" spans="2:2" s="1623" customFormat="1" x14ac:dyDescent="0.2">
      <c r="B509" s="1631"/>
    </row>
    <row r="510" spans="2:2" s="1623" customFormat="1" x14ac:dyDescent="0.2">
      <c r="B510" s="1631"/>
    </row>
    <row r="511" spans="2:2" s="1623" customFormat="1" x14ac:dyDescent="0.2">
      <c r="B511" s="1631"/>
    </row>
    <row r="512" spans="2:2" s="1623" customFormat="1" x14ac:dyDescent="0.2">
      <c r="B512" s="1631"/>
    </row>
    <row r="513" spans="2:2" s="1623" customFormat="1" x14ac:dyDescent="0.2">
      <c r="B513" s="1631"/>
    </row>
    <row r="514" spans="2:2" s="1623" customFormat="1" x14ac:dyDescent="0.2">
      <c r="B514" s="1631"/>
    </row>
    <row r="515" spans="2:2" s="1623" customFormat="1" x14ac:dyDescent="0.2">
      <c r="B515" s="1631"/>
    </row>
    <row r="516" spans="2:2" s="1623" customFormat="1" x14ac:dyDescent="0.2">
      <c r="B516" s="1631"/>
    </row>
    <row r="517" spans="2:2" s="1623" customFormat="1" x14ac:dyDescent="0.2">
      <c r="B517" s="1631"/>
    </row>
    <row r="518" spans="2:2" s="1623" customFormat="1" x14ac:dyDescent="0.2">
      <c r="B518" s="1631"/>
    </row>
    <row r="519" spans="2:2" s="1623" customFormat="1" x14ac:dyDescent="0.2">
      <c r="B519" s="1631"/>
    </row>
    <row r="520" spans="2:2" s="1623" customFormat="1" x14ac:dyDescent="0.2">
      <c r="B520" s="1631"/>
    </row>
    <row r="521" spans="2:2" s="1623" customFormat="1" x14ac:dyDescent="0.2">
      <c r="B521" s="1631"/>
    </row>
    <row r="522" spans="2:2" s="1623" customFormat="1" x14ac:dyDescent="0.2">
      <c r="B522" s="1631"/>
    </row>
    <row r="523" spans="2:2" s="1623" customFormat="1" x14ac:dyDescent="0.2">
      <c r="B523" s="1631"/>
    </row>
    <row r="524" spans="2:2" s="1623" customFormat="1" x14ac:dyDescent="0.2">
      <c r="B524" s="1631"/>
    </row>
    <row r="525" spans="2:2" s="1623" customFormat="1" x14ac:dyDescent="0.2">
      <c r="B525" s="1631"/>
    </row>
    <row r="526" spans="2:2" s="1623" customFormat="1" x14ac:dyDescent="0.2">
      <c r="B526" s="1631"/>
    </row>
    <row r="527" spans="2:2" s="1623" customFormat="1" x14ac:dyDescent="0.2">
      <c r="B527" s="1631"/>
    </row>
    <row r="528" spans="2:2" s="1623" customFormat="1" x14ac:dyDescent="0.2">
      <c r="B528" s="1631"/>
    </row>
    <row r="529" spans="2:2" s="1623" customFormat="1" x14ac:dyDescent="0.2">
      <c r="B529" s="1631"/>
    </row>
    <row r="530" spans="2:2" s="1623" customFormat="1" x14ac:dyDescent="0.2">
      <c r="B530" s="1631"/>
    </row>
    <row r="531" spans="2:2" s="1623" customFormat="1" x14ac:dyDescent="0.2">
      <c r="B531" s="1631"/>
    </row>
    <row r="532" spans="2:2" s="1623" customFormat="1" x14ac:dyDescent="0.2">
      <c r="B532" s="1631"/>
    </row>
    <row r="533" spans="2:2" s="1623" customFormat="1" x14ac:dyDescent="0.2">
      <c r="B533" s="1631"/>
    </row>
    <row r="534" spans="2:2" s="1623" customFormat="1" x14ac:dyDescent="0.2">
      <c r="B534" s="1631"/>
    </row>
    <row r="535" spans="2:2" s="1623" customFormat="1" x14ac:dyDescent="0.2">
      <c r="B535" s="1631"/>
    </row>
    <row r="536" spans="2:2" s="1623" customFormat="1" x14ac:dyDescent="0.2">
      <c r="B536" s="1631"/>
    </row>
    <row r="537" spans="2:2" s="1623" customFormat="1" x14ac:dyDescent="0.2">
      <c r="B537" s="1631"/>
    </row>
    <row r="538" spans="2:2" s="1623" customFormat="1" x14ac:dyDescent="0.2">
      <c r="B538" s="1631"/>
    </row>
    <row r="539" spans="2:2" s="1623" customFormat="1" x14ac:dyDescent="0.2">
      <c r="B539" s="1631"/>
    </row>
    <row r="540" spans="2:2" s="1623" customFormat="1" x14ac:dyDescent="0.2">
      <c r="B540" s="1631"/>
    </row>
    <row r="541" spans="2:2" s="1623" customFormat="1" x14ac:dyDescent="0.2">
      <c r="B541" s="1631"/>
    </row>
    <row r="542" spans="2:2" s="1623" customFormat="1" x14ac:dyDescent="0.2">
      <c r="B542" s="1631"/>
    </row>
    <row r="543" spans="2:2" s="1623" customFormat="1" x14ac:dyDescent="0.2">
      <c r="B543" s="1631"/>
    </row>
    <row r="544" spans="2:2" s="1623" customFormat="1" x14ac:dyDescent="0.2">
      <c r="B544" s="1631"/>
    </row>
    <row r="545" spans="2:2" s="1623" customFormat="1" x14ac:dyDescent="0.2">
      <c r="B545" s="1631"/>
    </row>
    <row r="546" spans="2:2" s="1623" customFormat="1" x14ac:dyDescent="0.2">
      <c r="B546" s="1631"/>
    </row>
    <row r="547" spans="2:2" s="1623" customFormat="1" x14ac:dyDescent="0.2">
      <c r="B547" s="1631"/>
    </row>
    <row r="548" spans="2:2" s="1623" customFormat="1" x14ac:dyDescent="0.2">
      <c r="B548" s="1631"/>
    </row>
    <row r="549" spans="2:2" s="1623" customFormat="1" x14ac:dyDescent="0.2">
      <c r="B549" s="1631"/>
    </row>
    <row r="550" spans="2:2" s="1623" customFormat="1" x14ac:dyDescent="0.2">
      <c r="B550" s="1631"/>
    </row>
    <row r="551" spans="2:2" s="1623" customFormat="1" x14ac:dyDescent="0.2">
      <c r="B551" s="1631"/>
    </row>
    <row r="552" spans="2:2" s="1623" customFormat="1" x14ac:dyDescent="0.2">
      <c r="B552" s="1631"/>
    </row>
    <row r="553" spans="2:2" s="1623" customFormat="1" x14ac:dyDescent="0.2">
      <c r="B553" s="1631"/>
    </row>
    <row r="554" spans="2:2" s="1623" customFormat="1" x14ac:dyDescent="0.2">
      <c r="B554" s="1631"/>
    </row>
    <row r="555" spans="2:2" s="1623" customFormat="1" x14ac:dyDescent="0.2">
      <c r="B555" s="1631"/>
    </row>
    <row r="556" spans="2:2" s="1623" customFormat="1" x14ac:dyDescent="0.2">
      <c r="B556" s="1631"/>
    </row>
    <row r="557" spans="2:2" s="1623" customFormat="1" x14ac:dyDescent="0.2">
      <c r="B557" s="1631"/>
    </row>
    <row r="558" spans="2:2" s="1623" customFormat="1" x14ac:dyDescent="0.2">
      <c r="B558" s="1631"/>
    </row>
    <row r="559" spans="2:2" s="1623" customFormat="1" x14ac:dyDescent="0.2">
      <c r="B559" s="1631"/>
    </row>
    <row r="560" spans="2:2" s="1623" customFormat="1" x14ac:dyDescent="0.2">
      <c r="B560" s="1631"/>
    </row>
    <row r="561" spans="2:2" s="1623" customFormat="1" x14ac:dyDescent="0.2">
      <c r="B561" s="1631"/>
    </row>
    <row r="562" spans="2:2" s="1623" customFormat="1" x14ac:dyDescent="0.2">
      <c r="B562" s="1631"/>
    </row>
    <row r="563" spans="2:2" s="1623" customFormat="1" x14ac:dyDescent="0.2">
      <c r="B563" s="1631"/>
    </row>
    <row r="564" spans="2:2" s="1623" customFormat="1" x14ac:dyDescent="0.2">
      <c r="B564" s="1631"/>
    </row>
    <row r="565" spans="2:2" s="1623" customFormat="1" x14ac:dyDescent="0.2">
      <c r="B565" s="1631"/>
    </row>
    <row r="566" spans="2:2" s="1623" customFormat="1" x14ac:dyDescent="0.2">
      <c r="B566" s="1631"/>
    </row>
    <row r="567" spans="2:2" s="1623" customFormat="1" x14ac:dyDescent="0.2">
      <c r="B567" s="1631"/>
    </row>
    <row r="568" spans="2:2" s="1623" customFormat="1" x14ac:dyDescent="0.2">
      <c r="B568" s="1631"/>
    </row>
    <row r="569" spans="2:2" s="1623" customFormat="1" x14ac:dyDescent="0.2">
      <c r="B569" s="1631"/>
    </row>
    <row r="570" spans="2:2" s="1623" customFormat="1" x14ac:dyDescent="0.2">
      <c r="B570" s="1631"/>
    </row>
    <row r="571" spans="2:2" s="1623" customFormat="1" x14ac:dyDescent="0.2">
      <c r="B571" s="1631"/>
    </row>
    <row r="572" spans="2:2" s="1623" customFormat="1" x14ac:dyDescent="0.2">
      <c r="B572" s="1631"/>
    </row>
    <row r="573" spans="2:2" s="1623" customFormat="1" x14ac:dyDescent="0.2">
      <c r="B573" s="1631"/>
    </row>
    <row r="574" spans="2:2" s="1623" customFormat="1" x14ac:dyDescent="0.2">
      <c r="B574" s="1631"/>
    </row>
    <row r="575" spans="2:2" s="1623" customFormat="1" x14ac:dyDescent="0.2">
      <c r="B575" s="1631"/>
    </row>
    <row r="576" spans="2:2" s="1623" customFormat="1" x14ac:dyDescent="0.2">
      <c r="B576" s="1631"/>
    </row>
    <row r="577" spans="2:2" s="1623" customFormat="1" x14ac:dyDescent="0.2">
      <c r="B577" s="1631"/>
    </row>
    <row r="578" spans="2:2" s="1623" customFormat="1" x14ac:dyDescent="0.2">
      <c r="B578" s="1631"/>
    </row>
    <row r="579" spans="2:2" s="1623" customFormat="1" x14ac:dyDescent="0.2">
      <c r="B579" s="1631"/>
    </row>
    <row r="580" spans="2:2" s="1623" customFormat="1" x14ac:dyDescent="0.2">
      <c r="B580" s="1631"/>
    </row>
    <row r="581" spans="2:2" s="1623" customFormat="1" x14ac:dyDescent="0.2">
      <c r="B581" s="1631"/>
    </row>
    <row r="582" spans="2:2" s="1623" customFormat="1" x14ac:dyDescent="0.2">
      <c r="B582" s="1631"/>
    </row>
    <row r="583" spans="2:2" s="1623" customFormat="1" x14ac:dyDescent="0.2">
      <c r="B583" s="1631"/>
    </row>
    <row r="584" spans="2:2" s="1623" customFormat="1" x14ac:dyDescent="0.2">
      <c r="B584" s="1631"/>
    </row>
    <row r="585" spans="2:2" s="1623" customFormat="1" x14ac:dyDescent="0.2">
      <c r="B585" s="1631"/>
    </row>
    <row r="586" spans="2:2" s="1623" customFormat="1" x14ac:dyDescent="0.2">
      <c r="B586" s="1631"/>
    </row>
    <row r="587" spans="2:2" s="1623" customFormat="1" x14ac:dyDescent="0.2">
      <c r="B587" s="1631"/>
    </row>
    <row r="588" spans="2:2" s="1623" customFormat="1" x14ac:dyDescent="0.2">
      <c r="B588" s="1631"/>
    </row>
    <row r="589" spans="2:2" s="1623" customFormat="1" x14ac:dyDescent="0.2">
      <c r="B589" s="1631"/>
    </row>
    <row r="590" spans="2:2" s="1623" customFormat="1" x14ac:dyDescent="0.2">
      <c r="B590" s="1631"/>
    </row>
    <row r="591" spans="2:2" s="1623" customFormat="1" x14ac:dyDescent="0.2">
      <c r="B591" s="1631"/>
    </row>
    <row r="592" spans="2:2" s="1623" customFormat="1" x14ac:dyDescent="0.2">
      <c r="B592" s="1631"/>
    </row>
    <row r="593" spans="2:2" s="1623" customFormat="1" x14ac:dyDescent="0.2">
      <c r="B593" s="1631"/>
    </row>
    <row r="594" spans="2:2" s="1623" customFormat="1" x14ac:dyDescent="0.2">
      <c r="B594" s="1631"/>
    </row>
    <row r="595" spans="2:2" s="1623" customFormat="1" x14ac:dyDescent="0.2">
      <c r="B595" s="1631"/>
    </row>
    <row r="596" spans="2:2" s="1623" customFormat="1" x14ac:dyDescent="0.2">
      <c r="B596" s="1631"/>
    </row>
    <row r="597" spans="2:2" s="1623" customFormat="1" x14ac:dyDescent="0.2">
      <c r="B597" s="1631"/>
    </row>
    <row r="598" spans="2:2" s="1623" customFormat="1" x14ac:dyDescent="0.2">
      <c r="B598" s="1631"/>
    </row>
    <row r="599" spans="2:2" s="1623" customFormat="1" x14ac:dyDescent="0.2">
      <c r="B599" s="1631"/>
    </row>
    <row r="600" spans="2:2" s="1623" customFormat="1" x14ac:dyDescent="0.2">
      <c r="B600" s="1631"/>
    </row>
    <row r="601" spans="2:2" s="1623" customFormat="1" x14ac:dyDescent="0.2">
      <c r="B601" s="1631"/>
    </row>
    <row r="602" spans="2:2" s="1623" customFormat="1" x14ac:dyDescent="0.2">
      <c r="B602" s="1631"/>
    </row>
    <row r="603" spans="2:2" s="1623" customFormat="1" x14ac:dyDescent="0.2">
      <c r="B603" s="1631"/>
    </row>
    <row r="604" spans="2:2" s="1623" customFormat="1" x14ac:dyDescent="0.2">
      <c r="B604" s="1631"/>
    </row>
    <row r="605" spans="2:2" s="1623" customFormat="1" x14ac:dyDescent="0.2">
      <c r="B605" s="1631"/>
    </row>
    <row r="606" spans="2:2" s="1623" customFormat="1" x14ac:dyDescent="0.2">
      <c r="B606" s="1631"/>
    </row>
    <row r="607" spans="2:2" s="1623" customFormat="1" x14ac:dyDescent="0.2">
      <c r="B607" s="1631"/>
    </row>
    <row r="608" spans="2:2" s="1623" customFormat="1" x14ac:dyDescent="0.2">
      <c r="B608" s="1631"/>
    </row>
    <row r="609" spans="2:2" s="1623" customFormat="1" x14ac:dyDescent="0.2">
      <c r="B609" s="1631"/>
    </row>
    <row r="610" spans="2:2" s="1623" customFormat="1" x14ac:dyDescent="0.2">
      <c r="B610" s="1631"/>
    </row>
    <row r="611" spans="2:2" s="1623" customFormat="1" x14ac:dyDescent="0.2">
      <c r="B611" s="1631"/>
    </row>
    <row r="612" spans="2:2" s="1623" customFormat="1" x14ac:dyDescent="0.2">
      <c r="B612" s="1631"/>
    </row>
    <row r="613" spans="2:2" s="1623" customFormat="1" x14ac:dyDescent="0.2">
      <c r="B613" s="1631"/>
    </row>
    <row r="614" spans="2:2" s="1623" customFormat="1" x14ac:dyDescent="0.2">
      <c r="B614" s="1631"/>
    </row>
    <row r="615" spans="2:2" s="1623" customFormat="1" x14ac:dyDescent="0.2">
      <c r="B615" s="1631"/>
    </row>
    <row r="616" spans="2:2" s="1623" customFormat="1" x14ac:dyDescent="0.2">
      <c r="B616" s="1631"/>
    </row>
    <row r="617" spans="2:2" s="1623" customFormat="1" x14ac:dyDescent="0.2">
      <c r="B617" s="1631"/>
    </row>
    <row r="618" spans="2:2" s="1623" customFormat="1" x14ac:dyDescent="0.2">
      <c r="B618" s="1631"/>
    </row>
    <row r="619" spans="2:2" s="1623" customFormat="1" x14ac:dyDescent="0.2">
      <c r="B619" s="1631"/>
    </row>
    <row r="620" spans="2:2" s="1623" customFormat="1" x14ac:dyDescent="0.2">
      <c r="B620" s="1631"/>
    </row>
    <row r="621" spans="2:2" s="1623" customFormat="1" x14ac:dyDescent="0.2">
      <c r="B621" s="1631"/>
    </row>
    <row r="622" spans="2:2" s="1623" customFormat="1" x14ac:dyDescent="0.2">
      <c r="B622" s="1631"/>
    </row>
    <row r="623" spans="2:2" s="1623" customFormat="1" x14ac:dyDescent="0.2">
      <c r="B623" s="1631"/>
    </row>
    <row r="624" spans="2:2" s="1623" customFormat="1" x14ac:dyDescent="0.2">
      <c r="B624" s="1631"/>
    </row>
    <row r="625" spans="2:2" s="1623" customFormat="1" x14ac:dyDescent="0.2">
      <c r="B625" s="1631"/>
    </row>
    <row r="626" spans="2:2" s="1623" customFormat="1" x14ac:dyDescent="0.2">
      <c r="B626" s="1631"/>
    </row>
    <row r="627" spans="2:2" s="1623" customFormat="1" x14ac:dyDescent="0.2">
      <c r="B627" s="1631"/>
    </row>
    <row r="628" spans="2:2" s="1623" customFormat="1" x14ac:dyDescent="0.2">
      <c r="B628" s="1631"/>
    </row>
    <row r="629" spans="2:2" s="1623" customFormat="1" x14ac:dyDescent="0.2">
      <c r="B629" s="1631"/>
    </row>
    <row r="630" spans="2:2" s="1623" customFormat="1" x14ac:dyDescent="0.2">
      <c r="B630" s="1631"/>
    </row>
    <row r="631" spans="2:2" s="1623" customFormat="1" x14ac:dyDescent="0.2">
      <c r="B631" s="1631"/>
    </row>
    <row r="632" spans="2:2" s="1623" customFormat="1" x14ac:dyDescent="0.2">
      <c r="B632" s="1631"/>
    </row>
    <row r="633" spans="2:2" s="1623" customFormat="1" x14ac:dyDescent="0.2">
      <c r="B633" s="1631"/>
    </row>
    <row r="634" spans="2:2" s="1623" customFormat="1" x14ac:dyDescent="0.2">
      <c r="B634" s="1631"/>
    </row>
    <row r="635" spans="2:2" s="1623" customFormat="1" x14ac:dyDescent="0.2">
      <c r="B635" s="1631"/>
    </row>
    <row r="636" spans="2:2" s="1623" customFormat="1" x14ac:dyDescent="0.2">
      <c r="B636" s="1631"/>
    </row>
    <row r="637" spans="2:2" s="1623" customFormat="1" x14ac:dyDescent="0.2">
      <c r="B637" s="1631"/>
    </row>
    <row r="638" spans="2:2" s="1623" customFormat="1" x14ac:dyDescent="0.2">
      <c r="B638" s="1631"/>
    </row>
    <row r="639" spans="2:2" s="1623" customFormat="1" x14ac:dyDescent="0.2">
      <c r="B639" s="1631"/>
    </row>
    <row r="640" spans="2:2" s="1623" customFormat="1" x14ac:dyDescent="0.2">
      <c r="B640" s="1631"/>
    </row>
    <row r="641" spans="2:2" s="1623" customFormat="1" x14ac:dyDescent="0.2">
      <c r="B641" s="1631"/>
    </row>
    <row r="642" spans="2:2" s="1623" customFormat="1" x14ac:dyDescent="0.2">
      <c r="B642" s="1631"/>
    </row>
    <row r="643" spans="2:2" s="1623" customFormat="1" x14ac:dyDescent="0.2">
      <c r="B643" s="1631"/>
    </row>
    <row r="644" spans="2:2" s="1623" customFormat="1" x14ac:dyDescent="0.2">
      <c r="B644" s="1631"/>
    </row>
    <row r="645" spans="2:2" s="1623" customFormat="1" x14ac:dyDescent="0.2">
      <c r="B645" s="1631"/>
    </row>
    <row r="646" spans="2:2" s="1623" customFormat="1" x14ac:dyDescent="0.2">
      <c r="B646" s="1631"/>
    </row>
    <row r="647" spans="2:2" s="1623" customFormat="1" x14ac:dyDescent="0.2">
      <c r="B647" s="1631"/>
    </row>
    <row r="648" spans="2:2" s="1623" customFormat="1" x14ac:dyDescent="0.2">
      <c r="B648" s="1631"/>
    </row>
    <row r="649" spans="2:2" s="1623" customFormat="1" x14ac:dyDescent="0.2">
      <c r="B649" s="1631"/>
    </row>
    <row r="650" spans="2:2" s="1623" customFormat="1" x14ac:dyDescent="0.2">
      <c r="B650" s="1631"/>
    </row>
    <row r="651" spans="2:2" s="1623" customFormat="1" x14ac:dyDescent="0.2">
      <c r="B651" s="1631"/>
    </row>
    <row r="652" spans="2:2" s="1623" customFormat="1" x14ac:dyDescent="0.2">
      <c r="B652" s="1631"/>
    </row>
    <row r="653" spans="2:2" s="1623" customFormat="1" x14ac:dyDescent="0.2">
      <c r="B653" s="1631"/>
    </row>
    <row r="654" spans="2:2" s="1623" customFormat="1" x14ac:dyDescent="0.2">
      <c r="B654" s="1631"/>
    </row>
    <row r="655" spans="2:2" s="1623" customFormat="1" x14ac:dyDescent="0.2">
      <c r="B655" s="1631"/>
    </row>
    <row r="656" spans="2:2" s="1623" customFormat="1" x14ac:dyDescent="0.2">
      <c r="B656" s="1631"/>
    </row>
    <row r="657" spans="2:2" s="1623" customFormat="1" x14ac:dyDescent="0.2">
      <c r="B657" s="1631"/>
    </row>
    <row r="658" spans="2:2" s="1623" customFormat="1" x14ac:dyDescent="0.2">
      <c r="B658" s="1631"/>
    </row>
    <row r="659" spans="2:2" s="1623" customFormat="1" x14ac:dyDescent="0.2">
      <c r="B659" s="1631"/>
    </row>
    <row r="660" spans="2:2" s="1623" customFormat="1" x14ac:dyDescent="0.2">
      <c r="B660" s="1631"/>
    </row>
    <row r="661" spans="2:2" s="1623" customFormat="1" x14ac:dyDescent="0.2">
      <c r="B661" s="1631"/>
    </row>
    <row r="662" spans="2:2" s="1623" customFormat="1" x14ac:dyDescent="0.2">
      <c r="B662" s="1631"/>
    </row>
    <row r="663" spans="2:2" s="1623" customFormat="1" x14ac:dyDescent="0.2">
      <c r="B663" s="1631"/>
    </row>
    <row r="664" spans="2:2" s="1623" customFormat="1" x14ac:dyDescent="0.2">
      <c r="B664" s="1631"/>
    </row>
    <row r="665" spans="2:2" s="1623" customFormat="1" x14ac:dyDescent="0.2">
      <c r="B665" s="1631"/>
    </row>
    <row r="666" spans="2:2" s="1623" customFormat="1" x14ac:dyDescent="0.2">
      <c r="B666" s="1631"/>
    </row>
    <row r="667" spans="2:2" s="1623" customFormat="1" x14ac:dyDescent="0.2">
      <c r="B667" s="1631"/>
    </row>
    <row r="668" spans="2:2" s="1623" customFormat="1" x14ac:dyDescent="0.2">
      <c r="B668" s="1631"/>
    </row>
    <row r="669" spans="2:2" s="1623" customFormat="1" x14ac:dyDescent="0.2">
      <c r="B669" s="1631"/>
    </row>
    <row r="670" spans="2:2" s="1623" customFormat="1" x14ac:dyDescent="0.2">
      <c r="B670" s="1631"/>
    </row>
    <row r="671" spans="2:2" s="1623" customFormat="1" x14ac:dyDescent="0.2">
      <c r="B671" s="1631"/>
    </row>
    <row r="672" spans="2:2" s="1623" customFormat="1" x14ac:dyDescent="0.2">
      <c r="B672" s="1631"/>
    </row>
    <row r="673" spans="2:2" s="1623" customFormat="1" x14ac:dyDescent="0.2">
      <c r="B673" s="1631"/>
    </row>
    <row r="674" spans="2:2" s="1623" customFormat="1" x14ac:dyDescent="0.2">
      <c r="B674" s="1631"/>
    </row>
    <row r="675" spans="2:2" s="1623" customFormat="1" x14ac:dyDescent="0.2">
      <c r="B675" s="1631"/>
    </row>
    <row r="676" spans="2:2" s="1623" customFormat="1" x14ac:dyDescent="0.2">
      <c r="B676" s="1631"/>
    </row>
    <row r="677" spans="2:2" s="1623" customFormat="1" x14ac:dyDescent="0.2">
      <c r="B677" s="1631"/>
    </row>
    <row r="678" spans="2:2" s="1623" customFormat="1" x14ac:dyDescent="0.2">
      <c r="B678" s="1631"/>
    </row>
    <row r="679" spans="2:2" s="1623" customFormat="1" x14ac:dyDescent="0.2">
      <c r="B679" s="1631"/>
    </row>
    <row r="680" spans="2:2" s="1623" customFormat="1" x14ac:dyDescent="0.2">
      <c r="B680" s="1631"/>
    </row>
    <row r="681" spans="2:2" s="1623" customFormat="1" x14ac:dyDescent="0.2">
      <c r="B681" s="1631"/>
    </row>
    <row r="682" spans="2:2" s="1623" customFormat="1" x14ac:dyDescent="0.2">
      <c r="B682" s="1631"/>
    </row>
    <row r="683" spans="2:2" s="1623" customFormat="1" x14ac:dyDescent="0.2">
      <c r="B683" s="1631"/>
    </row>
    <row r="684" spans="2:2" s="1623" customFormat="1" x14ac:dyDescent="0.2">
      <c r="B684" s="1631"/>
    </row>
    <row r="685" spans="2:2" s="1623" customFormat="1" x14ac:dyDescent="0.2">
      <c r="B685" s="1631"/>
    </row>
    <row r="686" spans="2:2" s="1623" customFormat="1" x14ac:dyDescent="0.2">
      <c r="B686" s="1631"/>
    </row>
    <row r="687" spans="2:2" s="1623" customFormat="1" x14ac:dyDescent="0.2">
      <c r="B687" s="1631"/>
    </row>
    <row r="688" spans="2:2" s="1623" customFormat="1" x14ac:dyDescent="0.2">
      <c r="B688" s="1631"/>
    </row>
    <row r="689" spans="2:2" s="1623" customFormat="1" x14ac:dyDescent="0.2">
      <c r="B689" s="1631"/>
    </row>
    <row r="690" spans="2:2" s="1623" customFormat="1" x14ac:dyDescent="0.2">
      <c r="B690" s="1631"/>
    </row>
    <row r="691" spans="2:2" s="1623" customFormat="1" x14ac:dyDescent="0.2">
      <c r="B691" s="1631"/>
    </row>
    <row r="692" spans="2:2" s="1623" customFormat="1" x14ac:dyDescent="0.2">
      <c r="B692" s="1631"/>
    </row>
    <row r="693" spans="2:2" s="1623" customFormat="1" x14ac:dyDescent="0.2">
      <c r="B693" s="1631"/>
    </row>
    <row r="694" spans="2:2" s="1623" customFormat="1" x14ac:dyDescent="0.2">
      <c r="B694" s="1631"/>
    </row>
    <row r="695" spans="2:2" s="1623" customFormat="1" x14ac:dyDescent="0.2">
      <c r="B695" s="1631"/>
    </row>
    <row r="696" spans="2:2" s="1623" customFormat="1" x14ac:dyDescent="0.2">
      <c r="B696" s="1631"/>
    </row>
    <row r="697" spans="2:2" s="1623" customFormat="1" x14ac:dyDescent="0.2">
      <c r="B697" s="1631"/>
    </row>
    <row r="698" spans="2:2" s="1623" customFormat="1" x14ac:dyDescent="0.2">
      <c r="B698" s="1631"/>
    </row>
    <row r="699" spans="2:2" s="1623" customFormat="1" x14ac:dyDescent="0.2">
      <c r="B699" s="1631"/>
    </row>
    <row r="700" spans="2:2" s="1623" customFormat="1" x14ac:dyDescent="0.2">
      <c r="B700" s="1631"/>
    </row>
    <row r="701" spans="2:2" s="1623" customFormat="1" x14ac:dyDescent="0.2">
      <c r="B701" s="1631"/>
    </row>
    <row r="702" spans="2:2" s="1623" customFormat="1" x14ac:dyDescent="0.2">
      <c r="B702" s="1631"/>
    </row>
    <row r="703" spans="2:2" s="1623" customFormat="1" x14ac:dyDescent="0.2">
      <c r="B703" s="1631"/>
    </row>
    <row r="704" spans="2:2" s="1623" customFormat="1" x14ac:dyDescent="0.2">
      <c r="B704" s="1631"/>
    </row>
    <row r="705" spans="2:2" s="1623" customFormat="1" x14ac:dyDescent="0.2">
      <c r="B705" s="1631"/>
    </row>
    <row r="706" spans="2:2" s="1623" customFormat="1" x14ac:dyDescent="0.2">
      <c r="B706" s="1631"/>
    </row>
  </sheetData>
  <sheetProtection sheet="1" objects="1" scenarios="1"/>
  <pageMargins left="0.7" right="0.7" top="0.75" bottom="0.75" header="0.3" footer="0.3"/>
  <pageSetup paperSize="9" orientation="portrait" verticalDpi="0"/>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707"/>
  <sheetViews>
    <sheetView topLeftCell="C1" zoomScale="69" zoomScaleNormal="69" zoomScalePageLayoutView="69" workbookViewId="0">
      <selection activeCell="D4" sqref="D4"/>
    </sheetView>
  </sheetViews>
  <sheetFormatPr baseColWidth="10" defaultColWidth="12" defaultRowHeight="15" x14ac:dyDescent="0.2"/>
  <cols>
    <col min="1" max="1" width="6" style="1785" customWidth="1"/>
    <col min="2" max="2" width="62.83203125" style="1785" customWidth="1"/>
    <col min="3" max="3" width="6.1640625" style="1785" customWidth="1"/>
    <col min="4" max="5" width="96.6640625" style="1785" customWidth="1"/>
    <col min="6" max="7" width="12" style="1785" customWidth="1"/>
    <col min="8" max="13" width="11.5" style="1785"/>
    <col min="14" max="16384" width="12" style="1785"/>
  </cols>
  <sheetData>
    <row r="1" spans="2:7" x14ac:dyDescent="0.2">
      <c r="B1" s="1784" t="s">
        <v>755</v>
      </c>
      <c r="D1" s="1784" t="s">
        <v>753</v>
      </c>
      <c r="E1" s="1786" t="s">
        <v>754</v>
      </c>
      <c r="F1" s="1787"/>
      <c r="G1" s="1788"/>
    </row>
    <row r="2" spans="2:7" s="1623" customFormat="1" x14ac:dyDescent="0.2">
      <c r="B2" s="1631" t="str">
        <f>IF(Presentation!$D$2="Anglais",'TRAD-Presentation'!D2,IF(Presentation!$D$2="Français",'TRAD-Presentation'!E2,""))</f>
        <v xml:space="preserve">Outil de quantification pour les ARV </v>
      </c>
      <c r="D2" s="1623" t="s">
        <v>472</v>
      </c>
      <c r="E2" s="1623" t="s">
        <v>788</v>
      </c>
    </row>
    <row r="3" spans="2:7" s="1623" customFormat="1" ht="30" x14ac:dyDescent="0.2">
      <c r="B3" s="1631" t="str">
        <f>IF(Presentation!$D$2="Anglais",'TRAD-Presentation'!D3,IF(Presentation!$D$2="Français",'TRAD-Presentation'!E3,""))</f>
        <v>Version Française/Anglaise 5.11 mise à jour par Solthis en février 2015</v>
      </c>
      <c r="D3" s="1623" t="s">
        <v>1739</v>
      </c>
      <c r="E3" s="1623" t="s">
        <v>1738</v>
      </c>
    </row>
    <row r="4" spans="2:7" s="1623" customFormat="1" ht="45" x14ac:dyDescent="0.2">
      <c r="B4" s="1631" t="str">
        <f>IF(Presentation!$D$2="Anglais",'TRAD-Presentation'!D4,IF(Presentation!$D$2="Français",'TRAD-Presentation'!E4,""))</f>
        <v>Une partie du travail d'élaboration de cet outil a été financé par l'Initiative 5% du Ministère des Affaires Etrangères de la France</v>
      </c>
      <c r="D4" s="1623" t="s">
        <v>1529</v>
      </c>
      <c r="E4" s="1623" t="s">
        <v>1528</v>
      </c>
    </row>
    <row r="5" spans="2:7" s="1623" customFormat="1" x14ac:dyDescent="0.2">
      <c r="B5" s="1631" t="str">
        <f>IF(Presentation!$D$2="Anglais",'TRAD-Presentation'!D5,IF(Presentation!$D$2="Français",'TRAD-Presentation'!E5,""))</f>
        <v>Introduction:  description de la méthode  d'utilisation</v>
      </c>
      <c r="D5" s="1623" t="s">
        <v>545</v>
      </c>
      <c r="E5" s="1623" t="s">
        <v>789</v>
      </c>
    </row>
    <row r="6" spans="2:7" s="1623" customFormat="1" x14ac:dyDescent="0.2">
      <c r="B6" s="1631" t="str">
        <f>IF(Presentation!$D$2="Anglais",'TRAD-Presentation'!D6,IF(Presentation!$D$2="Français",'TRAD-Presentation'!E6,""))</f>
        <v xml:space="preserve">Objectif </v>
      </c>
      <c r="D6" s="1623" t="s">
        <v>546</v>
      </c>
      <c r="E6" s="1623" t="s">
        <v>790</v>
      </c>
    </row>
    <row r="7" spans="2:7" s="1623" customFormat="1" ht="45" x14ac:dyDescent="0.2">
      <c r="B7" s="1631" t="str">
        <f>IF(Presentation!$D$2="Anglais",'TRAD-Presentation'!D7,IF(Presentation!$D$2="Français",'TRAD-Presentation'!E7,""))</f>
        <v xml:space="preserve">Permettre une estimation rapide des quantités d'ARV et des budgets nécessaires pour un programme de prise en charge </v>
      </c>
      <c r="D7" s="1623" t="s">
        <v>1445</v>
      </c>
      <c r="E7" s="1623" t="s">
        <v>756</v>
      </c>
    </row>
    <row r="8" spans="2:7" s="1623" customFormat="1" ht="30" x14ac:dyDescent="0.2">
      <c r="B8" s="1631" t="str">
        <f>IF(Presentation!$D$2="Anglais",'TRAD-Presentation'!D8,IF(Presentation!$D$2="Français",'TRAD-Presentation'!E8,""))</f>
        <v>Ce document de quantification permet d'estimer les besoins en ARV pour :</v>
      </c>
      <c r="D8" s="1623" t="s">
        <v>1446</v>
      </c>
      <c r="E8" s="1623" t="s">
        <v>757</v>
      </c>
    </row>
    <row r="9" spans="2:7" s="1623" customFormat="1" x14ac:dyDescent="0.2">
      <c r="B9" s="1631" t="str">
        <f>IF(Presentation!$D$2="Anglais",'TRAD-Presentation'!D9,IF(Presentation!$D$2="Français",'TRAD-Presentation'!E9,""))</f>
        <v>* la prise en charge des adultes</v>
      </c>
      <c r="D9" s="1623" t="s">
        <v>406</v>
      </c>
      <c r="E9" s="1623" t="s">
        <v>758</v>
      </c>
    </row>
    <row r="10" spans="2:7" s="1623" customFormat="1" x14ac:dyDescent="0.2">
      <c r="B10" s="1631" t="str">
        <f>IF(Presentation!$D$2="Anglais",'TRAD-Presentation'!D10,IF(Presentation!$D$2="Français",'TRAD-Presentation'!E10,""))</f>
        <v>* la prise en charge des enfants</v>
      </c>
      <c r="D10" s="1623" t="s">
        <v>407</v>
      </c>
      <c r="E10" s="1623" t="s">
        <v>759</v>
      </c>
    </row>
    <row r="11" spans="2:7" s="1623" customFormat="1" x14ac:dyDescent="0.2">
      <c r="B11" s="1631" t="str">
        <f>IF(Presentation!$D$2="Anglais",'TRAD-Presentation'!D11,IF(Presentation!$D$2="Français",'TRAD-Presentation'!E11,""))</f>
        <v>Structure</v>
      </c>
      <c r="D11" s="1623" t="s">
        <v>219</v>
      </c>
      <c r="E11" s="1623" t="s">
        <v>219</v>
      </c>
    </row>
    <row r="12" spans="2:7" s="1623" customFormat="1" x14ac:dyDescent="0.2">
      <c r="B12" s="1631" t="str">
        <f>IF(Presentation!$D$2="Anglais",'TRAD-Presentation'!D12,IF(Presentation!$D$2="Français",'TRAD-Presentation'!E12,""))</f>
        <v>feuille 1 Présentation</v>
      </c>
      <c r="D12" s="1623" t="s">
        <v>1327</v>
      </c>
      <c r="E12" s="1623" t="s">
        <v>1328</v>
      </c>
    </row>
    <row r="13" spans="2:7" s="1623" customFormat="1" x14ac:dyDescent="0.2">
      <c r="B13" s="1631" t="str">
        <f>IF(Presentation!$D$2="Anglais",'TRAD-Presentation'!D13,IF(Presentation!$D$2="Français",'TRAD-Presentation'!E13,""))</f>
        <v>feuilles 2 à 5: Saisie de données</v>
      </c>
      <c r="D13" s="1623" t="s">
        <v>474</v>
      </c>
      <c r="E13" s="1623" t="s">
        <v>791</v>
      </c>
    </row>
    <row r="14" spans="2:7" s="1623" customFormat="1" x14ac:dyDescent="0.2">
      <c r="B14" s="1631" t="str">
        <f>IF(Presentation!$D$2="Anglais",'TRAD-Presentation'!D14,IF(Presentation!$D$2="Français",'TRAD-Presentation'!E14,""))</f>
        <v>Données générales</v>
      </c>
      <c r="D14" s="1623" t="s">
        <v>408</v>
      </c>
      <c r="E14" s="1623" t="s">
        <v>1329</v>
      </c>
    </row>
    <row r="15" spans="2:7" s="1623" customFormat="1" x14ac:dyDescent="0.2">
      <c r="B15" s="1631" t="str">
        <f>IF(Presentation!$D$2="Anglais",'TRAD-Presentation'!D15,IF(Presentation!$D$2="Français",'TRAD-Presentation'!E15,""))</f>
        <v>Données sur PEC Adultes</v>
      </c>
      <c r="D15" s="1623" t="s">
        <v>1330</v>
      </c>
      <c r="E15" s="1623" t="s">
        <v>1331</v>
      </c>
    </row>
    <row r="16" spans="2:7" s="1623" customFormat="1" ht="30" x14ac:dyDescent="0.2">
      <c r="B16" s="1631" t="str">
        <f>IF(Presentation!$D$2="Anglais",'TRAD-Presentation'!D16,IF(Presentation!$D$2="Français",'TRAD-Presentation'!E16,""))</f>
        <v>Evolution du nombre de patients adultes sous ARV sur la période</v>
      </c>
      <c r="D16" s="1623" t="s">
        <v>1447</v>
      </c>
      <c r="E16" s="1623" t="s">
        <v>1332</v>
      </c>
    </row>
    <row r="17" spans="2:5" s="1623" customFormat="1" x14ac:dyDescent="0.2">
      <c r="B17" s="1631" t="str">
        <f>IF(Presentation!$D$2="Anglais",'TRAD-Presentation'!D17,IF(Presentation!$D$2="Français",'TRAD-Presentation'!E17,""))</f>
        <v>Données et hypothèses adultes</v>
      </c>
      <c r="D17" s="1623" t="s">
        <v>409</v>
      </c>
      <c r="E17" s="1623" t="s">
        <v>1333</v>
      </c>
    </row>
    <row r="18" spans="2:5" s="1623" customFormat="1" x14ac:dyDescent="0.2">
      <c r="B18" s="1631" t="str">
        <f>IF(Presentation!$D$2="Anglais",'TRAD-Presentation'!D18,IF(Presentation!$D$2="Français",'TRAD-Presentation'!E18,""))</f>
        <v>Données sur PEC Enfants</v>
      </c>
      <c r="D18" s="1623" t="s">
        <v>1334</v>
      </c>
      <c r="E18" s="1623" t="s">
        <v>1335</v>
      </c>
    </row>
    <row r="19" spans="2:5" s="1623" customFormat="1" ht="30" x14ac:dyDescent="0.2">
      <c r="B19" s="1631" t="str">
        <f>IF(Presentation!$D$2="Anglais",'TRAD-Presentation'!D19,IF(Presentation!$D$2="Français",'TRAD-Presentation'!E19,""))</f>
        <v>Evolution du nombre de patients enfants sous ARV sur la période</v>
      </c>
      <c r="D19" s="1623" t="s">
        <v>1448</v>
      </c>
      <c r="E19" s="1623" t="s">
        <v>1336</v>
      </c>
    </row>
    <row r="20" spans="2:5" s="1623" customFormat="1" x14ac:dyDescent="0.2">
      <c r="B20" s="1631" t="str">
        <f>IF(Presentation!$D$2="Anglais",'TRAD-Presentation'!D20,IF(Presentation!$D$2="Français",'TRAD-Presentation'!E20,""))</f>
        <v>Données et hypothèses enfants</v>
      </c>
      <c r="D20" s="1623" t="s">
        <v>410</v>
      </c>
      <c r="E20" s="1623" t="s">
        <v>1337</v>
      </c>
    </row>
    <row r="21" spans="2:5" s="1623" customFormat="1" x14ac:dyDescent="0.2">
      <c r="B21" s="1631" t="str">
        <f>IF(Presentation!$D$2="Anglais",'TRAD-Presentation'!D21,IF(Presentation!$D$2="Français",'TRAD-Presentation'!E21,""))</f>
        <v>Données de stocks disponibles</v>
      </c>
      <c r="D21" s="1623" t="s">
        <v>1338</v>
      </c>
      <c r="E21" s="1623" t="s">
        <v>1339</v>
      </c>
    </row>
    <row r="22" spans="2:5" s="1623" customFormat="1" x14ac:dyDescent="0.2">
      <c r="B22" s="1631" t="str">
        <f>IF(Presentation!$D$2="Anglais",'TRAD-Presentation'!E22,IF(Presentation!$D$2="Français",'TRAD-Presentation'!D22,""))</f>
        <v>1 sheet : calculation for the 2nd switch needs</v>
      </c>
      <c r="D22" s="1623" t="s">
        <v>1587</v>
      </c>
      <c r="E22" s="1623" t="s">
        <v>1586</v>
      </c>
    </row>
    <row r="23" spans="2:5" s="1623" customFormat="1" x14ac:dyDescent="0.2">
      <c r="B23" s="1631" t="str">
        <f>IF(Presentation!$D$2="Anglais",'TRAD-Presentation'!D23,IF(Presentation!$D$2="Français",'TRAD-Presentation'!E23,""))</f>
        <v>5 feuilles : Calculs annuels Adultes</v>
      </c>
      <c r="D23" s="1623" t="s">
        <v>711</v>
      </c>
      <c r="E23" s="1623" t="s">
        <v>795</v>
      </c>
    </row>
    <row r="24" spans="2:5" s="1623" customFormat="1" x14ac:dyDescent="0.2">
      <c r="B24" s="1631" t="str">
        <f>IF(Presentation!$D$2="Anglais",'TRAD-Presentation'!D24,IF(Presentation!$D$2="Français",'TRAD-Presentation'!E24,""))</f>
        <v xml:space="preserve"> ces onglets sont masqués</v>
      </c>
      <c r="D24" s="1623" t="s">
        <v>1449</v>
      </c>
      <c r="E24" s="1623" t="s">
        <v>792</v>
      </c>
    </row>
    <row r="25" spans="2:5" s="1623" customFormat="1" x14ac:dyDescent="0.2">
      <c r="B25" s="1631" t="str">
        <f>IF(Presentation!$D$2="Anglais",'TRAD-Presentation'!D25,IF(Presentation!$D$2="Français",'TRAD-Presentation'!E25,""))</f>
        <v>Adultes An1</v>
      </c>
      <c r="D25" s="1623" t="s">
        <v>475</v>
      </c>
      <c r="E25" s="1623" t="s">
        <v>760</v>
      </c>
    </row>
    <row r="26" spans="2:5" s="1623" customFormat="1" x14ac:dyDescent="0.2">
      <c r="B26" s="1631" t="str">
        <f>IF(Presentation!$D$2="Anglais",'TRAD-Presentation'!D26,IF(Presentation!$D$2="Français",'TRAD-Presentation'!E26,""))</f>
        <v>Adultes An2</v>
      </c>
      <c r="D26" s="1623" t="s">
        <v>476</v>
      </c>
      <c r="E26" s="1623" t="s">
        <v>761</v>
      </c>
    </row>
    <row r="27" spans="2:5" s="1623" customFormat="1" x14ac:dyDescent="0.2">
      <c r="B27" s="1631" t="str">
        <f>IF(Presentation!$D$2="Anglais",'TRAD-Presentation'!D27,IF(Presentation!$D$2="Français",'TRAD-Presentation'!E27,""))</f>
        <v>Adultes An3</v>
      </c>
      <c r="D27" s="1623" t="s">
        <v>477</v>
      </c>
      <c r="E27" s="1623" t="s">
        <v>762</v>
      </c>
    </row>
    <row r="28" spans="2:5" s="1623" customFormat="1" x14ac:dyDescent="0.2">
      <c r="B28" s="1631" t="str">
        <f>IF(Presentation!$D$2="Anglais",'TRAD-Presentation'!D28,IF(Presentation!$D$2="Français",'TRAD-Presentation'!E28,""))</f>
        <v>caps</v>
      </c>
      <c r="D28" s="1623" t="s">
        <v>1483</v>
      </c>
      <c r="E28" s="1623" t="s">
        <v>1481</v>
      </c>
    </row>
    <row r="29" spans="2:5" s="1623" customFormat="1" x14ac:dyDescent="0.2">
      <c r="B29" s="1631" t="str">
        <f>IF(Presentation!$D$2="Anglais",'TRAD-Presentation'!D29,IF(Presentation!$D$2="Français",'TRAD-Presentation'!E29,""))</f>
        <v>Adultes An4</v>
      </c>
      <c r="D29" s="1623" t="s">
        <v>478</v>
      </c>
      <c r="E29" s="1623" t="s">
        <v>763</v>
      </c>
    </row>
    <row r="30" spans="2:5" s="1623" customFormat="1" x14ac:dyDescent="0.2">
      <c r="B30" s="1631" t="str">
        <f>IF(Presentation!$D$2="Anglais",'TRAD-Presentation'!D30,IF(Presentation!$D$2="Français",'TRAD-Presentation'!E30,""))</f>
        <v>Adultes An5</v>
      </c>
      <c r="D30" s="1623" t="s">
        <v>479</v>
      </c>
      <c r="E30" s="1623" t="s">
        <v>764</v>
      </c>
    </row>
    <row r="31" spans="2:5" s="1623" customFormat="1" x14ac:dyDescent="0.2">
      <c r="B31" s="1631" t="str">
        <f>IF(Presentation!$D$2="Anglais",'TRAD-Presentation'!D31,IF(Presentation!$D$2="Français",'TRAD-Presentation'!E31,""))</f>
        <v>Enfants An1</v>
      </c>
      <c r="D31" s="1623" t="s">
        <v>480</v>
      </c>
      <c r="E31" s="1623" t="s">
        <v>765</v>
      </c>
    </row>
    <row r="32" spans="2:5" s="1623" customFormat="1" x14ac:dyDescent="0.2">
      <c r="B32" s="1631" t="str">
        <f>IF(Presentation!$D$2="Anglais",'TRAD-Presentation'!D32,IF(Presentation!$D$2="Français",'TRAD-Presentation'!E32,""))</f>
        <v>Enfants An2</v>
      </c>
      <c r="D32" s="1623" t="s">
        <v>481</v>
      </c>
      <c r="E32" s="1623" t="s">
        <v>766</v>
      </c>
    </row>
    <row r="33" spans="2:5" s="1623" customFormat="1" x14ac:dyDescent="0.2">
      <c r="B33" s="1631" t="str">
        <f>IF(Presentation!$D$2="Anglais",'TRAD-Presentation'!D33,IF(Presentation!$D$2="Français",'TRAD-Presentation'!E33,""))</f>
        <v>Enfants An3</v>
      </c>
      <c r="D33" s="1623" t="s">
        <v>482</v>
      </c>
      <c r="E33" s="1623" t="s">
        <v>767</v>
      </c>
    </row>
    <row r="34" spans="2:5" s="1623" customFormat="1" x14ac:dyDescent="0.2">
      <c r="B34" s="1631" t="str">
        <f>IF(Presentation!$D$2="Anglais",'TRAD-Presentation'!D34,IF(Presentation!$D$2="Français",'TRAD-Presentation'!E34,""))</f>
        <v>Enfants An4</v>
      </c>
      <c r="D34" s="1623" t="s">
        <v>483</v>
      </c>
      <c r="E34" s="1623" t="s">
        <v>768</v>
      </c>
    </row>
    <row r="35" spans="2:5" s="1623" customFormat="1" x14ac:dyDescent="0.2">
      <c r="B35" s="1631" t="str">
        <f>IF(Presentation!$D$2="Anglais",'TRAD-Presentation'!D35,IF(Presentation!$D$2="Français",'TRAD-Presentation'!E35,""))</f>
        <v>Enfants An5</v>
      </c>
      <c r="D35" s="1623" t="s">
        <v>484</v>
      </c>
      <c r="E35" s="1623" t="s">
        <v>769</v>
      </c>
    </row>
    <row r="36" spans="2:5" s="1623" customFormat="1" x14ac:dyDescent="0.2">
      <c r="B36" s="1631" t="str">
        <f>IF(Presentation!$D$2="Anglais",'TRAD-Presentation'!D36,IF(Presentation!$D$2="Français",'TRAD-Presentation'!E36,""))</f>
        <v>5 feuilles : Calculs annuels Enfants</v>
      </c>
      <c r="D36" s="1623" t="s">
        <v>712</v>
      </c>
      <c r="E36" s="1623" t="s">
        <v>794</v>
      </c>
    </row>
    <row r="37" spans="2:5" s="1623" customFormat="1" x14ac:dyDescent="0.2">
      <c r="B37" s="1631" t="str">
        <f>IF(Presentation!$D$2="Anglais",'TRAD-Presentation'!D37,IF(Presentation!$D$2="Français",'TRAD-Presentation'!E37,""))</f>
        <v xml:space="preserve"> ces onglets sont masqués</v>
      </c>
      <c r="D37" s="1623" t="s">
        <v>710</v>
      </c>
      <c r="E37" s="1623" t="s">
        <v>792</v>
      </c>
    </row>
    <row r="38" spans="2:5" s="1623" customFormat="1" x14ac:dyDescent="0.2">
      <c r="B38" s="1631" t="str">
        <f>IF(Presentation!$D$2="Anglais",'TRAD-Presentation'!D38,IF(Presentation!$D$2="Français",'TRAD-Presentation'!E38,""))</f>
        <v xml:space="preserve">feuille 6:  Synthèse PEC adultes </v>
      </c>
      <c r="D38" s="1623" t="s">
        <v>547</v>
      </c>
      <c r="E38" s="1623" t="s">
        <v>802</v>
      </c>
    </row>
    <row r="39" spans="2:5" s="1623" customFormat="1" x14ac:dyDescent="0.2">
      <c r="B39" s="1631" t="str">
        <f>IF(Presentation!$D$2="Anglais",'TRAD-Presentation'!D39,IF(Presentation!$D$2="Français",'TRAD-Presentation'!E39,""))</f>
        <v>Synthèse 1 &amp; Synthèse 2</v>
      </c>
      <c r="D39" s="1623" t="s">
        <v>548</v>
      </c>
      <c r="E39" s="1623" t="s">
        <v>770</v>
      </c>
    </row>
    <row r="40" spans="2:5" s="1623" customFormat="1" x14ac:dyDescent="0.2">
      <c r="B40" s="1631" t="str">
        <f>IF(Presentation!$D$2="Anglais",'TRAD-Presentation'!D40,IF(Presentation!$D$2="Français",'TRAD-Presentation'!E40,""))</f>
        <v>feuille 7: Synthèse PEC adultes</v>
      </c>
      <c r="D40" s="1623" t="s">
        <v>713</v>
      </c>
      <c r="E40" s="1623" t="s">
        <v>1340</v>
      </c>
    </row>
    <row r="41" spans="2:5" s="1623" customFormat="1" x14ac:dyDescent="0.2">
      <c r="B41" s="1631" t="str">
        <f>IF(Presentation!$D$2="Anglais",'TRAD-Presentation'!D41,IF(Presentation!$D$2="Français",'TRAD-Presentation'!E41,""))</f>
        <v>Synthèse 3 &amp; Synthèse 4</v>
      </c>
      <c r="D41" s="1623" t="s">
        <v>549</v>
      </c>
      <c r="E41" s="1623" t="s">
        <v>771</v>
      </c>
    </row>
    <row r="42" spans="2:5" s="1623" customFormat="1" x14ac:dyDescent="0.2">
      <c r="B42" s="1631" t="str">
        <f>IF(Presentation!$D$2="Anglais",'TRAD-Presentation'!D42,IF(Presentation!$D$2="Français",'TRAD-Presentation'!E42,""))</f>
        <v xml:space="preserve">feuille  8: Synthèse globale PEC ARV </v>
      </c>
      <c r="D42" s="1623" t="s">
        <v>714</v>
      </c>
      <c r="E42" s="1623" t="s">
        <v>793</v>
      </c>
    </row>
    <row r="43" spans="2:5" s="1623" customFormat="1" x14ac:dyDescent="0.2">
      <c r="B43" s="1631" t="str">
        <f>IF(Presentation!$D$2="Anglais",'TRAD-Presentation'!D43,IF(Presentation!$D$2="Français",'TRAD-Presentation'!E43,""))</f>
        <v>Synthèse 5 Quantités &amp; prix</v>
      </c>
      <c r="D43" s="1623" t="s">
        <v>550</v>
      </c>
      <c r="E43" s="1623" t="s">
        <v>772</v>
      </c>
    </row>
    <row r="44" spans="2:5" s="1623" customFormat="1" x14ac:dyDescent="0.2">
      <c r="B44" s="1631" t="str">
        <f>IF(Presentation!$D$2="Anglais",'TRAD-Presentation'!D44,IF(Presentation!$D$2="Français",'TRAD-Presentation'!E44,""))</f>
        <v>feuille 9: Prix</v>
      </c>
      <c r="D44" s="1623" t="s">
        <v>715</v>
      </c>
      <c r="E44" s="1623" t="s">
        <v>1341</v>
      </c>
    </row>
    <row r="45" spans="2:5" s="1623" customFormat="1" x14ac:dyDescent="0.2">
      <c r="B45" s="1631" t="str">
        <f>IF(Presentation!$D$2="Anglais",'TRAD-Presentation'!D45,IF(Presentation!$D$2="Français",'TRAD-Presentation'!E45,""))</f>
        <v>Prix provenant du rapport du GPRM d'octobre 2011</v>
      </c>
      <c r="D45" s="1623" t="s">
        <v>716</v>
      </c>
      <c r="E45" s="1623" t="s">
        <v>796</v>
      </c>
    </row>
    <row r="46" spans="2:5" s="1623" customFormat="1" x14ac:dyDescent="0.2">
      <c r="B46" s="1631" t="str">
        <f>IF(Presentation!$D$2="Anglais",'TRAD-Presentation'!D46,IF(Presentation!$D$2="Français",'TRAD-Presentation'!E46,""))</f>
        <v>Méthode</v>
      </c>
      <c r="D46" s="1623" t="s">
        <v>542</v>
      </c>
      <c r="E46" s="1623" t="s">
        <v>797</v>
      </c>
    </row>
    <row r="47" spans="2:5" s="1623" customFormat="1" ht="45" x14ac:dyDescent="0.2">
      <c r="B47" s="1631" t="str">
        <f>IF(Presentation!$D$2="Anglais",'TRAD-Presentation'!D47,IF(Presentation!$D$2="Français",'TRAD-Presentation'!E47,""))</f>
        <v>La méthode de calcul utilisée ici est uniquement basée sur la morbidité : nombre de patients / schéma thérapeutique et nombre de nouveux patients / schéma</v>
      </c>
      <c r="D47" s="1623" t="s">
        <v>1500</v>
      </c>
      <c r="E47" s="1623" t="s">
        <v>773</v>
      </c>
    </row>
    <row r="48" spans="2:5" s="1623" customFormat="1" x14ac:dyDescent="0.2">
      <c r="B48" s="1631" t="str">
        <f>IF(Presentation!$D$2="Anglais",'TRAD-Presentation'!D48,IF(Presentation!$D$2="Français",'TRAD-Presentation'!E48,""))</f>
        <v>Première étape</v>
      </c>
      <c r="D48" s="1623" t="s">
        <v>411</v>
      </c>
      <c r="E48" s="1623" t="s">
        <v>774</v>
      </c>
    </row>
    <row r="49" spans="2:5" s="1623" customFormat="1" ht="30" x14ac:dyDescent="0.2">
      <c r="B49" s="1631" t="str">
        <f>IF(Presentation!$D$2="Anglais",'TRAD-Presentation'!D49,IF(Presentation!$D$2="Français",'TRAD-Presentation'!E49,""))</f>
        <v>spécifier les données dans les tableaux des onglets verts de saisie de données</v>
      </c>
      <c r="D49" s="1623" t="s">
        <v>551</v>
      </c>
      <c r="E49" s="1623" t="s">
        <v>775</v>
      </c>
    </row>
    <row r="50" spans="2:5" s="1623" customFormat="1" ht="30" x14ac:dyDescent="0.2">
      <c r="B50" s="1631" t="str">
        <f>IF(Presentation!$D$2="Anglais",'TRAD-Presentation'!D50,IF(Presentation!$D$2="Français",'TRAD-Presentation'!E50,""))</f>
        <v>Les données sont à remplir dans les cases vertes des feuilles avec onglets verts</v>
      </c>
      <c r="D50" s="1623" t="s">
        <v>1450</v>
      </c>
      <c r="E50" s="1623" t="s">
        <v>776</v>
      </c>
    </row>
    <row r="51" spans="2:5" s="1623" customFormat="1" ht="30" x14ac:dyDescent="0.2">
      <c r="B51" s="1631" t="str">
        <f>IF(Presentation!$D$2="Anglais",'TRAD-Presentation'!D51,IF(Presentation!$D$2="Français",'TRAD-Presentation'!E51,""))</f>
        <v>Les données dans des cellules oranges correspondent à des données remplies dans des feuilles précédentes</v>
      </c>
      <c r="D51" s="1623" t="s">
        <v>552</v>
      </c>
      <c r="E51" s="1623" t="s">
        <v>777</v>
      </c>
    </row>
    <row r="52" spans="2:5" s="1623" customFormat="1" ht="75" x14ac:dyDescent="0.2">
      <c r="B52" s="1631" t="str">
        <f>IF(Presentation!$D$2="Anglais",'TRAD-Presentation'!D52,IF(Presentation!$D$2="Français",'TRAD-Presentation'!E52,""))</f>
        <v>Si vous souhaitez tenir compte des stocks, il est possible de le faire. 
Ces données sont prises en compte dans l'onglet final 'Synthèse globale quantité prix', uniquement pour les 2 premières années.</v>
      </c>
      <c r="D52" s="1623" t="s">
        <v>553</v>
      </c>
      <c r="E52" s="1623" t="s">
        <v>778</v>
      </c>
    </row>
    <row r="53" spans="2:5" s="1623" customFormat="1" x14ac:dyDescent="0.2">
      <c r="B53" s="1631" t="str">
        <f>IF(Presentation!$D$2="Anglais",'TRAD-Presentation'!D53,IF(Presentation!$D$2="Français",'TRAD-Presentation'!E53,""))</f>
        <v>Deuxième étape</v>
      </c>
      <c r="D53" s="1623" t="s">
        <v>412</v>
      </c>
      <c r="E53" s="1623" t="s">
        <v>779</v>
      </c>
    </row>
    <row r="54" spans="2:5" s="1623" customFormat="1" ht="30" x14ac:dyDescent="0.2">
      <c r="B54" s="1631" t="str">
        <f>IF(Presentation!$D$2="Anglais",'TRAD-Presentation'!D54,IF(Presentation!$D$2="Français",'TRAD-Presentation'!E54,""))</f>
        <v>lire les résultats dans les tableaux de synthèse des onglets oranges</v>
      </c>
      <c r="D54" s="1623" t="s">
        <v>555</v>
      </c>
      <c r="E54" s="1623" t="s">
        <v>780</v>
      </c>
    </row>
    <row r="55" spans="2:5" s="1623" customFormat="1" ht="45" x14ac:dyDescent="0.2">
      <c r="B55" s="1631" t="str">
        <f>IF(Presentation!$D$2="Anglais",'TRAD-Presentation'!D55,IF(Presentation!$D$2="Français",'TRAD-Presentation'!E55,""))</f>
        <v>Les pages sont paramétrées pour être imprimées. Il est également possible d'utiliser l'option 'Save as pdf' si disponible. (voir http://www.microsoft.com/downloads)</v>
      </c>
      <c r="D55" s="1623" t="s">
        <v>554</v>
      </c>
      <c r="E55" s="1623" t="s">
        <v>781</v>
      </c>
    </row>
    <row r="56" spans="2:5" s="1623" customFormat="1" x14ac:dyDescent="0.2">
      <c r="B56" s="1631" t="str">
        <f>IF(Presentation!$D$2="Anglais",'TRAD-Presentation'!D56,IF(Presentation!$D$2="Français",'TRAD-Presentation'!E56,""))</f>
        <v xml:space="preserve">Commentaires </v>
      </c>
      <c r="D56" s="1623" t="s">
        <v>413</v>
      </c>
      <c r="E56" s="1623" t="s">
        <v>798</v>
      </c>
    </row>
    <row r="57" spans="2:5" s="1623" customFormat="1" ht="30" x14ac:dyDescent="0.2">
      <c r="B57" s="1631" t="str">
        <f>IF(Presentation!$D$2="Anglais",'TRAD-Presentation'!D57,IF(Presentation!$D$2="Français",'TRAD-Presentation'!E57,""))</f>
        <v>Les résultats tiennent compte de toutes les données entrées et de tous les paramètres sélectionnés.</v>
      </c>
      <c r="D57" s="1623" t="s">
        <v>556</v>
      </c>
      <c r="E57" s="1623" t="s">
        <v>799</v>
      </c>
    </row>
    <row r="58" spans="2:5" s="1623" customFormat="1" ht="45" x14ac:dyDescent="0.2">
      <c r="B58" s="1631" t="str">
        <f>IF(Presentation!$D$2="Anglais",'TRAD-Presentation'!D58,IF(Presentation!$D$2="Français",'TRAD-Presentation'!E58,""))</f>
        <v>Dans l'onglet formule, assurez vous que dans 'Options de calcul', les calculs soient automatisés. Cela peut totalement fausser vos résultats.</v>
      </c>
      <c r="D58" s="1623" t="s">
        <v>485</v>
      </c>
      <c r="E58" s="1623" t="s">
        <v>782</v>
      </c>
    </row>
    <row r="59" spans="2:5" s="1623" customFormat="1" ht="30" x14ac:dyDescent="0.2">
      <c r="B59" s="1631" t="str">
        <f>IF(Presentation!$D$2="Anglais",'TRAD-Presentation'!D59,IF(Presentation!$D$2="Français",'TRAD-Presentation'!E59,""))</f>
        <v>Attention, il est nécessaire d'ajouter à ces quantités les besoins en ARV des activités de PTME et de PEC des AES</v>
      </c>
      <c r="D59" s="1623" t="s">
        <v>557</v>
      </c>
      <c r="E59" s="1623" t="s">
        <v>783</v>
      </c>
    </row>
    <row r="60" spans="2:5" s="1623" customFormat="1" ht="45" x14ac:dyDescent="0.2">
      <c r="B60" s="1631" t="str">
        <f>IF(Presentation!$D$2="Anglais",'TRAD-Presentation'!D60,IF(Presentation!$D$2="Français",'TRAD-Presentation'!E60,""))</f>
        <v>Malgré l'attention que nous avons pu mettre dans cet outil, il est possible qu'une erreur s'y soit glissée. Merci de nous en faire part !</v>
      </c>
      <c r="D60" s="1623" t="s">
        <v>543</v>
      </c>
      <c r="E60" s="1623" t="s">
        <v>784</v>
      </c>
    </row>
    <row r="61" spans="2:5" s="1623" customFormat="1" ht="30" x14ac:dyDescent="0.2">
      <c r="B61" s="1631" t="str">
        <f>IF(Presentation!$D$2="Anglais",'TRAD-Presentation'!D61,IF(Presentation!$D$2="Français",'TRAD-Presentation'!E61,""))</f>
        <v>Cet outil fait l'objet d'une licence libre de type Creative Commons (http://creativecommons.org/)</v>
      </c>
      <c r="D61" s="1623" t="s">
        <v>473</v>
      </c>
      <c r="E61" s="1623" t="s">
        <v>785</v>
      </c>
    </row>
    <row r="62" spans="2:5" s="1623" customFormat="1" ht="30" x14ac:dyDescent="0.2">
      <c r="B62" s="1631" t="str">
        <f>IF(Presentation!$D$2="Anglais",'TRAD-Presentation'!D62,IF(Presentation!$D$2="Français",'TRAD-Presentation'!E62,""))</f>
        <v xml:space="preserve">L'utilisation et la copie de cet outil sont libres dans la mesure où : </v>
      </c>
      <c r="D62" s="1789" t="s">
        <v>800</v>
      </c>
      <c r="E62" s="1789" t="s">
        <v>1501</v>
      </c>
    </row>
    <row r="63" spans="2:5" s="1623" customFormat="1" x14ac:dyDescent="0.2">
      <c r="B63" s="1631" t="str">
        <f>IF(Presentation!$D$2="Anglais",'TRAD-Presentation'!D63,IF(Presentation!$D$2="Français",'TRAD-Presentation'!E63,""))</f>
        <v xml:space="preserve">1. L'outil est utilisé dans un but non lucratif  </v>
      </c>
      <c r="D63" s="1789" t="s">
        <v>1502</v>
      </c>
      <c r="E63" s="1789" t="s">
        <v>1503</v>
      </c>
    </row>
    <row r="64" spans="2:5" s="1623" customFormat="1" ht="30" x14ac:dyDescent="0.2">
      <c r="B64" s="1631" t="str">
        <f>IF(Presentation!$D$2="Anglais",'TRAD-Presentation'!D64,IF(Presentation!$D$2="Français",'TRAD-Presentation'!E64,""))</f>
        <v>2. Il sert à atteindre l'objectif pour lequel il a été crée : améliorer la disponibilité des traitements antirétroviraux</v>
      </c>
      <c r="D64" s="1789" t="s">
        <v>487</v>
      </c>
      <c r="E64" s="1789" t="s">
        <v>801</v>
      </c>
    </row>
    <row r="65" spans="2:5" s="1623" customFormat="1" ht="30" x14ac:dyDescent="0.2">
      <c r="B65" s="1631" t="str">
        <f>IF(Presentation!$D$2="Anglais",'TRAD-Presentation'!D65,IF(Presentation!$D$2="Français",'TRAD-Presentation'!E65,""))</f>
        <v>3. L'utilisateur reconnaît que l'outil a été initialement développé par Solthis</v>
      </c>
      <c r="D65" s="1789" t="s">
        <v>488</v>
      </c>
      <c r="E65" s="1789" t="s">
        <v>786</v>
      </c>
    </row>
    <row r="66" spans="2:5" s="1623" customFormat="1" ht="30" x14ac:dyDescent="0.2">
      <c r="B66" s="1631" t="str">
        <f>IF(Presentation!$D$2="Anglais",'TRAD-Presentation'!D66,IF(Presentation!$D$2="Français",'TRAD-Presentation'!E66,""))</f>
        <v>Pour toutes modifications et adaptations de l'outil, contactez-nous.</v>
      </c>
      <c r="D66" s="1789" t="s">
        <v>489</v>
      </c>
      <c r="E66" s="1789" t="s">
        <v>1504</v>
      </c>
    </row>
    <row r="67" spans="2:5" s="1623" customFormat="1" x14ac:dyDescent="0.2">
      <c r="B67" s="1631" t="str">
        <f>IF(Presentation!$D$2="Anglais",'TRAD-Presentation'!D67,IF(Presentation!$D$2="Français",'TRAD-Presentation'!E67,""))</f>
        <v xml:space="preserve">Pour toute questions et commentaires, contacter Solthis : </v>
      </c>
      <c r="D67" s="1789" t="s">
        <v>486</v>
      </c>
      <c r="E67" s="1789" t="s">
        <v>787</v>
      </c>
    </row>
    <row r="68" spans="2:5" s="1623" customFormat="1" x14ac:dyDescent="0.2"/>
    <row r="69" spans="2:5" s="1623" customFormat="1" x14ac:dyDescent="0.2"/>
    <row r="70" spans="2:5" s="1623" customFormat="1" x14ac:dyDescent="0.2"/>
    <row r="71" spans="2:5" s="1623" customFormat="1" x14ac:dyDescent="0.2">
      <c r="E71" s="1789"/>
    </row>
    <row r="72" spans="2:5" s="1623" customFormat="1" x14ac:dyDescent="0.2">
      <c r="E72" s="1789"/>
    </row>
    <row r="73" spans="2:5" s="1623" customFormat="1" x14ac:dyDescent="0.2">
      <c r="E73" s="1789"/>
    </row>
    <row r="74" spans="2:5" s="1623" customFormat="1" x14ac:dyDescent="0.2">
      <c r="E74" s="1789"/>
    </row>
    <row r="75" spans="2:5" s="1623" customFormat="1" x14ac:dyDescent="0.2">
      <c r="E75" s="1789"/>
    </row>
    <row r="76" spans="2:5" s="1623" customFormat="1" x14ac:dyDescent="0.2">
      <c r="E76" s="1789"/>
    </row>
    <row r="77" spans="2:5" s="1623" customFormat="1" x14ac:dyDescent="0.2">
      <c r="E77" s="1789"/>
    </row>
    <row r="78" spans="2:5" s="1623" customFormat="1" x14ac:dyDescent="0.2">
      <c r="E78" s="1789"/>
    </row>
    <row r="79" spans="2:5" s="1623" customFormat="1" x14ac:dyDescent="0.2">
      <c r="E79" s="1789"/>
    </row>
    <row r="80" spans="2:5" s="1623" customFormat="1" x14ac:dyDescent="0.2">
      <c r="E80" s="1789"/>
    </row>
    <row r="81" spans="5:5" s="1623" customFormat="1" x14ac:dyDescent="0.2">
      <c r="E81" s="1789"/>
    </row>
    <row r="82" spans="5:5" s="1623" customFormat="1" x14ac:dyDescent="0.2">
      <c r="E82" s="1789"/>
    </row>
    <row r="83" spans="5:5" s="1623" customFormat="1" x14ac:dyDescent="0.2"/>
    <row r="84" spans="5:5" s="1623" customFormat="1" x14ac:dyDescent="0.2"/>
    <row r="85" spans="5:5" s="1623" customFormat="1" x14ac:dyDescent="0.2"/>
    <row r="86" spans="5:5" s="1623" customFormat="1" x14ac:dyDescent="0.2"/>
    <row r="87" spans="5:5" s="1623" customFormat="1" x14ac:dyDescent="0.2"/>
    <row r="88" spans="5:5" s="1623" customFormat="1" x14ac:dyDescent="0.2"/>
    <row r="89" spans="5:5" s="1623" customFormat="1" x14ac:dyDescent="0.2"/>
    <row r="90" spans="5:5" s="1623" customFormat="1" x14ac:dyDescent="0.2"/>
    <row r="91" spans="5:5" s="1623" customFormat="1" x14ac:dyDescent="0.2"/>
    <row r="92" spans="5:5" s="1623" customFormat="1" x14ac:dyDescent="0.2"/>
    <row r="93" spans="5:5" s="1623" customFormat="1" x14ac:dyDescent="0.2"/>
    <row r="94" spans="5:5" s="1623" customFormat="1" x14ac:dyDescent="0.2"/>
    <row r="95" spans="5:5" s="1623" customFormat="1" x14ac:dyDescent="0.2"/>
    <row r="96" spans="5:5" s="1623" customFormat="1" x14ac:dyDescent="0.2"/>
    <row r="97" s="1623" customFormat="1" x14ac:dyDescent="0.2"/>
    <row r="98" s="1623" customFormat="1" x14ac:dyDescent="0.2"/>
    <row r="99" s="1623" customFormat="1" x14ac:dyDescent="0.2"/>
    <row r="100" s="1623" customFormat="1" x14ac:dyDescent="0.2"/>
    <row r="101" s="1623" customFormat="1" x14ac:dyDescent="0.2"/>
    <row r="102" s="1623" customFormat="1" x14ac:dyDescent="0.2"/>
    <row r="103" s="1623" customFormat="1" x14ac:dyDescent="0.2"/>
    <row r="104" s="1623" customFormat="1" x14ac:dyDescent="0.2"/>
    <row r="105" s="1623" customFormat="1" x14ac:dyDescent="0.2"/>
    <row r="106" s="1623" customFormat="1" x14ac:dyDescent="0.2"/>
    <row r="107" s="1623" customFormat="1" x14ac:dyDescent="0.2"/>
    <row r="108" s="1623" customFormat="1" x14ac:dyDescent="0.2"/>
    <row r="109" s="1623" customFormat="1" x14ac:dyDescent="0.2"/>
    <row r="110" s="1623" customFormat="1" x14ac:dyDescent="0.2"/>
    <row r="111" s="1623" customFormat="1" x14ac:dyDescent="0.2"/>
    <row r="112" s="1623" customFormat="1" x14ac:dyDescent="0.2"/>
    <row r="113" s="1623" customFormat="1" x14ac:dyDescent="0.2"/>
    <row r="114" s="1623" customFormat="1" x14ac:dyDescent="0.2"/>
    <row r="115" s="1623" customFormat="1" x14ac:dyDescent="0.2"/>
    <row r="116" s="1623" customFormat="1" x14ac:dyDescent="0.2"/>
    <row r="117" s="1623" customFormat="1" x14ac:dyDescent="0.2"/>
    <row r="118" s="1623" customFormat="1" x14ac:dyDescent="0.2"/>
    <row r="119" s="1623" customFormat="1" x14ac:dyDescent="0.2"/>
    <row r="120" s="1623" customFormat="1" x14ac:dyDescent="0.2"/>
    <row r="121" s="1623" customFormat="1" x14ac:dyDescent="0.2"/>
    <row r="122" s="1623" customFormat="1" x14ac:dyDescent="0.2"/>
    <row r="123" s="1623" customFormat="1" x14ac:dyDescent="0.2"/>
    <row r="124" s="1623" customFormat="1" x14ac:dyDescent="0.2"/>
    <row r="125" s="1623" customFormat="1" x14ac:dyDescent="0.2"/>
    <row r="126" s="1623" customFormat="1" x14ac:dyDescent="0.2"/>
    <row r="127" s="1623" customFormat="1" x14ac:dyDescent="0.2"/>
    <row r="128" s="1623" customFormat="1" x14ac:dyDescent="0.2"/>
    <row r="129" s="1623" customFormat="1" x14ac:dyDescent="0.2"/>
    <row r="130" s="1623" customFormat="1" x14ac:dyDescent="0.2"/>
    <row r="131" s="1623" customFormat="1" x14ac:dyDescent="0.2"/>
    <row r="132" s="1623" customFormat="1" x14ac:dyDescent="0.2"/>
    <row r="133" s="1623" customFormat="1" x14ac:dyDescent="0.2"/>
    <row r="134" s="1623" customFormat="1" x14ac:dyDescent="0.2"/>
    <row r="135" s="1623" customFormat="1" x14ac:dyDescent="0.2"/>
    <row r="136" s="1623" customFormat="1" x14ac:dyDescent="0.2"/>
    <row r="137" s="1623" customFormat="1" x14ac:dyDescent="0.2"/>
    <row r="138" s="1623" customFormat="1" x14ac:dyDescent="0.2"/>
    <row r="139" s="1623" customFormat="1" x14ac:dyDescent="0.2"/>
    <row r="140" s="1623" customFormat="1" x14ac:dyDescent="0.2"/>
    <row r="141" s="1623" customFormat="1" x14ac:dyDescent="0.2"/>
    <row r="142" s="1623" customFormat="1" x14ac:dyDescent="0.2"/>
    <row r="143" s="1623" customFormat="1" x14ac:dyDescent="0.2"/>
    <row r="144" s="1623" customFormat="1" x14ac:dyDescent="0.2"/>
    <row r="145" s="1623" customFormat="1" x14ac:dyDescent="0.2"/>
    <row r="146" s="1623" customFormat="1" x14ac:dyDescent="0.2"/>
    <row r="147" s="1623" customFormat="1" x14ac:dyDescent="0.2"/>
    <row r="148" s="1623" customFormat="1" x14ac:dyDescent="0.2"/>
    <row r="149" s="1623" customFormat="1" x14ac:dyDescent="0.2"/>
    <row r="150" s="1623" customFormat="1" x14ac:dyDescent="0.2"/>
    <row r="151" s="1623" customFormat="1" x14ac:dyDescent="0.2"/>
    <row r="152" s="1623" customFormat="1" x14ac:dyDescent="0.2"/>
    <row r="153" s="1623" customFormat="1" x14ac:dyDescent="0.2"/>
    <row r="154" s="1623" customFormat="1" x14ac:dyDescent="0.2"/>
    <row r="155" s="1623" customFormat="1" x14ac:dyDescent="0.2"/>
    <row r="156" s="1623" customFormat="1" x14ac:dyDescent="0.2"/>
    <row r="157" s="1623" customFormat="1" x14ac:dyDescent="0.2"/>
    <row r="158" s="1623" customFormat="1" x14ac:dyDescent="0.2"/>
    <row r="159" s="1623" customFormat="1" x14ac:dyDescent="0.2"/>
    <row r="160" s="1623" customFormat="1" x14ac:dyDescent="0.2"/>
    <row r="161" s="1623" customFormat="1" x14ac:dyDescent="0.2"/>
    <row r="162" s="1623" customFormat="1" x14ac:dyDescent="0.2"/>
    <row r="163" s="1623" customFormat="1" x14ac:dyDescent="0.2"/>
    <row r="164" s="1623" customFormat="1" x14ac:dyDescent="0.2"/>
    <row r="165" s="1623" customFormat="1" x14ac:dyDescent="0.2"/>
    <row r="166" s="1623" customFormat="1" x14ac:dyDescent="0.2"/>
    <row r="167" s="1623" customFormat="1" x14ac:dyDescent="0.2"/>
    <row r="168" s="1623" customFormat="1" x14ac:dyDescent="0.2"/>
    <row r="169" s="1623" customFormat="1" x14ac:dyDescent="0.2"/>
    <row r="170" s="1623" customFormat="1" x14ac:dyDescent="0.2"/>
    <row r="171" s="1623" customFormat="1" x14ac:dyDescent="0.2"/>
    <row r="172" s="1623" customFormat="1" x14ac:dyDescent="0.2"/>
    <row r="173" s="1623" customFormat="1" x14ac:dyDescent="0.2"/>
    <row r="174" s="1623" customFormat="1" x14ac:dyDescent="0.2"/>
    <row r="175" s="1623" customFormat="1" x14ac:dyDescent="0.2"/>
    <row r="176" s="1623" customFormat="1" x14ac:dyDescent="0.2"/>
    <row r="177" s="1623" customFormat="1" x14ac:dyDescent="0.2"/>
    <row r="178" s="1623" customFormat="1" x14ac:dyDescent="0.2"/>
    <row r="179" s="1623" customFormat="1" x14ac:dyDescent="0.2"/>
    <row r="180" s="1623" customFormat="1" x14ac:dyDescent="0.2"/>
    <row r="181" s="1623" customFormat="1" x14ac:dyDescent="0.2"/>
    <row r="182" s="1623" customFormat="1" x14ac:dyDescent="0.2"/>
    <row r="183" s="1623" customFormat="1" x14ac:dyDescent="0.2"/>
    <row r="184" s="1623" customFormat="1" x14ac:dyDescent="0.2"/>
    <row r="185" s="1623" customFormat="1" x14ac:dyDescent="0.2"/>
    <row r="186" s="1623" customFormat="1" x14ac:dyDescent="0.2"/>
    <row r="187" s="1623" customFormat="1" x14ac:dyDescent="0.2"/>
    <row r="188" s="1623" customFormat="1" x14ac:dyDescent="0.2"/>
    <row r="189" s="1623" customFormat="1" x14ac:dyDescent="0.2"/>
    <row r="190" s="1623" customFormat="1" x14ac:dyDescent="0.2"/>
    <row r="191" s="1623" customFormat="1" x14ac:dyDescent="0.2"/>
    <row r="192" s="1623" customFormat="1" x14ac:dyDescent="0.2"/>
    <row r="193" s="1623" customFormat="1" x14ac:dyDescent="0.2"/>
    <row r="194" s="1623" customFormat="1" x14ac:dyDescent="0.2"/>
    <row r="195" s="1623" customFormat="1" x14ac:dyDescent="0.2"/>
    <row r="196" s="1623" customFormat="1" x14ac:dyDescent="0.2"/>
    <row r="197" s="1623" customFormat="1" x14ac:dyDescent="0.2"/>
    <row r="198" s="1623" customFormat="1" x14ac:dyDescent="0.2"/>
    <row r="199" s="1623" customFormat="1" x14ac:dyDescent="0.2"/>
    <row r="200" s="1623" customFormat="1" x14ac:dyDescent="0.2"/>
    <row r="201" s="1623" customFormat="1" x14ac:dyDescent="0.2"/>
    <row r="202" s="1623" customFormat="1" x14ac:dyDescent="0.2"/>
    <row r="203" s="1623" customFormat="1" x14ac:dyDescent="0.2"/>
    <row r="204" s="1623" customFormat="1" x14ac:dyDescent="0.2"/>
    <row r="205" s="1623" customFormat="1" x14ac:dyDescent="0.2"/>
    <row r="206" s="1623" customFormat="1" x14ac:dyDescent="0.2"/>
    <row r="207" s="1623" customFormat="1" x14ac:dyDescent="0.2"/>
    <row r="208" s="1623" customFormat="1" x14ac:dyDescent="0.2"/>
    <row r="209" s="1623" customFormat="1" x14ac:dyDescent="0.2"/>
    <row r="210" s="1623" customFormat="1" x14ac:dyDescent="0.2"/>
    <row r="211" s="1623" customFormat="1" x14ac:dyDescent="0.2"/>
    <row r="212" s="1623" customFormat="1" x14ac:dyDescent="0.2"/>
    <row r="213" s="1623" customFormat="1" x14ac:dyDescent="0.2"/>
    <row r="214" s="1623" customFormat="1" x14ac:dyDescent="0.2"/>
    <row r="215" s="1623" customFormat="1" x14ac:dyDescent="0.2"/>
    <row r="216" s="1623" customFormat="1" x14ac:dyDescent="0.2"/>
    <row r="217" s="1623" customFormat="1" x14ac:dyDescent="0.2"/>
    <row r="218" s="1623" customFormat="1" x14ac:dyDescent="0.2"/>
    <row r="219" s="1623" customFormat="1" x14ac:dyDescent="0.2"/>
    <row r="220" s="1623" customFormat="1" x14ac:dyDescent="0.2"/>
    <row r="221" s="1623" customFormat="1" x14ac:dyDescent="0.2"/>
    <row r="222" s="1623" customFormat="1" x14ac:dyDescent="0.2"/>
    <row r="223" s="1623" customFormat="1" x14ac:dyDescent="0.2"/>
    <row r="224" s="1623" customFormat="1" x14ac:dyDescent="0.2"/>
    <row r="225" s="1623" customFormat="1" x14ac:dyDescent="0.2"/>
    <row r="226" s="1623" customFormat="1" x14ac:dyDescent="0.2"/>
    <row r="227" s="1623" customFormat="1" x14ac:dyDescent="0.2"/>
    <row r="228" s="1623" customFormat="1" x14ac:dyDescent="0.2"/>
    <row r="229" s="1623" customFormat="1" x14ac:dyDescent="0.2"/>
    <row r="230" s="1623" customFormat="1" x14ac:dyDescent="0.2"/>
    <row r="231" s="1623" customFormat="1" x14ac:dyDescent="0.2"/>
    <row r="232" s="1623" customFormat="1" x14ac:dyDescent="0.2"/>
    <row r="233" s="1623" customFormat="1" x14ac:dyDescent="0.2"/>
    <row r="234" s="1623" customFormat="1" x14ac:dyDescent="0.2"/>
    <row r="235" s="1623" customFormat="1" x14ac:dyDescent="0.2"/>
    <row r="236" s="1623" customFormat="1" x14ac:dyDescent="0.2"/>
    <row r="237" s="1623" customFormat="1" x14ac:dyDescent="0.2"/>
    <row r="238" s="1623" customFormat="1" x14ac:dyDescent="0.2"/>
    <row r="239" s="1623" customFormat="1" x14ac:dyDescent="0.2"/>
    <row r="240" s="1623" customFormat="1" x14ac:dyDescent="0.2"/>
    <row r="241" s="1623" customFormat="1" x14ac:dyDescent="0.2"/>
    <row r="242" s="1623" customFormat="1" x14ac:dyDescent="0.2"/>
    <row r="243" s="1623" customFormat="1" x14ac:dyDescent="0.2"/>
    <row r="244" s="1623" customFormat="1" x14ac:dyDescent="0.2"/>
    <row r="245" s="1623" customFormat="1" x14ac:dyDescent="0.2"/>
    <row r="246" s="1623" customFormat="1" x14ac:dyDescent="0.2"/>
    <row r="247" s="1623" customFormat="1" x14ac:dyDescent="0.2"/>
    <row r="248" s="1623" customFormat="1" x14ac:dyDescent="0.2"/>
    <row r="249" s="1623" customFormat="1" x14ac:dyDescent="0.2"/>
    <row r="250" s="1623" customFormat="1" x14ac:dyDescent="0.2"/>
    <row r="251" s="1623" customFormat="1" x14ac:dyDescent="0.2"/>
    <row r="252" s="1623" customFormat="1" x14ac:dyDescent="0.2"/>
    <row r="253" s="1623" customFormat="1" x14ac:dyDescent="0.2"/>
    <row r="254" s="1623" customFormat="1" x14ac:dyDescent="0.2"/>
    <row r="255" s="1623" customFormat="1" x14ac:dyDescent="0.2"/>
    <row r="256" s="1623" customFormat="1" x14ac:dyDescent="0.2"/>
    <row r="257" s="1623" customFormat="1" x14ac:dyDescent="0.2"/>
    <row r="258" s="1623" customFormat="1" x14ac:dyDescent="0.2"/>
    <row r="259" s="1623" customFormat="1" x14ac:dyDescent="0.2"/>
    <row r="260" s="1623" customFormat="1" x14ac:dyDescent="0.2"/>
    <row r="261" s="1623" customFormat="1" x14ac:dyDescent="0.2"/>
    <row r="262" s="1623" customFormat="1" x14ac:dyDescent="0.2"/>
    <row r="263" s="1623" customFormat="1" x14ac:dyDescent="0.2"/>
    <row r="264" s="1623" customFormat="1" x14ac:dyDescent="0.2"/>
    <row r="265" s="1623" customFormat="1" x14ac:dyDescent="0.2"/>
    <row r="266" s="1623" customFormat="1" x14ac:dyDescent="0.2"/>
    <row r="267" s="1623" customFormat="1" x14ac:dyDescent="0.2"/>
    <row r="268" s="1623" customFormat="1" x14ac:dyDescent="0.2"/>
    <row r="269" s="1623" customFormat="1" x14ac:dyDescent="0.2"/>
    <row r="270" s="1623" customFormat="1" x14ac:dyDescent="0.2"/>
    <row r="271" s="1623" customFormat="1" x14ac:dyDescent="0.2"/>
    <row r="272" s="1623" customFormat="1" x14ac:dyDescent="0.2"/>
    <row r="273" s="1623" customFormat="1" x14ac:dyDescent="0.2"/>
    <row r="274" s="1623" customFormat="1" x14ac:dyDescent="0.2"/>
    <row r="275" s="1623" customFormat="1" x14ac:dyDescent="0.2"/>
    <row r="276" s="1623" customFormat="1" x14ac:dyDescent="0.2"/>
    <row r="277" s="1623" customFormat="1" x14ac:dyDescent="0.2"/>
    <row r="278" s="1623" customFormat="1" x14ac:dyDescent="0.2"/>
    <row r="279" s="1623" customFormat="1" x14ac:dyDescent="0.2"/>
    <row r="280" s="1623" customFormat="1" x14ac:dyDescent="0.2"/>
    <row r="281" s="1623" customFormat="1" x14ac:dyDescent="0.2"/>
    <row r="282" s="1623" customFormat="1" x14ac:dyDescent="0.2"/>
    <row r="283" s="1623" customFormat="1" x14ac:dyDescent="0.2"/>
    <row r="284" s="1623" customFormat="1" x14ac:dyDescent="0.2"/>
    <row r="285" s="1623" customFormat="1" x14ac:dyDescent="0.2"/>
    <row r="286" s="1623" customFormat="1" x14ac:dyDescent="0.2"/>
    <row r="287" s="1623" customFormat="1" x14ac:dyDescent="0.2"/>
    <row r="288" s="1623" customFormat="1" x14ac:dyDescent="0.2"/>
    <row r="289" s="1623" customFormat="1" x14ac:dyDescent="0.2"/>
    <row r="290" s="1623" customFormat="1" x14ac:dyDescent="0.2"/>
    <row r="291" s="1623" customFormat="1" x14ac:dyDescent="0.2"/>
    <row r="292" s="1623" customFormat="1" x14ac:dyDescent="0.2"/>
    <row r="293" s="1623" customFormat="1" x14ac:dyDescent="0.2"/>
    <row r="294" s="1623" customFormat="1" x14ac:dyDescent="0.2"/>
    <row r="295" s="1623" customFormat="1" x14ac:dyDescent="0.2"/>
    <row r="296" s="1623" customFormat="1" x14ac:dyDescent="0.2"/>
    <row r="297" s="1623" customFormat="1" x14ac:dyDescent="0.2"/>
    <row r="298" s="1623" customFormat="1" x14ac:dyDescent="0.2"/>
    <row r="299" s="1623" customFormat="1" x14ac:dyDescent="0.2"/>
    <row r="300" s="1623" customFormat="1" x14ac:dyDescent="0.2"/>
    <row r="301" s="1623" customFormat="1" x14ac:dyDescent="0.2"/>
    <row r="302" s="1623" customFormat="1" x14ac:dyDescent="0.2"/>
    <row r="303" s="1623" customFormat="1" x14ac:dyDescent="0.2"/>
    <row r="304" s="1623" customFormat="1" x14ac:dyDescent="0.2"/>
    <row r="305" s="1623" customFormat="1" x14ac:dyDescent="0.2"/>
    <row r="306" s="1623" customFormat="1" x14ac:dyDescent="0.2"/>
    <row r="307" s="1623" customFormat="1" x14ac:dyDescent="0.2"/>
    <row r="308" s="1623" customFormat="1" x14ac:dyDescent="0.2"/>
    <row r="309" s="1623" customFormat="1" x14ac:dyDescent="0.2"/>
    <row r="310" s="1623" customFormat="1" x14ac:dyDescent="0.2"/>
    <row r="311" s="1623" customFormat="1" x14ac:dyDescent="0.2"/>
    <row r="312" s="1623" customFormat="1" x14ac:dyDescent="0.2"/>
    <row r="313" s="1623" customFormat="1" x14ac:dyDescent="0.2"/>
    <row r="314" s="1623" customFormat="1" x14ac:dyDescent="0.2"/>
    <row r="315" s="1623" customFormat="1" x14ac:dyDescent="0.2"/>
    <row r="316" s="1623" customFormat="1" x14ac:dyDescent="0.2"/>
    <row r="317" s="1623" customFormat="1" x14ac:dyDescent="0.2"/>
    <row r="318" s="1623" customFormat="1" x14ac:dyDescent="0.2"/>
    <row r="319" s="1623" customFormat="1" x14ac:dyDescent="0.2"/>
    <row r="320" s="1623" customFormat="1" x14ac:dyDescent="0.2"/>
    <row r="321" s="1623" customFormat="1" x14ac:dyDescent="0.2"/>
    <row r="322" s="1623" customFormat="1" x14ac:dyDescent="0.2"/>
    <row r="323" s="1623" customFormat="1" x14ac:dyDescent="0.2"/>
    <row r="324" s="1623" customFormat="1" x14ac:dyDescent="0.2"/>
    <row r="325" s="1623" customFormat="1" x14ac:dyDescent="0.2"/>
    <row r="326" s="1623" customFormat="1" x14ac:dyDescent="0.2"/>
    <row r="327" s="1623" customFormat="1" x14ac:dyDescent="0.2"/>
    <row r="328" s="1623" customFormat="1" x14ac:dyDescent="0.2"/>
    <row r="329" s="1623" customFormat="1" x14ac:dyDescent="0.2"/>
    <row r="330" s="1623" customFormat="1" x14ac:dyDescent="0.2"/>
    <row r="331" s="1623" customFormat="1" x14ac:dyDescent="0.2"/>
    <row r="332" s="1623" customFormat="1" x14ac:dyDescent="0.2"/>
    <row r="333" s="1623" customFormat="1" x14ac:dyDescent="0.2"/>
    <row r="334" s="1623" customFormat="1" x14ac:dyDescent="0.2"/>
    <row r="335" s="1623" customFormat="1" x14ac:dyDescent="0.2"/>
    <row r="336" s="1623" customFormat="1" x14ac:dyDescent="0.2"/>
    <row r="337" s="1623" customFormat="1" x14ac:dyDescent="0.2"/>
    <row r="338" s="1623" customFormat="1" x14ac:dyDescent="0.2"/>
    <row r="339" s="1623" customFormat="1" x14ac:dyDescent="0.2"/>
    <row r="340" s="1623" customFormat="1" x14ac:dyDescent="0.2"/>
    <row r="341" s="1623" customFormat="1" x14ac:dyDescent="0.2"/>
    <row r="342" s="1623" customFormat="1" x14ac:dyDescent="0.2"/>
    <row r="343" s="1623" customFormat="1" x14ac:dyDescent="0.2"/>
    <row r="344" s="1623" customFormat="1" x14ac:dyDescent="0.2"/>
    <row r="345" s="1623" customFormat="1" x14ac:dyDescent="0.2"/>
    <row r="346" s="1623" customFormat="1" x14ac:dyDescent="0.2"/>
    <row r="347" s="1623" customFormat="1" x14ac:dyDescent="0.2"/>
    <row r="348" s="1623" customFormat="1" x14ac:dyDescent="0.2"/>
    <row r="349" s="1623" customFormat="1" x14ac:dyDescent="0.2"/>
    <row r="350" s="1623" customFormat="1" x14ac:dyDescent="0.2"/>
    <row r="351" s="1623" customFormat="1" x14ac:dyDescent="0.2"/>
    <row r="352" s="1623" customFormat="1" x14ac:dyDescent="0.2"/>
    <row r="353" s="1623" customFormat="1" x14ac:dyDescent="0.2"/>
    <row r="354" s="1623" customFormat="1" x14ac:dyDescent="0.2"/>
    <row r="355" s="1623" customFormat="1" x14ac:dyDescent="0.2"/>
    <row r="356" s="1623" customFormat="1" x14ac:dyDescent="0.2"/>
    <row r="357" s="1623" customFormat="1" x14ac:dyDescent="0.2"/>
    <row r="358" s="1623" customFormat="1" x14ac:dyDescent="0.2"/>
    <row r="359" s="1623" customFormat="1" x14ac:dyDescent="0.2"/>
    <row r="360" s="1623" customFormat="1" x14ac:dyDescent="0.2"/>
    <row r="361" s="1623" customFormat="1" x14ac:dyDescent="0.2"/>
    <row r="362" s="1623" customFormat="1" x14ac:dyDescent="0.2"/>
    <row r="363" s="1623" customFormat="1" x14ac:dyDescent="0.2"/>
    <row r="364" s="1623" customFormat="1" x14ac:dyDescent="0.2"/>
    <row r="365" s="1623" customFormat="1" x14ac:dyDescent="0.2"/>
    <row r="366" s="1623" customFormat="1" x14ac:dyDescent="0.2"/>
    <row r="367" s="1623" customFormat="1" x14ac:dyDescent="0.2"/>
    <row r="368" s="1623" customFormat="1" x14ac:dyDescent="0.2"/>
    <row r="369" s="1623" customFormat="1" x14ac:dyDescent="0.2"/>
    <row r="370" s="1623" customFormat="1" x14ac:dyDescent="0.2"/>
    <row r="371" s="1623" customFormat="1" x14ac:dyDescent="0.2"/>
    <row r="372" s="1623" customFormat="1" x14ac:dyDescent="0.2"/>
    <row r="373" s="1623" customFormat="1" x14ac:dyDescent="0.2"/>
    <row r="374" s="1623" customFormat="1" x14ac:dyDescent="0.2"/>
    <row r="375" s="1623" customFormat="1" x14ac:dyDescent="0.2"/>
    <row r="376" s="1623" customFormat="1" x14ac:dyDescent="0.2"/>
    <row r="377" s="1623" customFormat="1" x14ac:dyDescent="0.2"/>
    <row r="378" s="1623" customFormat="1" x14ac:dyDescent="0.2"/>
    <row r="379" s="1623" customFormat="1" x14ac:dyDescent="0.2"/>
    <row r="380" s="1623" customFormat="1" x14ac:dyDescent="0.2"/>
    <row r="381" s="1623" customFormat="1" x14ac:dyDescent="0.2"/>
    <row r="382" s="1623" customFormat="1" x14ac:dyDescent="0.2"/>
    <row r="383" s="1623" customFormat="1" x14ac:dyDescent="0.2"/>
    <row r="384" s="1623" customFormat="1" x14ac:dyDescent="0.2"/>
    <row r="385" s="1623" customFormat="1" x14ac:dyDescent="0.2"/>
    <row r="386" s="1623" customFormat="1" x14ac:dyDescent="0.2"/>
    <row r="387" s="1623" customFormat="1" x14ac:dyDescent="0.2"/>
    <row r="388" s="1623" customFormat="1" x14ac:dyDescent="0.2"/>
    <row r="389" s="1623" customFormat="1" x14ac:dyDescent="0.2"/>
    <row r="390" s="1623" customFormat="1" x14ac:dyDescent="0.2"/>
    <row r="391" s="1623" customFormat="1" x14ac:dyDescent="0.2"/>
    <row r="392" s="1623" customFormat="1" x14ac:dyDescent="0.2"/>
    <row r="393" s="1623" customFormat="1" x14ac:dyDescent="0.2"/>
    <row r="394" s="1623" customFormat="1" x14ac:dyDescent="0.2"/>
    <row r="395" s="1623" customFormat="1" x14ac:dyDescent="0.2"/>
    <row r="396" s="1623" customFormat="1" x14ac:dyDescent="0.2"/>
    <row r="397" s="1623" customFormat="1" x14ac:dyDescent="0.2"/>
    <row r="398" s="1623" customFormat="1" x14ac:dyDescent="0.2"/>
    <row r="399" s="1623" customFormat="1" x14ac:dyDescent="0.2"/>
    <row r="400" s="1623" customFormat="1" x14ac:dyDescent="0.2"/>
    <row r="401" s="1623" customFormat="1" x14ac:dyDescent="0.2"/>
    <row r="402" s="1623" customFormat="1" x14ac:dyDescent="0.2"/>
    <row r="403" s="1623" customFormat="1" x14ac:dyDescent="0.2"/>
    <row r="404" s="1623" customFormat="1" x14ac:dyDescent="0.2"/>
    <row r="405" s="1623" customFormat="1" x14ac:dyDescent="0.2"/>
    <row r="406" s="1623" customFormat="1" x14ac:dyDescent="0.2"/>
    <row r="407" s="1623" customFormat="1" x14ac:dyDescent="0.2"/>
    <row r="408" s="1623" customFormat="1" x14ac:dyDescent="0.2"/>
    <row r="409" s="1623" customFormat="1" x14ac:dyDescent="0.2"/>
    <row r="410" s="1623" customFormat="1" x14ac:dyDescent="0.2"/>
    <row r="411" s="1623" customFormat="1" x14ac:dyDescent="0.2"/>
    <row r="412" s="1623" customFormat="1" x14ac:dyDescent="0.2"/>
    <row r="413" s="1623" customFormat="1" x14ac:dyDescent="0.2"/>
    <row r="414" s="1623" customFormat="1" x14ac:dyDescent="0.2"/>
    <row r="415" s="1623" customFormat="1" x14ac:dyDescent="0.2"/>
    <row r="416" s="1623" customFormat="1" x14ac:dyDescent="0.2"/>
    <row r="417" s="1623" customFormat="1" x14ac:dyDescent="0.2"/>
    <row r="418" s="1623" customFormat="1" x14ac:dyDescent="0.2"/>
    <row r="419" s="1623" customFormat="1" x14ac:dyDescent="0.2"/>
    <row r="420" s="1623" customFormat="1" x14ac:dyDescent="0.2"/>
    <row r="421" s="1623" customFormat="1" x14ac:dyDescent="0.2"/>
    <row r="422" s="1623" customFormat="1" x14ac:dyDescent="0.2"/>
    <row r="423" s="1623" customFormat="1" x14ac:dyDescent="0.2"/>
    <row r="424" s="1623" customFormat="1" x14ac:dyDescent="0.2"/>
    <row r="425" s="1623" customFormat="1" x14ac:dyDescent="0.2"/>
    <row r="426" s="1623" customFormat="1" x14ac:dyDescent="0.2"/>
    <row r="427" s="1623" customFormat="1" x14ac:dyDescent="0.2"/>
    <row r="428" s="1623" customFormat="1" x14ac:dyDescent="0.2"/>
    <row r="429" s="1623" customFormat="1" x14ac:dyDescent="0.2"/>
    <row r="430" s="1623" customFormat="1" x14ac:dyDescent="0.2"/>
    <row r="431" s="1623" customFormat="1" x14ac:dyDescent="0.2"/>
    <row r="432" s="1623" customFormat="1" x14ac:dyDescent="0.2"/>
    <row r="433" s="1623" customFormat="1" x14ac:dyDescent="0.2"/>
    <row r="434" s="1623" customFormat="1" x14ac:dyDescent="0.2"/>
    <row r="435" s="1623" customFormat="1" x14ac:dyDescent="0.2"/>
    <row r="436" s="1623" customFormat="1" x14ac:dyDescent="0.2"/>
    <row r="437" s="1623" customFormat="1" x14ac:dyDescent="0.2"/>
    <row r="438" s="1623" customFormat="1" x14ac:dyDescent="0.2"/>
    <row r="439" s="1623" customFormat="1" x14ac:dyDescent="0.2"/>
    <row r="440" s="1623" customFormat="1" x14ac:dyDescent="0.2"/>
    <row r="441" s="1623" customFormat="1" x14ac:dyDescent="0.2"/>
    <row r="442" s="1623" customFormat="1" x14ac:dyDescent="0.2"/>
    <row r="443" s="1623" customFormat="1" x14ac:dyDescent="0.2"/>
    <row r="444" s="1623" customFormat="1" x14ac:dyDescent="0.2"/>
    <row r="445" s="1623" customFormat="1" x14ac:dyDescent="0.2"/>
    <row r="446" s="1623" customFormat="1" x14ac:dyDescent="0.2"/>
    <row r="447" s="1623" customFormat="1" x14ac:dyDescent="0.2"/>
    <row r="448" s="1623" customFormat="1" x14ac:dyDescent="0.2"/>
    <row r="449" s="1623" customFormat="1" x14ac:dyDescent="0.2"/>
    <row r="450" s="1623" customFormat="1" x14ac:dyDescent="0.2"/>
    <row r="451" s="1623" customFormat="1" x14ac:dyDescent="0.2"/>
    <row r="452" s="1623" customFormat="1" x14ac:dyDescent="0.2"/>
    <row r="453" s="1623" customFormat="1" x14ac:dyDescent="0.2"/>
    <row r="454" s="1623" customFormat="1" x14ac:dyDescent="0.2"/>
    <row r="455" s="1623" customFormat="1" x14ac:dyDescent="0.2"/>
    <row r="456" s="1623" customFormat="1" x14ac:dyDescent="0.2"/>
    <row r="457" s="1623" customFormat="1" x14ac:dyDescent="0.2"/>
    <row r="458" s="1623" customFormat="1" x14ac:dyDescent="0.2"/>
    <row r="459" s="1623" customFormat="1" x14ac:dyDescent="0.2"/>
    <row r="460" s="1623" customFormat="1" x14ac:dyDescent="0.2"/>
    <row r="461" s="1623" customFormat="1" x14ac:dyDescent="0.2"/>
    <row r="462" s="1623" customFormat="1" x14ac:dyDescent="0.2"/>
    <row r="463" s="1623" customFormat="1" x14ac:dyDescent="0.2"/>
    <row r="464" s="1623" customFormat="1" x14ac:dyDescent="0.2"/>
    <row r="465" s="1623" customFormat="1" x14ac:dyDescent="0.2"/>
    <row r="466" s="1623" customFormat="1" x14ac:dyDescent="0.2"/>
    <row r="467" s="1623" customFormat="1" x14ac:dyDescent="0.2"/>
    <row r="468" s="1623" customFormat="1" x14ac:dyDescent="0.2"/>
    <row r="469" s="1623" customFormat="1" x14ac:dyDescent="0.2"/>
    <row r="470" s="1623" customFormat="1" x14ac:dyDescent="0.2"/>
    <row r="471" s="1623" customFormat="1" x14ac:dyDescent="0.2"/>
    <row r="472" s="1623" customFormat="1" x14ac:dyDescent="0.2"/>
    <row r="473" s="1623" customFormat="1" x14ac:dyDescent="0.2"/>
    <row r="474" s="1623" customFormat="1" x14ac:dyDescent="0.2"/>
    <row r="475" s="1623" customFormat="1" x14ac:dyDescent="0.2"/>
    <row r="476" s="1623" customFormat="1" x14ac:dyDescent="0.2"/>
    <row r="477" s="1623" customFormat="1" x14ac:dyDescent="0.2"/>
    <row r="478" s="1623" customFormat="1" x14ac:dyDescent="0.2"/>
    <row r="479" s="1623" customFormat="1" x14ac:dyDescent="0.2"/>
    <row r="480" s="1623" customFormat="1" x14ac:dyDescent="0.2"/>
    <row r="481" s="1623" customFormat="1" x14ac:dyDescent="0.2"/>
    <row r="482" s="1623" customFormat="1" x14ac:dyDescent="0.2"/>
    <row r="483" s="1623" customFormat="1" x14ac:dyDescent="0.2"/>
    <row r="484" s="1623" customFormat="1" x14ac:dyDescent="0.2"/>
    <row r="485" s="1623" customFormat="1" x14ac:dyDescent="0.2"/>
    <row r="486" s="1623" customFormat="1" x14ac:dyDescent="0.2"/>
    <row r="487" s="1623" customFormat="1" x14ac:dyDescent="0.2"/>
    <row r="488" s="1623" customFormat="1" x14ac:dyDescent="0.2"/>
    <row r="489" s="1623" customFormat="1" x14ac:dyDescent="0.2"/>
    <row r="490" s="1623" customFormat="1" x14ac:dyDescent="0.2"/>
    <row r="491" s="1623" customFormat="1" x14ac:dyDescent="0.2"/>
    <row r="492" s="1623" customFormat="1" x14ac:dyDescent="0.2"/>
    <row r="493" s="1623" customFormat="1" x14ac:dyDescent="0.2"/>
    <row r="494" s="1623" customFormat="1" x14ac:dyDescent="0.2"/>
    <row r="495" s="1623" customFormat="1" x14ac:dyDescent="0.2"/>
    <row r="496" s="1623" customFormat="1" x14ac:dyDescent="0.2"/>
    <row r="497" s="1623" customFormat="1" x14ac:dyDescent="0.2"/>
    <row r="498" s="1623" customFormat="1" x14ac:dyDescent="0.2"/>
    <row r="499" s="1623" customFormat="1" x14ac:dyDescent="0.2"/>
    <row r="500" s="1623" customFormat="1" x14ac:dyDescent="0.2"/>
    <row r="501" s="1623" customFormat="1" x14ac:dyDescent="0.2"/>
    <row r="502" s="1623" customFormat="1" x14ac:dyDescent="0.2"/>
    <row r="503" s="1623" customFormat="1" x14ac:dyDescent="0.2"/>
    <row r="504" s="1623" customFormat="1" x14ac:dyDescent="0.2"/>
    <row r="505" s="1623" customFormat="1" x14ac:dyDescent="0.2"/>
    <row r="506" s="1623" customFormat="1" x14ac:dyDescent="0.2"/>
    <row r="507" s="1623" customFormat="1" x14ac:dyDescent="0.2"/>
    <row r="508" s="1623" customFormat="1" x14ac:dyDescent="0.2"/>
    <row r="509" s="1623" customFormat="1" x14ac:dyDescent="0.2"/>
    <row r="510" s="1623" customFormat="1" x14ac:dyDescent="0.2"/>
    <row r="511" s="1623" customFormat="1" x14ac:dyDescent="0.2"/>
    <row r="512" s="1623" customFormat="1" x14ac:dyDescent="0.2"/>
    <row r="513" s="1623" customFormat="1" x14ac:dyDescent="0.2"/>
    <row r="514" s="1623" customFormat="1" x14ac:dyDescent="0.2"/>
    <row r="515" s="1623" customFormat="1" x14ac:dyDescent="0.2"/>
    <row r="516" s="1623" customFormat="1" x14ac:dyDescent="0.2"/>
    <row r="517" s="1623" customFormat="1" x14ac:dyDescent="0.2"/>
    <row r="518" s="1623" customFormat="1" x14ac:dyDescent="0.2"/>
    <row r="519" s="1623" customFormat="1" x14ac:dyDescent="0.2"/>
    <row r="520" s="1623" customFormat="1" x14ac:dyDescent="0.2"/>
    <row r="521" s="1623" customFormat="1" x14ac:dyDescent="0.2"/>
    <row r="522" s="1623" customFormat="1" x14ac:dyDescent="0.2"/>
    <row r="523" s="1623" customFormat="1" x14ac:dyDescent="0.2"/>
    <row r="524" s="1623" customFormat="1" x14ac:dyDescent="0.2"/>
    <row r="525" s="1623" customFormat="1" x14ac:dyDescent="0.2"/>
    <row r="526" s="1623" customFormat="1" x14ac:dyDescent="0.2"/>
    <row r="527" s="1623" customFormat="1" x14ac:dyDescent="0.2"/>
    <row r="528" s="1623" customFormat="1" x14ac:dyDescent="0.2"/>
    <row r="529" s="1623" customFormat="1" x14ac:dyDescent="0.2"/>
    <row r="530" s="1623" customFormat="1" x14ac:dyDescent="0.2"/>
    <row r="531" s="1623" customFormat="1" x14ac:dyDescent="0.2"/>
    <row r="532" s="1623" customFormat="1" x14ac:dyDescent="0.2"/>
    <row r="533" s="1623" customFormat="1" x14ac:dyDescent="0.2"/>
    <row r="534" s="1623" customFormat="1" x14ac:dyDescent="0.2"/>
    <row r="535" s="1623" customFormat="1" x14ac:dyDescent="0.2"/>
    <row r="536" s="1623" customFormat="1" x14ac:dyDescent="0.2"/>
    <row r="537" s="1623" customFormat="1" x14ac:dyDescent="0.2"/>
    <row r="538" s="1623" customFormat="1" x14ac:dyDescent="0.2"/>
    <row r="539" s="1623" customFormat="1" x14ac:dyDescent="0.2"/>
    <row r="540" s="1623" customFormat="1" x14ac:dyDescent="0.2"/>
    <row r="541" s="1623" customFormat="1" x14ac:dyDescent="0.2"/>
    <row r="542" s="1623" customFormat="1" x14ac:dyDescent="0.2"/>
    <row r="543" s="1623" customFormat="1" x14ac:dyDescent="0.2"/>
    <row r="544" s="1623" customFormat="1" x14ac:dyDescent="0.2"/>
    <row r="545" s="1623" customFormat="1" x14ac:dyDescent="0.2"/>
    <row r="546" s="1623" customFormat="1" x14ac:dyDescent="0.2"/>
    <row r="547" s="1623" customFormat="1" x14ac:dyDescent="0.2"/>
    <row r="548" s="1623" customFormat="1" x14ac:dyDescent="0.2"/>
    <row r="549" s="1623" customFormat="1" x14ac:dyDescent="0.2"/>
    <row r="550" s="1623" customFormat="1" x14ac:dyDescent="0.2"/>
    <row r="551" s="1623" customFormat="1" x14ac:dyDescent="0.2"/>
    <row r="552" s="1623" customFormat="1" x14ac:dyDescent="0.2"/>
    <row r="553" s="1623" customFormat="1" x14ac:dyDescent="0.2"/>
    <row r="554" s="1623" customFormat="1" x14ac:dyDescent="0.2"/>
    <row r="555" s="1623" customFormat="1" x14ac:dyDescent="0.2"/>
    <row r="556" s="1623" customFormat="1" x14ac:dyDescent="0.2"/>
    <row r="557" s="1623" customFormat="1" x14ac:dyDescent="0.2"/>
    <row r="558" s="1623" customFormat="1" x14ac:dyDescent="0.2"/>
    <row r="559" s="1623" customFormat="1" x14ac:dyDescent="0.2"/>
    <row r="560" s="1623" customFormat="1" x14ac:dyDescent="0.2"/>
    <row r="561" s="1623" customFormat="1" x14ac:dyDescent="0.2"/>
    <row r="562" s="1623" customFormat="1" x14ac:dyDescent="0.2"/>
    <row r="563" s="1623" customFormat="1" x14ac:dyDescent="0.2"/>
    <row r="564" s="1623" customFormat="1" x14ac:dyDescent="0.2"/>
    <row r="565" s="1623" customFormat="1" x14ac:dyDescent="0.2"/>
    <row r="566" s="1623" customFormat="1" x14ac:dyDescent="0.2"/>
    <row r="567" s="1623" customFormat="1" x14ac:dyDescent="0.2"/>
    <row r="568" s="1623" customFormat="1" x14ac:dyDescent="0.2"/>
    <row r="569" s="1623" customFormat="1" x14ac:dyDescent="0.2"/>
    <row r="570" s="1623" customFormat="1" x14ac:dyDescent="0.2"/>
    <row r="571" s="1623" customFormat="1" x14ac:dyDescent="0.2"/>
    <row r="572" s="1623" customFormat="1" x14ac:dyDescent="0.2"/>
    <row r="573" s="1623" customFormat="1" x14ac:dyDescent="0.2"/>
    <row r="574" s="1623" customFormat="1" x14ac:dyDescent="0.2"/>
    <row r="575" s="1623" customFormat="1" x14ac:dyDescent="0.2"/>
    <row r="576" s="1623" customFormat="1" x14ac:dyDescent="0.2"/>
    <row r="577" s="1623" customFormat="1" x14ac:dyDescent="0.2"/>
    <row r="578" s="1623" customFormat="1" x14ac:dyDescent="0.2"/>
    <row r="579" s="1623" customFormat="1" x14ac:dyDescent="0.2"/>
    <row r="580" s="1623" customFormat="1" x14ac:dyDescent="0.2"/>
    <row r="581" s="1623" customFormat="1" x14ac:dyDescent="0.2"/>
    <row r="582" s="1623" customFormat="1" x14ac:dyDescent="0.2"/>
    <row r="583" s="1623" customFormat="1" x14ac:dyDescent="0.2"/>
    <row r="584" s="1623" customFormat="1" x14ac:dyDescent="0.2"/>
    <row r="585" s="1623" customFormat="1" x14ac:dyDescent="0.2"/>
    <row r="586" s="1623" customFormat="1" x14ac:dyDescent="0.2"/>
    <row r="587" s="1623" customFormat="1" x14ac:dyDescent="0.2"/>
    <row r="588" s="1623" customFormat="1" x14ac:dyDescent="0.2"/>
    <row r="589" s="1623" customFormat="1" x14ac:dyDescent="0.2"/>
    <row r="590" s="1623" customFormat="1" x14ac:dyDescent="0.2"/>
    <row r="591" s="1623" customFormat="1" x14ac:dyDescent="0.2"/>
    <row r="592" s="1623" customFormat="1" x14ac:dyDescent="0.2"/>
    <row r="593" s="1623" customFormat="1" x14ac:dyDescent="0.2"/>
    <row r="594" s="1623" customFormat="1" x14ac:dyDescent="0.2"/>
    <row r="595" s="1623" customFormat="1" x14ac:dyDescent="0.2"/>
    <row r="596" s="1623" customFormat="1" x14ac:dyDescent="0.2"/>
    <row r="597" s="1623" customFormat="1" x14ac:dyDescent="0.2"/>
    <row r="598" s="1623" customFormat="1" x14ac:dyDescent="0.2"/>
    <row r="599" s="1623" customFormat="1" x14ac:dyDescent="0.2"/>
    <row r="600" s="1623" customFormat="1" x14ac:dyDescent="0.2"/>
    <row r="601" s="1623" customFormat="1" x14ac:dyDescent="0.2"/>
    <row r="602" s="1623" customFormat="1" x14ac:dyDescent="0.2"/>
    <row r="603" s="1623" customFormat="1" x14ac:dyDescent="0.2"/>
    <row r="604" s="1623" customFormat="1" x14ac:dyDescent="0.2"/>
    <row r="605" s="1623" customFormat="1" x14ac:dyDescent="0.2"/>
    <row r="606" s="1623" customFormat="1" x14ac:dyDescent="0.2"/>
    <row r="607" s="1623" customFormat="1" x14ac:dyDescent="0.2"/>
    <row r="608" s="1623" customFormat="1" x14ac:dyDescent="0.2"/>
    <row r="609" s="1623" customFormat="1" x14ac:dyDescent="0.2"/>
    <row r="610" s="1623" customFormat="1" x14ac:dyDescent="0.2"/>
    <row r="611" s="1623" customFormat="1" x14ac:dyDescent="0.2"/>
    <row r="612" s="1623" customFormat="1" x14ac:dyDescent="0.2"/>
    <row r="613" s="1623" customFormat="1" x14ac:dyDescent="0.2"/>
    <row r="614" s="1623" customFormat="1" x14ac:dyDescent="0.2"/>
    <row r="615" s="1623" customFormat="1" x14ac:dyDescent="0.2"/>
    <row r="616" s="1623" customFormat="1" x14ac:dyDescent="0.2"/>
    <row r="617" s="1623" customFormat="1" x14ac:dyDescent="0.2"/>
    <row r="618" s="1623" customFormat="1" x14ac:dyDescent="0.2"/>
    <row r="619" s="1623" customFormat="1" x14ac:dyDescent="0.2"/>
    <row r="620" s="1623" customFormat="1" x14ac:dyDescent="0.2"/>
    <row r="621" s="1623" customFormat="1" x14ac:dyDescent="0.2"/>
    <row r="622" s="1623" customFormat="1" x14ac:dyDescent="0.2"/>
    <row r="623" s="1623" customFormat="1" x14ac:dyDescent="0.2"/>
    <row r="624" s="1623" customFormat="1" x14ac:dyDescent="0.2"/>
    <row r="625" s="1623" customFormat="1" x14ac:dyDescent="0.2"/>
    <row r="626" s="1623" customFormat="1" x14ac:dyDescent="0.2"/>
    <row r="627" s="1623" customFormat="1" x14ac:dyDescent="0.2"/>
    <row r="628" s="1623" customFormat="1" x14ac:dyDescent="0.2"/>
    <row r="629" s="1623" customFormat="1" x14ac:dyDescent="0.2"/>
    <row r="630" s="1623" customFormat="1" x14ac:dyDescent="0.2"/>
    <row r="631" s="1623" customFormat="1" x14ac:dyDescent="0.2"/>
    <row r="632" s="1623" customFormat="1" x14ac:dyDescent="0.2"/>
    <row r="633" s="1623" customFormat="1" x14ac:dyDescent="0.2"/>
    <row r="634" s="1623" customFormat="1" x14ac:dyDescent="0.2"/>
    <row r="635" s="1623" customFormat="1" x14ac:dyDescent="0.2"/>
    <row r="636" s="1623" customFormat="1" x14ac:dyDescent="0.2"/>
    <row r="637" s="1623" customFormat="1" x14ac:dyDescent="0.2"/>
    <row r="638" s="1623" customFormat="1" x14ac:dyDescent="0.2"/>
    <row r="639" s="1623" customFormat="1" x14ac:dyDescent="0.2"/>
    <row r="640" s="1623" customFormat="1" x14ac:dyDescent="0.2"/>
    <row r="641" s="1623" customFormat="1" x14ac:dyDescent="0.2"/>
    <row r="642" s="1623" customFormat="1" x14ac:dyDescent="0.2"/>
    <row r="643" s="1623" customFormat="1" x14ac:dyDescent="0.2"/>
    <row r="644" s="1623" customFormat="1" x14ac:dyDescent="0.2"/>
    <row r="645" s="1623" customFormat="1" x14ac:dyDescent="0.2"/>
    <row r="646" s="1623" customFormat="1" x14ac:dyDescent="0.2"/>
    <row r="647" s="1623" customFormat="1" x14ac:dyDescent="0.2"/>
    <row r="648" s="1623" customFormat="1" x14ac:dyDescent="0.2"/>
    <row r="649" s="1623" customFormat="1" x14ac:dyDescent="0.2"/>
    <row r="650" s="1623" customFormat="1" x14ac:dyDescent="0.2"/>
    <row r="651" s="1623" customFormat="1" x14ac:dyDescent="0.2"/>
    <row r="652" s="1623" customFormat="1" x14ac:dyDescent="0.2"/>
    <row r="653" s="1623" customFormat="1" x14ac:dyDescent="0.2"/>
    <row r="654" s="1623" customFormat="1" x14ac:dyDescent="0.2"/>
    <row r="655" s="1623" customFormat="1" x14ac:dyDescent="0.2"/>
    <row r="656" s="1623" customFormat="1" x14ac:dyDescent="0.2"/>
    <row r="657" s="1623" customFormat="1" x14ac:dyDescent="0.2"/>
    <row r="658" s="1623" customFormat="1" x14ac:dyDescent="0.2"/>
    <row r="659" s="1623" customFormat="1" x14ac:dyDescent="0.2"/>
    <row r="660" s="1623" customFormat="1" x14ac:dyDescent="0.2"/>
    <row r="661" s="1623" customFormat="1" x14ac:dyDescent="0.2"/>
    <row r="662" s="1623" customFormat="1" x14ac:dyDescent="0.2"/>
    <row r="663" s="1623" customFormat="1" x14ac:dyDescent="0.2"/>
    <row r="664" s="1623" customFormat="1" x14ac:dyDescent="0.2"/>
    <row r="665" s="1623" customFormat="1" x14ac:dyDescent="0.2"/>
    <row r="666" s="1623" customFormat="1" x14ac:dyDescent="0.2"/>
    <row r="667" s="1623" customFormat="1" x14ac:dyDescent="0.2"/>
    <row r="668" s="1623" customFormat="1" x14ac:dyDescent="0.2"/>
    <row r="669" s="1623" customFormat="1" x14ac:dyDescent="0.2"/>
    <row r="670" s="1623" customFormat="1" x14ac:dyDescent="0.2"/>
    <row r="671" s="1623" customFormat="1" x14ac:dyDescent="0.2"/>
    <row r="672" s="1623" customFormat="1" x14ac:dyDescent="0.2"/>
    <row r="673" s="1623" customFormat="1" x14ac:dyDescent="0.2"/>
    <row r="674" s="1623" customFormat="1" x14ac:dyDescent="0.2"/>
    <row r="675" s="1623" customFormat="1" x14ac:dyDescent="0.2"/>
    <row r="676" s="1623" customFormat="1" x14ac:dyDescent="0.2"/>
    <row r="677" s="1623" customFormat="1" x14ac:dyDescent="0.2"/>
    <row r="678" s="1623" customFormat="1" x14ac:dyDescent="0.2"/>
    <row r="679" s="1623" customFormat="1" x14ac:dyDescent="0.2"/>
    <row r="680" s="1623" customFormat="1" x14ac:dyDescent="0.2"/>
    <row r="681" s="1623" customFormat="1" x14ac:dyDescent="0.2"/>
    <row r="682" s="1623" customFormat="1" x14ac:dyDescent="0.2"/>
    <row r="683" s="1623" customFormat="1" x14ac:dyDescent="0.2"/>
    <row r="684" s="1623" customFormat="1" x14ac:dyDescent="0.2"/>
    <row r="685" s="1623" customFormat="1" x14ac:dyDescent="0.2"/>
    <row r="686" s="1623" customFormat="1" x14ac:dyDescent="0.2"/>
    <row r="687" s="1623" customFormat="1" x14ac:dyDescent="0.2"/>
    <row r="688" s="1623" customFormat="1" x14ac:dyDescent="0.2"/>
    <row r="689" s="1623" customFormat="1" x14ac:dyDescent="0.2"/>
    <row r="690" s="1623" customFormat="1" x14ac:dyDescent="0.2"/>
    <row r="691" s="1623" customFormat="1" x14ac:dyDescent="0.2"/>
    <row r="692" s="1623" customFormat="1" x14ac:dyDescent="0.2"/>
    <row r="693" s="1623" customFormat="1" x14ac:dyDescent="0.2"/>
    <row r="694" s="1623" customFormat="1" x14ac:dyDescent="0.2"/>
    <row r="695" s="1623" customFormat="1" x14ac:dyDescent="0.2"/>
    <row r="696" s="1623" customFormat="1" x14ac:dyDescent="0.2"/>
    <row r="697" s="1623" customFormat="1" x14ac:dyDescent="0.2"/>
    <row r="698" s="1623" customFormat="1" x14ac:dyDescent="0.2"/>
    <row r="699" s="1623" customFormat="1" x14ac:dyDescent="0.2"/>
    <row r="700" s="1623" customFormat="1" x14ac:dyDescent="0.2"/>
    <row r="701" s="1623" customFormat="1" x14ac:dyDescent="0.2"/>
    <row r="702" s="1623" customFormat="1" x14ac:dyDescent="0.2"/>
    <row r="703" s="1623" customFormat="1" x14ac:dyDescent="0.2"/>
    <row r="704" s="1623" customFormat="1" x14ac:dyDescent="0.2"/>
    <row r="705" s="1623" customFormat="1" x14ac:dyDescent="0.2"/>
    <row r="706" s="1623" customFormat="1" x14ac:dyDescent="0.2"/>
    <row r="707" s="1623" customFormat="1" x14ac:dyDescent="0.2"/>
  </sheetData>
  <sheetProtection algorithmName="SHA-512" hashValue="6tJ2A9NP5NkKfs2l6AonZe78cln/M53FZk3n65b41tuVqXfti5ZxSUxjawQz5U1WZmqD1UgXQyiOyGkceqPKTw==" saltValue="6zNmeVhv+w0izqr5XwWrMg==" spinCount="100000" sheet="1" objects="1" scenarios="1"/>
  <pageMargins left="0.7" right="0.7" top="0.75" bottom="0.75" header="0.3" footer="0.3"/>
  <pageSetup paperSize="9" orientation="portrait" verticalDpi="0"/>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tabColor rgb="FF993366"/>
  </sheetPr>
  <dimension ref="A2:AJ490"/>
  <sheetViews>
    <sheetView showGridLines="0" topLeftCell="A466" zoomScale="70" zoomScaleNormal="70" zoomScalePageLayoutView="70" workbookViewId="0">
      <selection activeCell="F473" sqref="F473:F478"/>
    </sheetView>
  </sheetViews>
  <sheetFormatPr baseColWidth="10" defaultColWidth="12" defaultRowHeight="12.75" x14ac:dyDescent="0.2"/>
  <cols>
    <col min="1" max="1" width="15.1640625" style="528" customWidth="1"/>
    <col min="2" max="2" width="20" style="260" customWidth="1"/>
    <col min="3" max="3" width="26.5" style="260" customWidth="1"/>
    <col min="4" max="4" width="16.5" style="260" bestFit="1" customWidth="1"/>
    <col min="5" max="5" width="17.1640625" style="260" bestFit="1" customWidth="1"/>
    <col min="6" max="6" width="15" style="260" customWidth="1"/>
    <col min="7" max="7" width="14.83203125" style="260" customWidth="1"/>
    <col min="8" max="8" width="15.5" style="260" bestFit="1" customWidth="1"/>
    <col min="9" max="9" width="13.1640625" style="260" customWidth="1"/>
    <col min="10" max="10" width="12" style="260"/>
    <col min="11" max="11" width="17.5" style="260" bestFit="1" customWidth="1"/>
    <col min="12" max="16384" width="12" style="260"/>
  </cols>
  <sheetData>
    <row r="2" spans="1:13" s="263" customFormat="1" ht="16.5" thickBot="1" x14ac:dyDescent="0.3">
      <c r="A2" s="2177" t="str">
        <f>'TRAD-Children YEAR(2)'!B2</f>
        <v>Répartition prévue au début de la 1ère année  pour les ENFANTS déjà pris en charge</v>
      </c>
      <c r="B2" s="2177"/>
      <c r="C2" s="2177"/>
      <c r="D2" s="2177"/>
      <c r="E2" s="2177"/>
      <c r="F2" s="2177"/>
      <c r="G2" s="2177"/>
      <c r="H2" s="2177"/>
      <c r="I2" s="2177"/>
      <c r="J2" s="2177"/>
      <c r="K2" s="2177"/>
      <c r="L2" s="2177"/>
      <c r="M2" s="262"/>
    </row>
    <row r="3" spans="1:13" ht="13.5" thickBot="1" x14ac:dyDescent="0.25">
      <c r="A3" s="260"/>
    </row>
    <row r="4" spans="1:13" s="524" customFormat="1" ht="16.5" thickBot="1" x14ac:dyDescent="0.3">
      <c r="B4" s="525" t="str">
        <f>'General Data'!D13</f>
        <v>Année 1</v>
      </c>
      <c r="C4" s="526" t="str">
        <f>'General Data'!E13</f>
        <v>Juillet 2014 - Juin 2015</v>
      </c>
      <c r="D4" s="527"/>
    </row>
    <row r="5" spans="1:13" ht="13.5" thickBot="1" x14ac:dyDescent="0.25"/>
    <row r="6" spans="1:13" s="524" customFormat="1" ht="16.5" thickBot="1" x14ac:dyDescent="0.3">
      <c r="B6" s="898" t="str">
        <f>'TRAD-Children YEAR(1)'!B2</f>
        <v>Période réellement quantifiée :</v>
      </c>
      <c r="C6" s="899"/>
      <c r="D6" s="900" t="str">
        <f>IF('General Data'!G23="NA", "0", 'General Data'!G23)</f>
        <v>12</v>
      </c>
      <c r="E6" s="901" t="str">
        <f>'TRAD-Children YEAR(1)'!B3</f>
        <v>mois</v>
      </c>
      <c r="G6" s="524" t="str">
        <f>'TRAD-Children YEAR(1)'!B4</f>
        <v>Facteur multiplicateur</v>
      </c>
      <c r="I6" s="524">
        <f>D6*(D6+1)/2</f>
        <v>78</v>
      </c>
    </row>
    <row r="7" spans="1:13" s="524" customFormat="1" ht="16.5" thickBot="1" x14ac:dyDescent="0.3">
      <c r="B7" s="898" t="str">
        <f>'TRAD-Children YEAR(1)'!B5</f>
        <v>Période quantifiée + tampon</v>
      </c>
      <c r="C7" s="899"/>
      <c r="D7" s="900">
        <f>D6+'General Data'!$E$30</f>
        <v>15</v>
      </c>
      <c r="E7" s="901" t="str">
        <f>'TRAD-Children YEAR(1)'!B3</f>
        <v>mois</v>
      </c>
      <c r="G7" s="524" t="str">
        <f>'TRAD-Children YEAR(1)'!B4</f>
        <v>Facteur multiplicateur</v>
      </c>
      <c r="I7" s="524">
        <f>D7*(D7+1)/2</f>
        <v>120</v>
      </c>
    </row>
    <row r="8" spans="1:13" ht="13.5" thickBot="1" x14ac:dyDescent="0.25"/>
    <row r="9" spans="1:13" ht="26.25" thickBot="1" x14ac:dyDescent="0.25">
      <c r="A9" s="260"/>
      <c r="B9" s="529" t="str">
        <f>'TRAD-Children YEAR(1)'!B6</f>
        <v>Schéma thérapeutique</v>
      </c>
      <c r="C9" s="529" t="str">
        <f>'TRAD-Children YEAR(2)'!B39</f>
        <v>Nb de patients prévus au début de la 1ère année</v>
      </c>
      <c r="D9" s="529" t="s">
        <v>278</v>
      </c>
    </row>
    <row r="10" spans="1:13" x14ac:dyDescent="0.2">
      <c r="A10" s="260"/>
      <c r="B10" s="155" t="str">
        <f t="array" ref="B10:B19">'Data &amp; hypothesis Children'!$C$26:$C$35</f>
        <v>D4T+3TC+NVP</v>
      </c>
      <c r="C10" s="2062">
        <f>'Data &amp; hypothesis Children'!E26</f>
        <v>0</v>
      </c>
      <c r="D10" s="530">
        <f>'Data &amp; hypothesis Children'!D26</f>
        <v>0</v>
      </c>
      <c r="F10" s="266" t="str">
        <f>'TRAD-Children YEAR(1)'!B10</f>
        <v>Total Premières lignes</v>
      </c>
      <c r="G10" s="531"/>
      <c r="H10" s="532">
        <f>SUM(C10:C15)</f>
        <v>549.56799999999998</v>
      </c>
    </row>
    <row r="11" spans="1:13" ht="13.5" thickBot="1" x14ac:dyDescent="0.25">
      <c r="A11" s="260"/>
      <c r="B11" s="156" t="str">
        <v>AZT+3TC+NVP</v>
      </c>
      <c r="C11" s="2063">
        <f>'Data &amp; hypothesis Children'!E27</f>
        <v>515.22</v>
      </c>
      <c r="D11" s="534">
        <f>'Data &amp; hypothesis Children'!D27</f>
        <v>0.93</v>
      </c>
      <c r="F11" s="535"/>
      <c r="G11" s="536" t="s">
        <v>51</v>
      </c>
      <c r="H11" s="537">
        <f>H10/C20</f>
        <v>0.99199999999999999</v>
      </c>
    </row>
    <row r="12" spans="1:13" x14ac:dyDescent="0.2">
      <c r="A12" s="260"/>
      <c r="B12" s="156" t="str">
        <v>AZT+3TC+EFV</v>
      </c>
      <c r="C12" s="2063">
        <f>'Data &amp; hypothesis Children'!E28</f>
        <v>12.187999999999999</v>
      </c>
      <c r="D12" s="534">
        <f>'Data &amp; hypothesis Children'!D28</f>
        <v>2.1999999999999999E-2</v>
      </c>
      <c r="F12" s="266" t="str">
        <f>'TRAD-Children YEAR(1)'!B11</f>
        <v>Total Deuxièmes lignes</v>
      </c>
      <c r="G12" s="531"/>
      <c r="H12" s="532">
        <f>C16+C19</f>
        <v>4.4320000000000004</v>
      </c>
    </row>
    <row r="13" spans="1:13" ht="13.5" thickBot="1" x14ac:dyDescent="0.25">
      <c r="A13" s="260"/>
      <c r="B13" s="156" t="str">
        <v>LPV/r+3TC+ABC</v>
      </c>
      <c r="C13" s="2063">
        <f>'Data &amp; hypothesis Children'!E29</f>
        <v>0</v>
      </c>
      <c r="D13" s="534">
        <f>'Data &amp; hypothesis Children'!D29</f>
        <v>0</v>
      </c>
      <c r="F13" s="535"/>
      <c r="G13" s="536" t="s">
        <v>51</v>
      </c>
      <c r="H13" s="537">
        <f>H12/C20</f>
        <v>8.0000000000000002E-3</v>
      </c>
    </row>
    <row r="14" spans="1:13" x14ac:dyDescent="0.2">
      <c r="A14" s="260"/>
      <c r="B14" s="156" t="str">
        <v>ABC+3TC+NVP</v>
      </c>
      <c r="C14" s="2063">
        <f>'Data &amp; hypothesis Children'!E30</f>
        <v>4.4320000000000004</v>
      </c>
      <c r="D14" s="534">
        <f>'Data &amp; hypothesis Children'!D30</f>
        <v>8.0000000000000002E-3</v>
      </c>
      <c r="F14" s="497"/>
      <c r="G14" s="522"/>
      <c r="H14" s="1270"/>
    </row>
    <row r="15" spans="1:13" x14ac:dyDescent="0.2">
      <c r="A15" s="260"/>
      <c r="B15" s="1253" t="str">
        <v>AZT+3TC+LPV/r</v>
      </c>
      <c r="C15" s="2064">
        <f>'Data &amp; hypothesis Children'!E31</f>
        <v>17.728000000000002</v>
      </c>
      <c r="D15" s="1947">
        <f>'Data &amp; hypothesis Children'!D31</f>
        <v>3.2000000000000001E-2</v>
      </c>
    </row>
    <row r="16" spans="1:13" x14ac:dyDescent="0.2">
      <c r="A16" s="260"/>
      <c r="B16" s="1948" t="str">
        <v>ABC+3TC+EFV</v>
      </c>
      <c r="C16" s="2065">
        <f>'Data &amp; hypothesis Children'!E32</f>
        <v>4.4320000000000004</v>
      </c>
      <c r="D16" s="1949">
        <f>'Data &amp; hypothesis Children'!D32</f>
        <v>8.0000000000000002E-3</v>
      </c>
    </row>
    <row r="17" spans="1:16" x14ac:dyDescent="0.2">
      <c r="A17" s="260"/>
      <c r="B17" s="156" t="str">
        <v>TDF+3TC+LPV/r</v>
      </c>
      <c r="C17" s="2063">
        <f>'Data &amp; hypothesis Children'!E33</f>
        <v>0</v>
      </c>
      <c r="D17" s="534">
        <f>'Data &amp; hypothesis Children'!D33</f>
        <v>0</v>
      </c>
    </row>
    <row r="18" spans="1:16" x14ac:dyDescent="0.2">
      <c r="A18" s="260"/>
      <c r="B18" s="156" t="str">
        <v>AZT+3TC+EFV</v>
      </c>
      <c r="C18" s="2063">
        <f>'Data &amp; hypothesis Children'!E34</f>
        <v>0</v>
      </c>
      <c r="D18" s="534">
        <f>'Data &amp; hypothesis Children'!D34</f>
        <v>0</v>
      </c>
    </row>
    <row r="19" spans="1:16" ht="13.5" thickBot="1" x14ac:dyDescent="0.25">
      <c r="A19" s="260"/>
      <c r="B19" s="157">
        <v>0</v>
      </c>
      <c r="C19" s="2066">
        <f>'Data &amp; hypothesis Children'!E35</f>
        <v>0</v>
      </c>
      <c r="D19" s="539">
        <f>'Data &amp; hypothesis Children'!D35</f>
        <v>0</v>
      </c>
    </row>
    <row r="20" spans="1:16" ht="14.25" thickTop="1" thickBot="1" x14ac:dyDescent="0.25">
      <c r="B20" s="540" t="s">
        <v>6</v>
      </c>
      <c r="C20" s="541">
        <f>SUM(C10:C19)</f>
        <v>554</v>
      </c>
      <c r="D20" s="542">
        <f>SUM(D10:D19)</f>
        <v>1</v>
      </c>
    </row>
    <row r="21" spans="1:16" x14ac:dyDescent="0.2">
      <c r="A21" s="260"/>
    </row>
    <row r="22" spans="1:16" s="263" customFormat="1" ht="16.5" thickBot="1" x14ac:dyDescent="0.3">
      <c r="A22" s="2177" t="str">
        <f>'TRAD-Children YEAR(2)'!B7</f>
        <v>Evolution de la file active sous traitement ARV à prévoir pour la première année</v>
      </c>
      <c r="B22" s="2177"/>
      <c r="C22" s="2177"/>
      <c r="D22" s="2177"/>
      <c r="E22" s="2177"/>
      <c r="F22" s="2177"/>
      <c r="G22" s="2177"/>
      <c r="H22" s="2177"/>
      <c r="I22" s="2177"/>
      <c r="J22" s="2177"/>
      <c r="K22" s="2177"/>
      <c r="L22" s="2177"/>
      <c r="M22" s="262"/>
      <c r="N22" s="262"/>
      <c r="O22" s="262"/>
      <c r="P22" s="262"/>
    </row>
    <row r="23" spans="1:16" x14ac:dyDescent="0.2">
      <c r="A23" s="260"/>
    </row>
    <row r="24" spans="1:16" ht="15" x14ac:dyDescent="0.2">
      <c r="A24" s="260"/>
      <c r="B24" s="2143" t="str">
        <f>'TRAD-Children YEAR(1)'!B14</f>
        <v>Répartition des Initiations</v>
      </c>
      <c r="C24" s="2143"/>
      <c r="D24" s="2143"/>
      <c r="E24" s="2143"/>
      <c r="F24" s="2143"/>
      <c r="G24" s="2143"/>
      <c r="H24" s="2143"/>
      <c r="I24" s="2143"/>
      <c r="J24" s="2143"/>
      <c r="K24" s="2143"/>
      <c r="L24" s="2143"/>
      <c r="M24" s="2143"/>
      <c r="N24" s="497"/>
      <c r="O24" s="497"/>
      <c r="P24" s="497"/>
    </row>
    <row r="25" spans="1:16" ht="13.5" thickBot="1" x14ac:dyDescent="0.25"/>
    <row r="26" spans="1:16" s="545" customFormat="1" ht="64.5" thickBot="1" x14ac:dyDescent="0.25">
      <c r="A26" s="543"/>
      <c r="B26" s="544" t="str">
        <f>'TRAD-Children YEAR(1)'!B6</f>
        <v>Schéma thérapeutique</v>
      </c>
      <c r="C26" s="544" t="str">
        <f>'TRAD-Children YEAR(1)'!B15</f>
        <v>critères / schémas</v>
      </c>
      <c r="D26" s="544" t="s">
        <v>51</v>
      </c>
      <c r="E26" s="544" t="str">
        <f>'TRAD-Children YEAR(1)'!B16</f>
        <v>Nb de patients mensuels</v>
      </c>
      <c r="F26" s="894" t="str">
        <f>'TRAD-Children YEAR(1)'!B17</f>
        <v>Nb de nvx patients total sur la période</v>
      </c>
      <c r="G26" s="544" t="str">
        <f>'TRAD-Children YEAR(1)'!B18</f>
        <v>Nb de nvx patients total sur la période AVEC la marge de sécu</v>
      </c>
    </row>
    <row r="27" spans="1:16" x14ac:dyDescent="0.2">
      <c r="B27" s="155" t="str">
        <f t="array" ref="B27:B32">'Data &amp; hypothesis Children'!$C$26:$C$31</f>
        <v>D4T+3TC+NVP</v>
      </c>
      <c r="C27" s="546"/>
      <c r="D27" s="547">
        <f>'Data &amp; hypothesis Children'!D55</f>
        <v>0</v>
      </c>
      <c r="E27" s="548">
        <f t="shared" ref="E27:E32" si="0">D27*E$33</f>
        <v>0</v>
      </c>
      <c r="F27" s="548">
        <f t="shared" ref="F27:F32" si="1">E27*$D$6</f>
        <v>0</v>
      </c>
      <c r="G27" s="548">
        <f>E27*$D$7</f>
        <v>0</v>
      </c>
    </row>
    <row r="28" spans="1:16" x14ac:dyDescent="0.2">
      <c r="B28" s="156" t="str">
        <v>AZT+3TC+NVP</v>
      </c>
      <c r="C28" s="323"/>
      <c r="D28" s="550">
        <f>'Data &amp; hypothesis Children'!D56</f>
        <v>0</v>
      </c>
      <c r="E28" s="324">
        <f t="shared" si="0"/>
        <v>0</v>
      </c>
      <c r="F28" s="324">
        <f t="shared" si="1"/>
        <v>0</v>
      </c>
      <c r="G28" s="324">
        <f t="shared" ref="G28:G32" si="2">E28*$D$7</f>
        <v>0</v>
      </c>
    </row>
    <row r="29" spans="1:16" x14ac:dyDescent="0.2">
      <c r="B29" s="156" t="str">
        <v>AZT+3TC+EFV</v>
      </c>
      <c r="C29" s="323"/>
      <c r="D29" s="550">
        <f>'Data &amp; hypothesis Children'!D57</f>
        <v>0</v>
      </c>
      <c r="E29" s="324">
        <f t="shared" si="0"/>
        <v>0</v>
      </c>
      <c r="F29" s="324">
        <f t="shared" si="1"/>
        <v>0</v>
      </c>
      <c r="G29" s="324">
        <f t="shared" si="2"/>
        <v>0</v>
      </c>
    </row>
    <row r="30" spans="1:16" x14ac:dyDescent="0.2">
      <c r="B30" s="156" t="str">
        <v>LPV/r+3TC+ABC</v>
      </c>
      <c r="C30" s="323"/>
      <c r="D30" s="550">
        <f>'Data &amp; hypothesis Children'!D58</f>
        <v>7.0000000000000007E-2</v>
      </c>
      <c r="E30" s="324">
        <f t="shared" si="0"/>
        <v>1.4700000000000002</v>
      </c>
      <c r="F30" s="324">
        <f t="shared" si="1"/>
        <v>17.64</v>
      </c>
      <c r="G30" s="324">
        <f t="shared" si="2"/>
        <v>22.050000000000004</v>
      </c>
    </row>
    <row r="31" spans="1:16" x14ac:dyDescent="0.2">
      <c r="B31" s="156" t="str">
        <v>ABC+3TC+NVP</v>
      </c>
      <c r="C31" s="323"/>
      <c r="D31" s="550">
        <f>'Data &amp; hypothesis Children'!D59</f>
        <v>0</v>
      </c>
      <c r="E31" s="324">
        <f t="shared" si="0"/>
        <v>0</v>
      </c>
      <c r="F31" s="324">
        <f t="shared" si="1"/>
        <v>0</v>
      </c>
      <c r="G31" s="324">
        <f t="shared" si="2"/>
        <v>0</v>
      </c>
    </row>
    <row r="32" spans="1:16" ht="13.5" thickBot="1" x14ac:dyDescent="0.25">
      <c r="B32" s="157" t="str">
        <v>AZT+3TC+LPV/r</v>
      </c>
      <c r="C32" s="538" t="s">
        <v>199</v>
      </c>
      <c r="D32" s="1271">
        <f>'Data &amp; hypothesis Children'!D60</f>
        <v>0.93</v>
      </c>
      <c r="E32" s="589">
        <f t="shared" si="0"/>
        <v>19.53</v>
      </c>
      <c r="F32" s="589">
        <f t="shared" si="1"/>
        <v>234.36</v>
      </c>
      <c r="G32" s="589">
        <f t="shared" si="2"/>
        <v>292.95000000000005</v>
      </c>
    </row>
    <row r="33" spans="1:17" ht="13.5" thickTop="1" x14ac:dyDescent="0.2">
      <c r="B33" s="260" t="s">
        <v>6</v>
      </c>
      <c r="C33" s="497"/>
      <c r="D33" s="347"/>
      <c r="E33" s="553">
        <f>'Data &amp; hypothesis Children'!E9</f>
        <v>21</v>
      </c>
      <c r="F33" s="347">
        <f>SUM(F27:F32)</f>
        <v>252</v>
      </c>
      <c r="G33" s="347">
        <f>SUM(G27:G32)</f>
        <v>315.00000000000006</v>
      </c>
    </row>
    <row r="34" spans="1:17" ht="13.5" thickBot="1" x14ac:dyDescent="0.25"/>
    <row r="35" spans="1:17" ht="51.75" thickBot="1" x14ac:dyDescent="0.25">
      <c r="A35" s="260"/>
      <c r="B35" s="554" t="str">
        <f>'TRAD-Children YEAR(1)'!B6</f>
        <v>Schéma thérapeutique</v>
      </c>
      <c r="C35" s="554"/>
      <c r="D35" s="544" t="str">
        <f>'TRAD-Children YEAR(1)'!B16</f>
        <v>Nb de patients mensuels</v>
      </c>
      <c r="E35" s="544" t="str">
        <f>'TRAD-Children YEAR(1)'!B19</f>
        <v>Total 
patients-mois</v>
      </c>
      <c r="F35" s="2189" t="str">
        <f>'TRAD-Children YEAR(1)'!B20</f>
        <v>Médicaments nécessaires</v>
      </c>
      <c r="G35" s="2189"/>
      <c r="H35" s="544" t="str">
        <f>'TRAD-Children YEAR(1)'!B21</f>
        <v>Total patients-mois AVEC Marge de sécurité</v>
      </c>
      <c r="I35" s="544" t="str">
        <f>'TRAD-Children YEAR(1)'!B22</f>
        <v>Nb de patients-mois Marge de sécurité</v>
      </c>
    </row>
    <row r="36" spans="1:17" x14ac:dyDescent="0.2">
      <c r="A36" s="260"/>
      <c r="B36" s="155" t="str">
        <f t="array" ref="B36:B41">'Data &amp; hypothesis Children'!$C$26:$C$31</f>
        <v>D4T+3TC+NVP</v>
      </c>
      <c r="C36" s="546"/>
      <c r="D36" s="548">
        <f t="shared" ref="D36:D41" si="3">$E27</f>
        <v>0</v>
      </c>
      <c r="E36" s="555">
        <f t="shared" ref="E36:E41" si="4">$I$6*D36</f>
        <v>0</v>
      </c>
      <c r="F36" s="546" t="s">
        <v>59</v>
      </c>
      <c r="G36" s="546"/>
      <c r="H36" s="555">
        <f t="shared" ref="H36:H41" si="5">D36*$I$7</f>
        <v>0</v>
      </c>
      <c r="I36" s="555">
        <f t="shared" ref="I36:I41" si="6">H36-E36</f>
        <v>0</v>
      </c>
    </row>
    <row r="37" spans="1:17" x14ac:dyDescent="0.2">
      <c r="A37" s="260"/>
      <c r="B37" s="156" t="str">
        <v>AZT+3TC+NVP</v>
      </c>
      <c r="C37" s="323"/>
      <c r="D37" s="324">
        <f t="shared" si="3"/>
        <v>0</v>
      </c>
      <c r="E37" s="1272">
        <f t="shared" si="4"/>
        <v>0</v>
      </c>
      <c r="F37" s="323" t="s">
        <v>57</v>
      </c>
      <c r="G37" s="323"/>
      <c r="H37" s="1272">
        <f t="shared" si="5"/>
        <v>0</v>
      </c>
      <c r="I37" s="1272">
        <f t="shared" si="6"/>
        <v>0</v>
      </c>
    </row>
    <row r="38" spans="1:17" x14ac:dyDescent="0.2">
      <c r="A38" s="260"/>
      <c r="B38" s="156" t="str">
        <v>AZT+3TC+EFV</v>
      </c>
      <c r="C38" s="323"/>
      <c r="D38" s="324">
        <f t="shared" si="3"/>
        <v>0</v>
      </c>
      <c r="E38" s="1272">
        <f t="shared" si="4"/>
        <v>0</v>
      </c>
      <c r="F38" s="323" t="s">
        <v>58</v>
      </c>
      <c r="G38" s="323" t="s">
        <v>17</v>
      </c>
      <c r="H38" s="1272">
        <f t="shared" si="5"/>
        <v>0</v>
      </c>
      <c r="I38" s="1272">
        <f t="shared" si="6"/>
        <v>0</v>
      </c>
    </row>
    <row r="39" spans="1:17" x14ac:dyDescent="0.2">
      <c r="A39" s="260"/>
      <c r="B39" s="156" t="str">
        <v>LPV/r+3TC+ABC</v>
      </c>
      <c r="C39" s="323" t="s">
        <v>53</v>
      </c>
      <c r="D39" s="324">
        <f t="shared" si="3"/>
        <v>1.4700000000000002</v>
      </c>
      <c r="E39" s="1272">
        <f t="shared" si="4"/>
        <v>114.66000000000001</v>
      </c>
      <c r="F39" s="323" t="s">
        <v>58</v>
      </c>
      <c r="G39" s="323" t="s">
        <v>25</v>
      </c>
      <c r="H39" s="1272">
        <f t="shared" si="5"/>
        <v>176.40000000000003</v>
      </c>
      <c r="I39" s="1272">
        <f t="shared" si="6"/>
        <v>61.740000000000023</v>
      </c>
    </row>
    <row r="40" spans="1:17" x14ac:dyDescent="0.2">
      <c r="A40" s="260"/>
      <c r="B40" s="156" t="str">
        <v>ABC+3TC+NVP</v>
      </c>
      <c r="C40" s="323"/>
      <c r="D40" s="324">
        <f t="shared" si="3"/>
        <v>0</v>
      </c>
      <c r="E40" s="1272">
        <f t="shared" si="4"/>
        <v>0</v>
      </c>
      <c r="F40" s="323"/>
      <c r="G40" s="323"/>
      <c r="H40" s="1272">
        <f t="shared" si="5"/>
        <v>0</v>
      </c>
      <c r="I40" s="1272">
        <f t="shared" si="6"/>
        <v>0</v>
      </c>
    </row>
    <row r="41" spans="1:17" ht="13.5" thickBot="1" x14ac:dyDescent="0.25">
      <c r="A41" s="260"/>
      <c r="B41" s="157" t="str">
        <v>AZT+3TC+LPV/r</v>
      </c>
      <c r="C41" s="538" t="s">
        <v>199</v>
      </c>
      <c r="D41" s="589">
        <f t="shared" si="3"/>
        <v>19.53</v>
      </c>
      <c r="E41" s="557">
        <f t="shared" si="4"/>
        <v>1523.3400000000001</v>
      </c>
      <c r="F41" s="538" t="s">
        <v>58</v>
      </c>
      <c r="G41" s="538" t="s">
        <v>33</v>
      </c>
      <c r="H41" s="557">
        <f t="shared" si="5"/>
        <v>2343.6000000000004</v>
      </c>
      <c r="I41" s="557">
        <f t="shared" si="6"/>
        <v>820.26000000000022</v>
      </c>
    </row>
    <row r="42" spans="1:17" ht="14.25" thickTop="1" thickBot="1" x14ac:dyDescent="0.25">
      <c r="A42" s="260"/>
      <c r="B42" s="558" t="s">
        <v>288</v>
      </c>
      <c r="C42" s="559"/>
      <c r="D42" s="560">
        <f>SUM(D36:D41)</f>
        <v>21</v>
      </c>
      <c r="E42" s="561">
        <f>SUM(E36:E41)</f>
        <v>1638.0000000000002</v>
      </c>
      <c r="F42" s="559"/>
      <c r="H42" s="562">
        <f>SUM(H36:H41)</f>
        <v>2520.0000000000005</v>
      </c>
      <c r="I42" s="562">
        <f>SUM(I36:I41)</f>
        <v>882.00000000000023</v>
      </c>
    </row>
    <row r="43" spans="1:17" s="292" customFormat="1" x14ac:dyDescent="0.2">
      <c r="F43" s="522"/>
      <c r="G43" s="563"/>
    </row>
    <row r="44" spans="1:17" x14ac:dyDescent="0.2">
      <c r="A44" s="260"/>
      <c r="Q44" s="292"/>
    </row>
    <row r="45" spans="1:17" x14ac:dyDescent="0.2">
      <c r="A45" s="260"/>
      <c r="Q45" s="292"/>
    </row>
    <row r="46" spans="1:17" ht="15" x14ac:dyDescent="0.2">
      <c r="A46" s="260"/>
      <c r="B46" s="2143" t="str">
        <f>'TRAD-Children YEAR(1)'!B26</f>
        <v>Répartition des passages en 2ème ligne</v>
      </c>
      <c r="C46" s="2143"/>
      <c r="D46" s="2143"/>
      <c r="E46" s="2143"/>
      <c r="F46" s="2143"/>
      <c r="G46" s="2143"/>
      <c r="H46" s="2143"/>
      <c r="I46" s="2143"/>
      <c r="J46" s="2143"/>
      <c r="K46" s="2143"/>
      <c r="L46" s="2143"/>
      <c r="M46" s="2143"/>
      <c r="Q46" s="292"/>
    </row>
    <row r="47" spans="1:17" x14ac:dyDescent="0.2">
      <c r="A47" s="260"/>
      <c r="Q47" s="292"/>
    </row>
    <row r="48" spans="1:17" x14ac:dyDescent="0.2">
      <c r="A48" s="260"/>
      <c r="B48" s="528" t="str">
        <f>'TRAD-Children YEAR(1)'!B28</f>
        <v>Taux de passage en 2ème ligne</v>
      </c>
      <c r="C48" s="528"/>
      <c r="D48" s="564">
        <f>'Data &amp; hypothesis Children'!D67</f>
        <v>0.03</v>
      </c>
      <c r="E48" s="528"/>
      <c r="F48" s="528"/>
      <c r="G48" s="565" t="str">
        <f>'TRAD-Children YEAR(1)'!B29</f>
        <v>des patients à la fin de l'année, soit :</v>
      </c>
      <c r="H48" s="566">
        <f>ROUNDUP(D48*(C20+F33), 0)</f>
        <v>25</v>
      </c>
      <c r="I48" s="528" t="str">
        <f>'TRAD-Children YEAR(1)'!B32</f>
        <v>patients au total à la fin de l'année</v>
      </c>
    </row>
    <row r="49" spans="1:17" s="523" customFormat="1" ht="13.5" thickBot="1" x14ac:dyDescent="0.25">
      <c r="E49" s="567"/>
      <c r="G49" s="565" t="str">
        <f>'TRAD-Children YEAR(1)'!B30</f>
        <v>Actuellement en 2ème ligne :</v>
      </c>
      <c r="H49" s="568">
        <f>H12</f>
        <v>4.4320000000000004</v>
      </c>
    </row>
    <row r="50" spans="1:17" ht="13.5" thickBot="1" x14ac:dyDescent="0.25">
      <c r="A50" s="260"/>
      <c r="C50" s="528"/>
      <c r="D50" s="569"/>
      <c r="E50" s="570"/>
      <c r="F50" s="571"/>
      <c r="G50" s="572" t="str">
        <f>'TRAD-Children YEAR(1)'!B31</f>
        <v>Nb de patients ayant switché dans l'année :</v>
      </c>
      <c r="H50" s="573">
        <f>IF(H48-H12&gt;0, H48-H12, 0)</f>
        <v>20.567999999999998</v>
      </c>
      <c r="J50" s="574" t="str">
        <f>'TRAD-Children YEAR(1)'!B33</f>
        <v>Proportion mensuelle :</v>
      </c>
      <c r="K50" s="575"/>
      <c r="L50" s="576">
        <f>H50/$D$6</f>
        <v>1.7139999999999997</v>
      </c>
    </row>
    <row r="51" spans="1:17" ht="13.5" thickBot="1" x14ac:dyDescent="0.25">
      <c r="A51" s="260"/>
    </row>
    <row r="52" spans="1:17" ht="64.5" thickBot="1" x14ac:dyDescent="0.25">
      <c r="A52" s="260"/>
      <c r="B52" s="554" t="str">
        <f>'TRAD-Children YEAR(1)'!B117</f>
        <v>Deuxièmes lignes</v>
      </c>
      <c r="C52" s="554" t="s">
        <v>51</v>
      </c>
      <c r="D52" s="544" t="str">
        <f>'TRAD-Children YEAR(1)'!B16</f>
        <v>Nb de patients mensuels</v>
      </c>
      <c r="E52" s="544" t="str">
        <f>'TRAD-Children YEAR(1)'!B35</f>
        <v>Nb de patients annuels / schéma</v>
      </c>
      <c r="F52" s="2189" t="str">
        <f>'TRAD-Children YEAR(1)'!B20</f>
        <v>Médicaments nécessaires</v>
      </c>
      <c r="G52" s="2189"/>
      <c r="H52" s="2189"/>
      <c r="I52" s="544" t="str">
        <f>'TRAD-Children YEAR(1)'!B39</f>
        <v>Nb de patients -mois</v>
      </c>
      <c r="J52" s="544" t="str">
        <f>'TRAD-Children YEAR(1)'!B21</f>
        <v>Total patients-mois AVEC Marge de sécurité</v>
      </c>
      <c r="K52" s="544" t="str">
        <f>'TRAD-Children YEAR(1)'!B23</f>
        <v>Nb de patients-mois Marge de sécurité SEULE</v>
      </c>
    </row>
    <row r="53" spans="1:17" x14ac:dyDescent="0.2">
      <c r="A53" s="260"/>
      <c r="B53" s="1950" t="str">
        <f t="array" ref="B53:B56">'Data &amp; hypothesis Children'!$C$32:$C$35</f>
        <v>ABC+3TC+EFV</v>
      </c>
      <c r="C53" s="1951">
        <f>'Data &amp; hypothesis Children'!C79</f>
        <v>0.6</v>
      </c>
      <c r="D53" s="1952">
        <f>$C53*$L$50</f>
        <v>1.0283999999999998</v>
      </c>
      <c r="E53" s="1952">
        <f>D53*$D$6</f>
        <v>12.340799999999998</v>
      </c>
      <c r="F53" s="1952"/>
      <c r="G53" s="1952"/>
      <c r="H53" s="1952"/>
      <c r="I53" s="1953">
        <f>$I$6*D53</f>
        <v>80.215199999999982</v>
      </c>
      <c r="J53" s="1953">
        <f>D53*$I$7</f>
        <v>123.40799999999997</v>
      </c>
      <c r="K53" s="1954">
        <f>J53-I53</f>
        <v>43.192799999999991</v>
      </c>
    </row>
    <row r="54" spans="1:17" x14ac:dyDescent="0.2">
      <c r="A54" s="260"/>
      <c r="B54" s="1955" t="str">
        <v>TDF+3TC+LPV/r</v>
      </c>
      <c r="C54" s="1956">
        <f>'Data &amp; hypothesis Children'!C80</f>
        <v>0.12</v>
      </c>
      <c r="D54" s="734">
        <f t="shared" ref="D54:D55" si="7">$C54*$L$50</f>
        <v>0.20567999999999997</v>
      </c>
      <c r="E54" s="734">
        <f t="shared" ref="E54:E55" si="8">D54*$D$6</f>
        <v>2.4681599999999997</v>
      </c>
      <c r="F54" s="734"/>
      <c r="G54" s="734"/>
      <c r="H54" s="734"/>
      <c r="I54" s="1272">
        <f t="shared" ref="I54:I55" si="9">$I$6*D54</f>
        <v>16.043039999999998</v>
      </c>
      <c r="J54" s="1272">
        <f t="shared" ref="J54:J55" si="10">D54*$I$7</f>
        <v>24.681599999999996</v>
      </c>
      <c r="K54" s="1957">
        <f t="shared" ref="K54:K55" si="11">J54-I54</f>
        <v>8.6385599999999982</v>
      </c>
    </row>
    <row r="55" spans="1:17" x14ac:dyDescent="0.2">
      <c r="A55" s="260"/>
      <c r="B55" s="1955" t="str">
        <v>AZT+3TC+EFV</v>
      </c>
      <c r="C55" s="1956">
        <f>'Data &amp; hypothesis Children'!C81</f>
        <v>0.03</v>
      </c>
      <c r="D55" s="734">
        <f t="shared" si="7"/>
        <v>5.1419999999999993E-2</v>
      </c>
      <c r="E55" s="734">
        <f t="shared" si="8"/>
        <v>0.61703999999999992</v>
      </c>
      <c r="F55" s="734"/>
      <c r="G55" s="734"/>
      <c r="H55" s="734"/>
      <c r="I55" s="1272">
        <f t="shared" si="9"/>
        <v>4.0107599999999994</v>
      </c>
      <c r="J55" s="1272">
        <f t="shared" si="10"/>
        <v>6.170399999999999</v>
      </c>
      <c r="K55" s="1957">
        <f t="shared" si="11"/>
        <v>2.1596399999999996</v>
      </c>
    </row>
    <row r="56" spans="1:17" ht="13.5" thickBot="1" x14ac:dyDescent="0.25">
      <c r="A56" s="260"/>
      <c r="B56" s="1958">
        <v>0</v>
      </c>
      <c r="C56" s="1273">
        <f>'Data &amp; hypothesis Children'!C82</f>
        <v>0</v>
      </c>
      <c r="D56" s="1197">
        <f>$C56*$L$50</f>
        <v>0</v>
      </c>
      <c r="E56" s="1197">
        <f>D56*$D$6</f>
        <v>0</v>
      </c>
      <c r="F56" s="1197"/>
      <c r="G56" s="1197"/>
      <c r="H56" s="1197"/>
      <c r="I56" s="557">
        <f>$I$6*D56</f>
        <v>0</v>
      </c>
      <c r="J56" s="557">
        <f>D56*$I$7</f>
        <v>0</v>
      </c>
      <c r="K56" s="1959">
        <f>J56-I56</f>
        <v>0</v>
      </c>
    </row>
    <row r="57" spans="1:17" ht="14.25" thickTop="1" thickBot="1" x14ac:dyDescent="0.25">
      <c r="A57" s="260"/>
      <c r="B57" s="528" t="s">
        <v>6</v>
      </c>
      <c r="C57" s="528"/>
      <c r="D57" s="577">
        <f>SUM(D53:D56)</f>
        <v>1.2854999999999996</v>
      </c>
      <c r="E57" s="577">
        <f>SUM(E53:E56)</f>
        <v>15.425999999999997</v>
      </c>
      <c r="F57" s="577"/>
      <c r="G57" s="577"/>
      <c r="H57" s="577"/>
      <c r="I57" s="562">
        <f>SUM(I53:I56)</f>
        <v>100.26899999999998</v>
      </c>
      <c r="J57" s="562">
        <f>SUM(J53:J56)</f>
        <v>154.25999999999996</v>
      </c>
      <c r="K57" s="562">
        <f>SUM(K53:K56)</f>
        <v>53.990999999999985</v>
      </c>
    </row>
    <row r="58" spans="1:17" x14ac:dyDescent="0.2">
      <c r="A58" s="260"/>
      <c r="I58" s="292"/>
    </row>
    <row r="59" spans="1:17" x14ac:dyDescent="0.2">
      <c r="A59" s="260"/>
      <c r="Q59" s="292"/>
    </row>
    <row r="60" spans="1:17" s="263" customFormat="1" ht="16.5" thickBot="1" x14ac:dyDescent="0.3">
      <c r="A60" s="2177" t="str">
        <f>'TRAD-Children YEAR(1)'!B24</f>
        <v>Répartition de la FA sous traitement en nb de patients - mois / poids / schéma</v>
      </c>
      <c r="B60" s="2177"/>
      <c r="C60" s="2177"/>
      <c r="D60" s="2177"/>
      <c r="E60" s="2177"/>
      <c r="F60" s="2177"/>
      <c r="G60" s="2177"/>
      <c r="H60" s="2177"/>
      <c r="I60" s="2177"/>
      <c r="J60" s="2177"/>
      <c r="K60" s="2177"/>
      <c r="L60" s="2177"/>
      <c r="M60" s="2177"/>
      <c r="N60" s="2177"/>
    </row>
    <row r="61" spans="1:17" ht="13.5" thickBot="1" x14ac:dyDescent="0.25">
      <c r="A61" s="260"/>
      <c r="Q61" s="292"/>
    </row>
    <row r="62" spans="1:17" ht="13.5" thickBot="1" x14ac:dyDescent="0.25">
      <c r="A62" s="260"/>
      <c r="B62" s="554" t="str">
        <f>'TRAD-Children YEAR(1)'!B36</f>
        <v>Poids (kg)</v>
      </c>
      <c r="C62" s="544" t="s">
        <v>206</v>
      </c>
      <c r="D62" s="544" t="s">
        <v>207</v>
      </c>
      <c r="E62" s="544" t="s">
        <v>208</v>
      </c>
      <c r="F62" s="544" t="s">
        <v>112</v>
      </c>
      <c r="Q62" s="292"/>
    </row>
    <row r="63" spans="1:17" ht="13.5" thickBot="1" x14ac:dyDescent="0.25">
      <c r="A63" s="260"/>
      <c r="B63" s="578" t="str">
        <f>'TRAD-Children YEAR(1)'!B37</f>
        <v>Pourcentage</v>
      </c>
      <c r="C63" s="579">
        <f>'Data &amp; hypothesis Children'!C44</f>
        <v>0.25</v>
      </c>
      <c r="D63" s="579">
        <f>'Data &amp; hypothesis Children'!D44</f>
        <v>0.5</v>
      </c>
      <c r="E63" s="580">
        <f>'Data &amp; hypothesis Children'!E44</f>
        <v>0.13</v>
      </c>
      <c r="F63" s="580">
        <f>'Data &amp; hypothesis Children'!F44</f>
        <v>0.12</v>
      </c>
      <c r="Q63" s="292"/>
    </row>
    <row r="64" spans="1:17" x14ac:dyDescent="0.2">
      <c r="A64" s="260"/>
      <c r="Q64" s="292"/>
    </row>
    <row r="65" spans="1:17" ht="15" x14ac:dyDescent="0.2">
      <c r="A65" s="260"/>
      <c r="B65" s="2191" t="str">
        <f>'TRAD-Children YEAR(1)'!B38</f>
        <v>SANS marge de sécurité</v>
      </c>
      <c r="C65" s="2191"/>
      <c r="D65" s="2191"/>
      <c r="E65" s="2191"/>
      <c r="F65" s="2191"/>
      <c r="Q65" s="292"/>
    </row>
    <row r="66" spans="1:17" x14ac:dyDescent="0.2">
      <c r="A66" s="260"/>
      <c r="C66" s="291"/>
      <c r="D66" s="291"/>
      <c r="E66" s="291"/>
      <c r="F66" s="291"/>
      <c r="G66" s="291"/>
      <c r="H66" s="291"/>
      <c r="I66" s="291"/>
      <c r="Q66" s="292"/>
    </row>
    <row r="67" spans="1:17" ht="13.5" thickBot="1" x14ac:dyDescent="0.25">
      <c r="A67" s="260"/>
      <c r="C67" s="2168" t="str">
        <f>'TRAD-Children YEAR(1)'!B39</f>
        <v>Nb de patients -mois</v>
      </c>
      <c r="D67" s="2168"/>
      <c r="E67" s="2190"/>
      <c r="F67" s="2168" t="str">
        <f>'TRAD-Children YEAR(1)'!B40</f>
        <v>Répartition des patients mois / tranches de poids</v>
      </c>
      <c r="G67" s="2168"/>
      <c r="H67" s="2168"/>
      <c r="I67" s="2168"/>
      <c r="Q67" s="292"/>
    </row>
    <row r="68" spans="1:17" ht="39" thickBot="1" x14ac:dyDescent="0.25">
      <c r="A68" s="260"/>
      <c r="B68" s="529" t="str">
        <f>'TRAD-Children YEAR(1)'!B6</f>
        <v>Schéma thérapeutique</v>
      </c>
      <c r="C68" s="529" t="str">
        <f>'TRAD-Children YEAR(1)'!B41</f>
        <v>Enfants présents au début de l'année</v>
      </c>
      <c r="D68" s="529" t="str">
        <f>'TRAD-Children YEAR(1)'!B42</f>
        <v>Initiations et passages en 2ème lignes</v>
      </c>
      <c r="E68" s="581" t="str">
        <f>'TRAD-Children YEAR(1)'!B43</f>
        <v>Total annuel en nb de patients -mois</v>
      </c>
      <c r="F68" s="544" t="s">
        <v>206</v>
      </c>
      <c r="G68" s="544" t="s">
        <v>207</v>
      </c>
      <c r="H68" s="544" t="s">
        <v>208</v>
      </c>
      <c r="I68" s="544" t="s">
        <v>112</v>
      </c>
      <c r="O68" s="292"/>
    </row>
    <row r="69" spans="1:17" x14ac:dyDescent="0.2">
      <c r="A69" s="260"/>
      <c r="B69" s="155" t="str">
        <f t="array" ref="B69:B78">'Data &amp; hypothesis Children'!$C$26:$C$35</f>
        <v>D4T+3TC+NVP</v>
      </c>
      <c r="C69" s="582">
        <f t="shared" ref="C69:C74" si="12">$D$6*C10</f>
        <v>0</v>
      </c>
      <c r="D69" s="582">
        <f t="shared" ref="D69:D74" si="13">E36</f>
        <v>0</v>
      </c>
      <c r="E69" s="583">
        <f>SUM(C69:D69)</f>
        <v>0</v>
      </c>
      <c r="F69" s="584">
        <f>C$63*$E69</f>
        <v>0</v>
      </c>
      <c r="G69" s="584">
        <f t="shared" ref="F69:I70" si="14">D$63*$E69</f>
        <v>0</v>
      </c>
      <c r="H69" s="584">
        <f t="shared" si="14"/>
        <v>0</v>
      </c>
      <c r="I69" s="584">
        <f t="shared" si="14"/>
        <v>0</v>
      </c>
      <c r="O69" s="292"/>
    </row>
    <row r="70" spans="1:17" x14ac:dyDescent="0.2">
      <c r="A70" s="260"/>
      <c r="B70" s="156" t="str">
        <v>AZT+3TC+NVP</v>
      </c>
      <c r="C70" s="585">
        <f t="shared" si="12"/>
        <v>6182.64</v>
      </c>
      <c r="D70" s="585">
        <f t="shared" si="13"/>
        <v>0</v>
      </c>
      <c r="E70" s="586">
        <f t="shared" ref="E70:E78" si="15">SUM(C70:D70)</f>
        <v>6182.64</v>
      </c>
      <c r="F70" s="587">
        <f t="shared" si="14"/>
        <v>1545.66</v>
      </c>
      <c r="G70" s="587">
        <f t="shared" si="14"/>
        <v>3091.32</v>
      </c>
      <c r="H70" s="587">
        <f t="shared" si="14"/>
        <v>803.74320000000012</v>
      </c>
      <c r="I70" s="587">
        <f t="shared" si="14"/>
        <v>741.91679999999997</v>
      </c>
      <c r="O70" s="292"/>
    </row>
    <row r="71" spans="1:17" x14ac:dyDescent="0.2">
      <c r="A71" s="260"/>
      <c r="B71" s="156" t="str">
        <v>AZT+3TC+EFV</v>
      </c>
      <c r="C71" s="585">
        <f t="shared" si="12"/>
        <v>146.25599999999997</v>
      </c>
      <c r="D71" s="585">
        <f t="shared" si="13"/>
        <v>0</v>
      </c>
      <c r="E71" s="586">
        <f t="shared" si="15"/>
        <v>146.25599999999997</v>
      </c>
      <c r="F71" s="588"/>
      <c r="G71" s="587">
        <f>(C$63+D$63)*$E71</f>
        <v>109.69199999999998</v>
      </c>
      <c r="H71" s="587">
        <f t="shared" ref="H71:I78" si="16">E$63*$E71</f>
        <v>19.013279999999998</v>
      </c>
      <c r="I71" s="587">
        <f t="shared" si="16"/>
        <v>17.550719999999995</v>
      </c>
      <c r="O71" s="292"/>
    </row>
    <row r="72" spans="1:17" x14ac:dyDescent="0.2">
      <c r="A72" s="260"/>
      <c r="B72" s="156" t="str">
        <v>LPV/r+3TC+ABC</v>
      </c>
      <c r="C72" s="585">
        <f t="shared" si="12"/>
        <v>0</v>
      </c>
      <c r="D72" s="585">
        <f t="shared" si="13"/>
        <v>114.66000000000001</v>
      </c>
      <c r="E72" s="586">
        <f t="shared" si="15"/>
        <v>114.66000000000001</v>
      </c>
      <c r="F72" s="587">
        <f t="shared" ref="F72:G78" si="17">C$63*$E72</f>
        <v>28.665000000000003</v>
      </c>
      <c r="G72" s="587">
        <f t="shared" si="17"/>
        <v>57.330000000000005</v>
      </c>
      <c r="H72" s="587">
        <f t="shared" si="16"/>
        <v>14.905800000000001</v>
      </c>
      <c r="I72" s="587">
        <f t="shared" si="16"/>
        <v>13.759200000000002</v>
      </c>
      <c r="O72" s="292"/>
    </row>
    <row r="73" spans="1:17" x14ac:dyDescent="0.2">
      <c r="A73" s="260"/>
      <c r="B73" s="156" t="str">
        <v>ABC+3TC+NVP</v>
      </c>
      <c r="C73" s="585">
        <f t="shared" si="12"/>
        <v>53.184000000000005</v>
      </c>
      <c r="D73" s="585">
        <f t="shared" si="13"/>
        <v>0</v>
      </c>
      <c r="E73" s="586">
        <f t="shared" si="15"/>
        <v>53.184000000000005</v>
      </c>
      <c r="F73" s="587">
        <f t="shared" si="17"/>
        <v>13.296000000000001</v>
      </c>
      <c r="G73" s="587">
        <f t="shared" si="17"/>
        <v>26.592000000000002</v>
      </c>
      <c r="H73" s="587">
        <f t="shared" si="16"/>
        <v>6.913920000000001</v>
      </c>
      <c r="I73" s="587">
        <f t="shared" si="16"/>
        <v>6.3820800000000002</v>
      </c>
      <c r="O73" s="292"/>
    </row>
    <row r="74" spans="1:17" x14ac:dyDescent="0.2">
      <c r="A74" s="260"/>
      <c r="B74" s="1253" t="str">
        <v>AZT+3TC+LPV/r</v>
      </c>
      <c r="C74" s="772">
        <f t="shared" si="12"/>
        <v>212.73600000000002</v>
      </c>
      <c r="D74" s="772">
        <f t="shared" si="13"/>
        <v>1523.3400000000001</v>
      </c>
      <c r="E74" s="1276">
        <f t="shared" si="15"/>
        <v>1736.0760000000002</v>
      </c>
      <c r="F74" s="777">
        <f t="shared" si="17"/>
        <v>434.01900000000006</v>
      </c>
      <c r="G74" s="777">
        <f t="shared" si="17"/>
        <v>868.03800000000012</v>
      </c>
      <c r="H74" s="777">
        <f t="shared" si="16"/>
        <v>225.68988000000004</v>
      </c>
      <c r="I74" s="777">
        <f t="shared" si="16"/>
        <v>208.32912000000002</v>
      </c>
      <c r="O74" s="292"/>
    </row>
    <row r="75" spans="1:17" x14ac:dyDescent="0.2">
      <c r="A75" s="260"/>
      <c r="B75" s="1948" t="str">
        <v>ABC+3TC+EFV</v>
      </c>
      <c r="C75" s="771">
        <f>$D$6*C16</f>
        <v>53.184000000000005</v>
      </c>
      <c r="D75" s="771">
        <f>I53</f>
        <v>80.215199999999982</v>
      </c>
      <c r="E75" s="1274">
        <f t="shared" si="15"/>
        <v>133.39919999999998</v>
      </c>
      <c r="F75" s="1275">
        <f t="shared" si="17"/>
        <v>33.349799999999995</v>
      </c>
      <c r="G75" s="1275">
        <f t="shared" si="17"/>
        <v>66.69959999999999</v>
      </c>
      <c r="H75" s="1275">
        <f t="shared" si="16"/>
        <v>17.341895999999998</v>
      </c>
      <c r="I75" s="1275">
        <f t="shared" si="16"/>
        <v>16.007903999999996</v>
      </c>
      <c r="O75" s="292"/>
    </row>
    <row r="76" spans="1:17" x14ac:dyDescent="0.2">
      <c r="A76" s="260"/>
      <c r="B76" s="156" t="str">
        <v>TDF+3TC+LPV/r</v>
      </c>
      <c r="C76" s="771">
        <f t="shared" ref="C76:C77" si="18">$D$6*C17</f>
        <v>0</v>
      </c>
      <c r="D76" s="771">
        <f t="shared" ref="D76:D77" si="19">I54</f>
        <v>16.043039999999998</v>
      </c>
      <c r="E76" s="1274">
        <f t="shared" ref="E76:E77" si="20">SUM(C76:D76)</f>
        <v>16.043039999999998</v>
      </c>
      <c r="F76" s="1275">
        <f t="shared" ref="F76:F77" si="21">C$63*$E76</f>
        <v>4.0107599999999994</v>
      </c>
      <c r="G76" s="1275">
        <f t="shared" ref="G76:G77" si="22">D$63*$E76</f>
        <v>8.0215199999999989</v>
      </c>
      <c r="H76" s="1275">
        <f t="shared" ref="H76:H77" si="23">E$63*$E76</f>
        <v>2.0855951999999998</v>
      </c>
      <c r="I76" s="1275">
        <f t="shared" ref="I76:I77" si="24">F$63*$E76</f>
        <v>1.9251647999999997</v>
      </c>
      <c r="O76" s="292"/>
    </row>
    <row r="77" spans="1:17" x14ac:dyDescent="0.2">
      <c r="A77" s="260"/>
      <c r="B77" s="156" t="str">
        <v>AZT+3TC+EFV</v>
      </c>
      <c r="C77" s="771">
        <f t="shared" si="18"/>
        <v>0</v>
      </c>
      <c r="D77" s="771">
        <f t="shared" si="19"/>
        <v>4.0107599999999994</v>
      </c>
      <c r="E77" s="1274">
        <f t="shared" si="20"/>
        <v>4.0107599999999994</v>
      </c>
      <c r="F77" s="1275">
        <f t="shared" si="21"/>
        <v>1.0026899999999999</v>
      </c>
      <c r="G77" s="1275">
        <f t="shared" si="22"/>
        <v>2.0053799999999997</v>
      </c>
      <c r="H77" s="1275">
        <f t="shared" si="23"/>
        <v>0.52139879999999994</v>
      </c>
      <c r="I77" s="1275">
        <f t="shared" si="24"/>
        <v>0.48129119999999992</v>
      </c>
      <c r="O77" s="292"/>
    </row>
    <row r="78" spans="1:17" ht="13.5" thickBot="1" x14ac:dyDescent="0.25">
      <c r="A78" s="260"/>
      <c r="B78" s="157">
        <v>0</v>
      </c>
      <c r="C78" s="589">
        <f>$D$6*C19</f>
        <v>0</v>
      </c>
      <c r="D78" s="589">
        <f>I56</f>
        <v>0</v>
      </c>
      <c r="E78" s="590">
        <f t="shared" si="15"/>
        <v>0</v>
      </c>
      <c r="F78" s="591">
        <f t="shared" si="17"/>
        <v>0</v>
      </c>
      <c r="G78" s="591">
        <f t="shared" si="17"/>
        <v>0</v>
      </c>
      <c r="H78" s="591">
        <f t="shared" si="16"/>
        <v>0</v>
      </c>
      <c r="I78" s="591">
        <f t="shared" si="16"/>
        <v>0</v>
      </c>
      <c r="O78" s="292"/>
    </row>
    <row r="79" spans="1:17" ht="13.5" thickTop="1" x14ac:dyDescent="0.2">
      <c r="A79" s="260"/>
      <c r="B79" s="592"/>
      <c r="C79" s="592"/>
      <c r="D79" s="592"/>
      <c r="E79" s="592"/>
      <c r="O79" s="292"/>
    </row>
    <row r="80" spans="1:17" x14ac:dyDescent="0.2">
      <c r="A80" s="260"/>
      <c r="B80" s="593"/>
      <c r="C80" s="593"/>
      <c r="D80" s="593"/>
      <c r="E80" s="593"/>
      <c r="O80" s="292"/>
    </row>
    <row r="81" spans="1:17" ht="15" x14ac:dyDescent="0.2">
      <c r="A81" s="260"/>
      <c r="B81" s="2191" t="str">
        <f>'TRAD-Children YEAR(1)'!B44</f>
        <v>AVEC marge de sécurité</v>
      </c>
      <c r="C81" s="2191"/>
      <c r="D81" s="2191"/>
      <c r="E81" s="2191"/>
      <c r="F81" s="2191"/>
      <c r="Q81" s="292"/>
    </row>
    <row r="82" spans="1:17" x14ac:dyDescent="0.2">
      <c r="A82" s="260"/>
      <c r="C82" s="291"/>
      <c r="D82" s="291"/>
      <c r="E82" s="291"/>
      <c r="F82" s="291"/>
      <c r="G82" s="291"/>
      <c r="H82" s="291"/>
      <c r="I82" s="291"/>
      <c r="Q82" s="292"/>
    </row>
    <row r="83" spans="1:17" ht="13.5" thickBot="1" x14ac:dyDescent="0.25">
      <c r="A83" s="260"/>
      <c r="C83" s="2168" t="str">
        <f>'TRAD-Children YEAR(1)'!B39</f>
        <v>Nb de patients -mois</v>
      </c>
      <c r="D83" s="2168"/>
      <c r="E83" s="2190"/>
      <c r="F83" s="2168" t="str">
        <f>'TRAD-Children YEAR(1)'!B40</f>
        <v>Répartition des patients mois / tranches de poids</v>
      </c>
      <c r="G83" s="2168"/>
      <c r="H83" s="2168"/>
      <c r="I83" s="2168"/>
      <c r="Q83" s="292"/>
    </row>
    <row r="84" spans="1:17" ht="39" thickBot="1" x14ac:dyDescent="0.25">
      <c r="A84" s="260"/>
      <c r="B84" s="529" t="str">
        <f>'TRAD-Children YEAR(1)'!B6</f>
        <v>Schéma thérapeutique</v>
      </c>
      <c r="C84" s="529" t="str">
        <f>'TRAD-Children YEAR(1)'!B41</f>
        <v>Enfants présents au début de l'année</v>
      </c>
      <c r="D84" s="529" t="str">
        <f>'TRAD-Children YEAR(1)'!B42</f>
        <v>Initiations et passages en 2ème lignes</v>
      </c>
      <c r="E84" s="581" t="str">
        <f>'TRAD-Children YEAR(1)'!B43</f>
        <v>Total annuel en nb de patients -mois</v>
      </c>
      <c r="F84" s="544" t="s">
        <v>206</v>
      </c>
      <c r="G84" s="544" t="s">
        <v>207</v>
      </c>
      <c r="H84" s="544" t="s">
        <v>208</v>
      </c>
      <c r="I84" s="544" t="s">
        <v>112</v>
      </c>
      <c r="O84" s="292"/>
    </row>
    <row r="85" spans="1:17" x14ac:dyDescent="0.2">
      <c r="A85" s="260"/>
      <c r="B85" s="155" t="str">
        <f t="array" ref="B85:B94">'Data &amp; hypothesis Children'!$C$26:$C$35</f>
        <v>D4T+3TC+NVP</v>
      </c>
      <c r="C85" s="582">
        <f t="shared" ref="C85:C91" si="25">$D$7*C10</f>
        <v>0</v>
      </c>
      <c r="D85" s="582">
        <f t="shared" ref="D85:D90" si="26">H36</f>
        <v>0</v>
      </c>
      <c r="E85" s="583">
        <f t="shared" ref="E85:E91" si="27">SUM(C85:D85)</f>
        <v>0</v>
      </c>
      <c r="F85" s="584">
        <f t="shared" ref="F85:I86" si="28">C$63*$E85</f>
        <v>0</v>
      </c>
      <c r="G85" s="584">
        <f t="shared" si="28"/>
        <v>0</v>
      </c>
      <c r="H85" s="584">
        <f t="shared" si="28"/>
        <v>0</v>
      </c>
      <c r="I85" s="584">
        <f t="shared" si="28"/>
        <v>0</v>
      </c>
      <c r="O85" s="292"/>
    </row>
    <row r="86" spans="1:17" x14ac:dyDescent="0.2">
      <c r="A86" s="260"/>
      <c r="B86" s="156" t="str">
        <v>AZT+3TC+NVP</v>
      </c>
      <c r="C86" s="585">
        <f t="shared" si="25"/>
        <v>7728.3</v>
      </c>
      <c r="D86" s="585">
        <f t="shared" si="26"/>
        <v>0</v>
      </c>
      <c r="E86" s="586">
        <f t="shared" si="27"/>
        <v>7728.3</v>
      </c>
      <c r="F86" s="587">
        <f t="shared" si="28"/>
        <v>1932.075</v>
      </c>
      <c r="G86" s="587">
        <f t="shared" si="28"/>
        <v>3864.15</v>
      </c>
      <c r="H86" s="587">
        <f t="shared" si="28"/>
        <v>1004.6790000000001</v>
      </c>
      <c r="I86" s="587">
        <f t="shared" si="28"/>
        <v>927.39599999999996</v>
      </c>
      <c r="O86" s="292"/>
    </row>
    <row r="87" spans="1:17" x14ac:dyDescent="0.2">
      <c r="A87" s="260"/>
      <c r="B87" s="156" t="str">
        <v>AZT+3TC+EFV</v>
      </c>
      <c r="C87" s="585">
        <f t="shared" si="25"/>
        <v>182.82</v>
      </c>
      <c r="D87" s="585">
        <f t="shared" si="26"/>
        <v>0</v>
      </c>
      <c r="E87" s="586">
        <f t="shared" si="27"/>
        <v>182.82</v>
      </c>
      <c r="F87" s="588"/>
      <c r="G87" s="587">
        <f>(C$63+D$63)*$E87</f>
        <v>137.11500000000001</v>
      </c>
      <c r="H87" s="587">
        <f t="shared" ref="H87:I91" si="29">E$63*$E87</f>
        <v>23.7666</v>
      </c>
      <c r="I87" s="587">
        <f t="shared" si="29"/>
        <v>21.938399999999998</v>
      </c>
      <c r="O87" s="292"/>
    </row>
    <row r="88" spans="1:17" x14ac:dyDescent="0.2">
      <c r="A88" s="260"/>
      <c r="B88" s="156" t="str">
        <v>LPV/r+3TC+ABC</v>
      </c>
      <c r="C88" s="585">
        <f t="shared" si="25"/>
        <v>0</v>
      </c>
      <c r="D88" s="585">
        <f t="shared" si="26"/>
        <v>176.40000000000003</v>
      </c>
      <c r="E88" s="586">
        <f t="shared" si="27"/>
        <v>176.40000000000003</v>
      </c>
      <c r="F88" s="587">
        <f t="shared" ref="F88:G91" si="30">C$63*$E88</f>
        <v>44.100000000000009</v>
      </c>
      <c r="G88" s="587">
        <f t="shared" si="30"/>
        <v>88.200000000000017</v>
      </c>
      <c r="H88" s="587">
        <f t="shared" si="29"/>
        <v>22.932000000000006</v>
      </c>
      <c r="I88" s="587">
        <f t="shared" si="29"/>
        <v>21.168000000000003</v>
      </c>
      <c r="O88" s="292"/>
    </row>
    <row r="89" spans="1:17" x14ac:dyDescent="0.2">
      <c r="A89" s="260"/>
      <c r="B89" s="156" t="str">
        <v>ABC+3TC+NVP</v>
      </c>
      <c r="C89" s="585">
        <f t="shared" si="25"/>
        <v>66.48</v>
      </c>
      <c r="D89" s="585">
        <f t="shared" si="26"/>
        <v>0</v>
      </c>
      <c r="E89" s="586">
        <f t="shared" si="27"/>
        <v>66.48</v>
      </c>
      <c r="F89" s="587">
        <f t="shared" si="30"/>
        <v>16.62</v>
      </c>
      <c r="G89" s="587">
        <f t="shared" si="30"/>
        <v>33.24</v>
      </c>
      <c r="H89" s="587">
        <f t="shared" si="29"/>
        <v>8.6424000000000003</v>
      </c>
      <c r="I89" s="587">
        <f t="shared" si="29"/>
        <v>7.9775999999999998</v>
      </c>
      <c r="O89" s="292"/>
    </row>
    <row r="90" spans="1:17" x14ac:dyDescent="0.2">
      <c r="A90" s="260"/>
      <c r="B90" s="1253" t="str">
        <v>AZT+3TC+LPV/r</v>
      </c>
      <c r="C90" s="772">
        <f t="shared" si="25"/>
        <v>265.92</v>
      </c>
      <c r="D90" s="772">
        <f t="shared" si="26"/>
        <v>2343.6000000000004</v>
      </c>
      <c r="E90" s="1276">
        <f t="shared" si="27"/>
        <v>2609.5200000000004</v>
      </c>
      <c r="F90" s="777">
        <f t="shared" si="30"/>
        <v>652.38000000000011</v>
      </c>
      <c r="G90" s="777">
        <f t="shared" si="30"/>
        <v>1304.7600000000002</v>
      </c>
      <c r="H90" s="777">
        <f t="shared" si="29"/>
        <v>339.23760000000004</v>
      </c>
      <c r="I90" s="777">
        <f t="shared" si="29"/>
        <v>313.14240000000007</v>
      </c>
      <c r="O90" s="292"/>
    </row>
    <row r="91" spans="1:17" x14ac:dyDescent="0.2">
      <c r="A91" s="260"/>
      <c r="B91" s="1948" t="str">
        <v>ABC+3TC+EFV</v>
      </c>
      <c r="C91" s="771">
        <f t="shared" si="25"/>
        <v>66.48</v>
      </c>
      <c r="D91" s="771">
        <f>J53</f>
        <v>123.40799999999997</v>
      </c>
      <c r="E91" s="1274">
        <f t="shared" si="27"/>
        <v>189.88799999999998</v>
      </c>
      <c r="F91" s="1275">
        <f t="shared" si="30"/>
        <v>47.471999999999994</v>
      </c>
      <c r="G91" s="1275">
        <f t="shared" si="30"/>
        <v>94.943999999999988</v>
      </c>
      <c r="H91" s="1275">
        <f t="shared" si="29"/>
        <v>24.685439999999996</v>
      </c>
      <c r="I91" s="1275">
        <f t="shared" si="29"/>
        <v>22.786559999999998</v>
      </c>
      <c r="O91" s="292"/>
    </row>
    <row r="92" spans="1:17" x14ac:dyDescent="0.2">
      <c r="A92" s="260"/>
      <c r="B92" s="156" t="str">
        <v>TDF+3TC+LPV/r</v>
      </c>
      <c r="C92" s="771">
        <f t="shared" ref="C92:C94" si="31">$D$7*C17</f>
        <v>0</v>
      </c>
      <c r="D92" s="771">
        <f t="shared" ref="D92:D94" si="32">J54</f>
        <v>24.681599999999996</v>
      </c>
      <c r="E92" s="1274">
        <f t="shared" ref="E92:E94" si="33">SUM(C92:D92)</f>
        <v>24.681599999999996</v>
      </c>
      <c r="F92" s="1275">
        <f t="shared" ref="F92:F94" si="34">C$63*$E92</f>
        <v>6.170399999999999</v>
      </c>
      <c r="G92" s="1275">
        <f t="shared" ref="G92:G94" si="35">D$63*$E92</f>
        <v>12.340799999999998</v>
      </c>
      <c r="H92" s="1275">
        <f t="shared" ref="H92:H94" si="36">E$63*$E92</f>
        <v>3.2086079999999995</v>
      </c>
      <c r="I92" s="1275">
        <f t="shared" ref="I92:I94" si="37">F$63*$E92</f>
        <v>2.9617919999999995</v>
      </c>
      <c r="O92" s="292"/>
    </row>
    <row r="93" spans="1:17" x14ac:dyDescent="0.2">
      <c r="A93" s="260"/>
      <c r="B93" s="156" t="str">
        <v>AZT+3TC+EFV</v>
      </c>
      <c r="C93" s="771">
        <f t="shared" si="31"/>
        <v>0</v>
      </c>
      <c r="D93" s="771">
        <f t="shared" si="32"/>
        <v>6.170399999999999</v>
      </c>
      <c r="E93" s="1274">
        <f t="shared" si="33"/>
        <v>6.170399999999999</v>
      </c>
      <c r="F93" s="1275">
        <f t="shared" si="34"/>
        <v>1.5425999999999997</v>
      </c>
      <c r="G93" s="1275">
        <f t="shared" si="35"/>
        <v>3.0851999999999995</v>
      </c>
      <c r="H93" s="1275">
        <f t="shared" si="36"/>
        <v>0.80215199999999987</v>
      </c>
      <c r="I93" s="1275">
        <f t="shared" si="37"/>
        <v>0.74044799999999988</v>
      </c>
      <c r="O93" s="292"/>
    </row>
    <row r="94" spans="1:17" ht="13.5" thickBot="1" x14ac:dyDescent="0.25">
      <c r="A94" s="260"/>
      <c r="B94" s="157">
        <v>0</v>
      </c>
      <c r="C94" s="589">
        <f t="shared" si="31"/>
        <v>0</v>
      </c>
      <c r="D94" s="589">
        <f t="shared" si="32"/>
        <v>0</v>
      </c>
      <c r="E94" s="590">
        <f t="shared" si="33"/>
        <v>0</v>
      </c>
      <c r="F94" s="591">
        <f t="shared" si="34"/>
        <v>0</v>
      </c>
      <c r="G94" s="591">
        <f t="shared" si="35"/>
        <v>0</v>
      </c>
      <c r="H94" s="591">
        <f t="shared" si="36"/>
        <v>0</v>
      </c>
      <c r="I94" s="591">
        <f t="shared" si="37"/>
        <v>0</v>
      </c>
      <c r="O94" s="292"/>
    </row>
    <row r="95" spans="1:17" ht="13.5" thickTop="1" x14ac:dyDescent="0.2">
      <c r="A95" s="260"/>
      <c r="B95" s="592"/>
      <c r="C95" s="592"/>
      <c r="D95" s="592"/>
      <c r="E95" s="592"/>
      <c r="O95" s="292"/>
    </row>
    <row r="97" spans="1:17" s="263" customFormat="1" ht="16.5" thickBot="1" x14ac:dyDescent="0.3">
      <c r="A97" s="2177" t="str">
        <f>'TRAD-Children YEAR(1)'!B45</f>
        <v>Calculs des quantités</v>
      </c>
      <c r="B97" s="2177"/>
      <c r="C97" s="2177"/>
      <c r="D97" s="2177"/>
      <c r="E97" s="2177"/>
      <c r="F97" s="2177"/>
      <c r="G97" s="2177"/>
      <c r="H97" s="2177"/>
      <c r="I97" s="2177"/>
      <c r="J97" s="2177"/>
      <c r="K97" s="2177"/>
      <c r="L97" s="2177"/>
      <c r="M97" s="2177"/>
      <c r="N97" s="2177"/>
    </row>
    <row r="99" spans="1:17" ht="15" x14ac:dyDescent="0.2">
      <c r="A99" s="260"/>
      <c r="B99" s="2143" t="str">
        <f>'TRAD-Children YEAR(1)'!B46</f>
        <v>TRIOMUNE bébé / DUOVIR-N bébé / DUOVIR bébé</v>
      </c>
      <c r="C99" s="2143"/>
      <c r="D99" s="2143"/>
      <c r="E99" s="2143"/>
      <c r="F99" s="2143"/>
      <c r="G99" s="2143"/>
      <c r="H99" s="2143"/>
      <c r="I99" s="2143"/>
      <c r="J99" s="2143"/>
      <c r="K99" s="2143"/>
      <c r="L99" s="2143"/>
      <c r="M99" s="2143"/>
      <c r="Q99" s="292"/>
    </row>
    <row r="100" spans="1:17" ht="13.5" thickBot="1" x14ac:dyDescent="0.25"/>
    <row r="101" spans="1:17" ht="40.5" customHeight="1" thickBot="1" x14ac:dyDescent="0.25">
      <c r="A101" s="594"/>
      <c r="C101" s="595" t="s">
        <v>75</v>
      </c>
      <c r="D101" s="2175" t="s">
        <v>91</v>
      </c>
      <c r="E101" s="2176"/>
      <c r="F101" s="2178" t="str">
        <f>'TRAD-Children YEAR(1)'!B48</f>
        <v>Qtés mensuelles</v>
      </c>
      <c r="G101" s="2179"/>
    </row>
    <row r="102" spans="1:17" ht="13.5" thickBot="1" x14ac:dyDescent="0.25">
      <c r="C102" s="596" t="str">
        <f>'TRAD-Children YEAR(1)'!B49</f>
        <v>Posologies</v>
      </c>
      <c r="D102" s="2175" t="str">
        <f>'TRAD-Children YEAR(1)'!B50</f>
        <v>Voir les formes simples</v>
      </c>
      <c r="E102" s="2176"/>
      <c r="F102" s="597" t="str">
        <f>'TRAD-Children YEAR(1)'!B52</f>
        <v>cp</v>
      </c>
      <c r="G102" s="597" t="str">
        <f>'TRAD-Children YEAR(1)'!B53</f>
        <v>boites</v>
      </c>
    </row>
    <row r="103" spans="1:17" ht="12.75" customHeight="1" x14ac:dyDescent="0.2">
      <c r="C103" s="2187" t="str">
        <f>'TRAD-Children YEAR(1)'!B54</f>
        <v xml:space="preserve">Forme galénique </v>
      </c>
      <c r="D103" s="2205" t="str">
        <f>'TRAD-Children YEAR(1)'!B51</f>
        <v>Cpr, 6 mg d4T,</v>
      </c>
      <c r="E103" s="2206"/>
      <c r="F103" s="2199"/>
      <c r="G103" s="2199"/>
    </row>
    <row r="104" spans="1:17" ht="12.75" customHeight="1" x14ac:dyDescent="0.2">
      <c r="C104" s="2188"/>
      <c r="D104" s="2207" t="s">
        <v>97</v>
      </c>
      <c r="E104" s="2208"/>
      <c r="F104" s="2200"/>
      <c r="G104" s="2200"/>
    </row>
    <row r="105" spans="1:17" ht="13.5" thickBot="1" x14ac:dyDescent="0.25">
      <c r="C105" s="599"/>
      <c r="D105" s="2197" t="s">
        <v>98</v>
      </c>
      <c r="E105" s="2198"/>
      <c r="F105" s="2201"/>
      <c r="G105" s="2201"/>
    </row>
    <row r="106" spans="1:17" ht="13.5" thickBot="1" x14ac:dyDescent="0.25">
      <c r="C106" s="600" t="str">
        <f>'TRAD-Children YEAR(1)'!B36</f>
        <v>Poids (kg)</v>
      </c>
      <c r="D106" s="601" t="str">
        <f>'TRAD-Children YEAR(1)'!B55</f>
        <v>Matin</v>
      </c>
      <c r="E106" s="601" t="str">
        <f>'TRAD-Children YEAR(1)'!B56</f>
        <v>Soir</v>
      </c>
      <c r="F106" s="602"/>
      <c r="G106" s="602"/>
    </row>
    <row r="107" spans="1:17" x14ac:dyDescent="0.2">
      <c r="C107" s="848" t="s">
        <v>388</v>
      </c>
      <c r="D107" s="844">
        <v>1</v>
      </c>
      <c r="E107" s="844">
        <v>1</v>
      </c>
      <c r="F107" s="845">
        <v>60</v>
      </c>
      <c r="G107" s="845">
        <v>1</v>
      </c>
    </row>
    <row r="108" spans="1:17" x14ac:dyDescent="0.2">
      <c r="C108" s="848" t="s">
        <v>389</v>
      </c>
      <c r="D108" s="844">
        <v>1</v>
      </c>
      <c r="E108" s="844">
        <v>1</v>
      </c>
      <c r="F108" s="845">
        <v>60</v>
      </c>
      <c r="G108" s="845">
        <v>1</v>
      </c>
    </row>
    <row r="109" spans="1:17" x14ac:dyDescent="0.2">
      <c r="C109" s="603" t="s">
        <v>101</v>
      </c>
      <c r="D109" s="844">
        <v>1</v>
      </c>
      <c r="E109" s="844">
        <v>1</v>
      </c>
      <c r="F109" s="845">
        <v>60</v>
      </c>
      <c r="G109" s="845">
        <v>1</v>
      </c>
    </row>
    <row r="110" spans="1:17" x14ac:dyDescent="0.2">
      <c r="C110" s="604" t="s">
        <v>102</v>
      </c>
      <c r="D110" s="844">
        <v>1.5</v>
      </c>
      <c r="E110" s="844">
        <v>1.5</v>
      </c>
      <c r="F110" s="845">
        <v>90</v>
      </c>
      <c r="G110" s="845">
        <v>1.5</v>
      </c>
    </row>
    <row r="111" spans="1:17" x14ac:dyDescent="0.2">
      <c r="C111" s="604" t="s">
        <v>103</v>
      </c>
      <c r="D111" s="844">
        <v>1.5</v>
      </c>
      <c r="E111" s="844">
        <v>1.5</v>
      </c>
      <c r="F111" s="845">
        <v>90</v>
      </c>
      <c r="G111" s="845">
        <v>1.5</v>
      </c>
    </row>
    <row r="112" spans="1:17" x14ac:dyDescent="0.2">
      <c r="C112" s="604" t="s">
        <v>104</v>
      </c>
      <c r="D112" s="844">
        <v>1.5</v>
      </c>
      <c r="E112" s="844">
        <v>1.5</v>
      </c>
      <c r="F112" s="845">
        <v>90</v>
      </c>
      <c r="G112" s="845">
        <v>1.5</v>
      </c>
    </row>
    <row r="113" spans="1:8" x14ac:dyDescent="0.2">
      <c r="C113" s="604" t="s">
        <v>105</v>
      </c>
      <c r="D113" s="845">
        <v>1.5</v>
      </c>
      <c r="E113" s="845">
        <v>1.5</v>
      </c>
      <c r="F113" s="845">
        <v>90</v>
      </c>
      <c r="G113" s="845">
        <v>1.5</v>
      </c>
    </row>
    <row r="114" spans="1:8" x14ac:dyDescent="0.2">
      <c r="C114" s="604" t="s">
        <v>106</v>
      </c>
      <c r="D114" s="844" t="s">
        <v>107</v>
      </c>
      <c r="E114" s="844">
        <v>2</v>
      </c>
      <c r="F114" s="845">
        <v>120</v>
      </c>
      <c r="G114" s="845">
        <v>2</v>
      </c>
    </row>
    <row r="115" spans="1:8" x14ac:dyDescent="0.2">
      <c r="C115" s="604" t="s">
        <v>108</v>
      </c>
      <c r="D115" s="844" t="s">
        <v>107</v>
      </c>
      <c r="E115" s="844">
        <v>2</v>
      </c>
      <c r="F115" s="845">
        <v>120</v>
      </c>
      <c r="G115" s="845">
        <v>2</v>
      </c>
    </row>
    <row r="116" spans="1:8" x14ac:dyDescent="0.2">
      <c r="C116" s="604" t="s">
        <v>109</v>
      </c>
      <c r="D116" s="844" t="s">
        <v>107</v>
      </c>
      <c r="E116" s="844">
        <v>2</v>
      </c>
      <c r="F116" s="845">
        <v>120</v>
      </c>
      <c r="G116" s="845">
        <v>2</v>
      </c>
    </row>
    <row r="117" spans="1:8" x14ac:dyDescent="0.2">
      <c r="C117" s="604" t="s">
        <v>110</v>
      </c>
      <c r="D117" s="844">
        <v>2.5</v>
      </c>
      <c r="E117" s="844">
        <v>2.5</v>
      </c>
      <c r="F117" s="845">
        <v>150</v>
      </c>
      <c r="G117" s="845">
        <v>2.5</v>
      </c>
    </row>
    <row r="118" spans="1:8" x14ac:dyDescent="0.2">
      <c r="C118" s="604" t="s">
        <v>111</v>
      </c>
      <c r="D118" s="844">
        <v>2.5</v>
      </c>
      <c r="E118" s="844">
        <v>2.5</v>
      </c>
      <c r="F118" s="845">
        <v>150</v>
      </c>
      <c r="G118" s="845">
        <v>2.5</v>
      </c>
    </row>
    <row r="119" spans="1:8" x14ac:dyDescent="0.2">
      <c r="C119" s="604" t="s">
        <v>112</v>
      </c>
      <c r="D119" s="844">
        <v>3</v>
      </c>
      <c r="E119" s="844">
        <v>3</v>
      </c>
      <c r="F119" s="845">
        <v>180</v>
      </c>
      <c r="G119" s="845">
        <v>3</v>
      </c>
    </row>
    <row r="120" spans="1:8" x14ac:dyDescent="0.2">
      <c r="C120" s="604" t="s">
        <v>113</v>
      </c>
      <c r="D120" s="844"/>
      <c r="E120" s="844"/>
      <c r="F120" s="845"/>
      <c r="G120" s="845"/>
    </row>
    <row r="121" spans="1:8" ht="13.5" thickBot="1" x14ac:dyDescent="0.25">
      <c r="C121" s="605" t="s">
        <v>114</v>
      </c>
      <c r="D121" s="846"/>
      <c r="E121" s="846"/>
      <c r="F121" s="847"/>
      <c r="G121" s="847"/>
    </row>
    <row r="123" spans="1:8" s="4" customFormat="1" x14ac:dyDescent="0.2">
      <c r="A123" s="3"/>
      <c r="B123" s="3" t="str">
        <f>'TRAD-Children YEAR(1)'!B58</f>
        <v>Si enfants &gt; 15 kg : formes adultes à prendre en compte</v>
      </c>
    </row>
    <row r="125" spans="1:8" ht="13.5" thickBot="1" x14ac:dyDescent="0.25"/>
    <row r="126" spans="1:8" ht="13.5" thickBot="1" x14ac:dyDescent="0.25">
      <c r="A126" s="260"/>
      <c r="B126" s="2202" t="str">
        <f>'TRAD-Children YEAR(1)'!B59</f>
        <v>Initiation du traitement NVP pour les enfants recevant la TRIOMUNE bébé</v>
      </c>
      <c r="C126" s="2203"/>
      <c r="D126" s="2203"/>
      <c r="E126" s="2203"/>
      <c r="F126" s="2204"/>
    </row>
    <row r="127" spans="1:8" ht="13.5" thickBot="1" x14ac:dyDescent="0.25">
      <c r="A127" s="260"/>
      <c r="B127" s="606"/>
      <c r="C127" s="606"/>
      <c r="D127" s="606"/>
      <c r="E127" s="606"/>
      <c r="F127" s="606"/>
    </row>
    <row r="128" spans="1:8" s="1560" customFormat="1" ht="77.25" thickBot="1" x14ac:dyDescent="0.25">
      <c r="A128" s="543"/>
      <c r="E128" s="368"/>
      <c r="F128" s="369" t="str">
        <f>'TRAD-Children YEAR(1)'!B60</f>
        <v>Qté / enfant</v>
      </c>
      <c r="G128" s="498" t="str">
        <f>'TRAD-Children YEAR(1)'!B61</f>
        <v>Nb total de flacon pour les nouveaux enfants de l'année</v>
      </c>
      <c r="H128" s="498" t="str">
        <f>'TRAD-Children YEAR(1)'!B62</f>
        <v>Nb total de flacon pour les nouveaux enfants sur période AVEC marge sécu</v>
      </c>
    </row>
    <row r="129" spans="1:17" x14ac:dyDescent="0.2">
      <c r="C129" s="260" t="str">
        <f>'TRAD-Children YEAR(1)'!B63</f>
        <v>15 premiers jours</v>
      </c>
      <c r="E129" s="607" t="s">
        <v>61</v>
      </c>
      <c r="F129" s="374" t="str">
        <f>'TRAD-Children YEAR(1)'!B64</f>
        <v>1 flacon</v>
      </c>
      <c r="G129" s="1568">
        <f>IF('Data &amp; hypothesis Children'!$G$111="X", ROUNDUP(F27, 0), 0)</f>
        <v>0</v>
      </c>
      <c r="H129" s="1568">
        <f>IF('Data &amp; hypothesis Children'!$G$111="X", ROUNDUP(G27, 0), 0)</f>
        <v>0</v>
      </c>
    </row>
    <row r="130" spans="1:17" x14ac:dyDescent="0.2">
      <c r="E130" s="608" t="s">
        <v>39</v>
      </c>
      <c r="F130" s="382" t="str">
        <f>'TRAD-Children YEAR(1)'!B64</f>
        <v>1 flacon</v>
      </c>
      <c r="G130" s="1569">
        <f>IF('Data &amp; hypothesis Children'!$G$108="X", ROUNDUP(F28, 0), 0)</f>
        <v>0</v>
      </c>
      <c r="H130" s="1569">
        <f>IF('Data &amp; hypothesis Children'!$G$108="X", ROUNDUP(G28, 0), 0)</f>
        <v>0</v>
      </c>
    </row>
    <row r="131" spans="1:17" x14ac:dyDescent="0.2">
      <c r="B131" s="528"/>
      <c r="E131" s="608" t="s">
        <v>15</v>
      </c>
      <c r="F131" s="382" t="str">
        <f>'TRAD-Children YEAR(1)'!B64</f>
        <v>1 flacon</v>
      </c>
      <c r="G131" s="1569">
        <f>IF('Data &amp; hypothesis Children'!$G$108="X", ROUNDUP(F28, 0), 0)+IF('Data &amp; hypothesis Children'!$G$111="X", ROUNDUP(F27, 0), 0)</f>
        <v>0</v>
      </c>
      <c r="H131" s="1569">
        <f>IF('Data &amp; hypothesis Children'!$G$108="X", ROUNDUP(G28, 0), 0)+IF('Data &amp; hypothesis Children'!$G$111="X", ROUNDUP(G27, 0), 0)</f>
        <v>0</v>
      </c>
    </row>
    <row r="132" spans="1:17" ht="13.5" thickBot="1" x14ac:dyDescent="0.25">
      <c r="B132" s="528"/>
      <c r="E132" s="609" t="s">
        <v>19</v>
      </c>
      <c r="F132" s="424" t="str">
        <f>'TRAD-Children YEAR(1)'!B64</f>
        <v>1 flacon</v>
      </c>
      <c r="G132" s="1570">
        <f>IF(OR('Data &amp; hypothesis Children'!$G$107="X", 'Data &amp; hypothesis Children'!$G$108="X"), ROUNDUP(F28, 0), 0)+IF(OR('Data &amp; hypothesis Children'!$G$110="X", 'Data &amp; hypothesis Children'!$G$111="X"), ROUNDUP(F27, 0), 0)</f>
        <v>0</v>
      </c>
      <c r="H132" s="1570">
        <f>IF(OR('Data &amp; hypothesis Children'!$G$107="X", 'Data &amp; hypothesis Children'!$G$108="X"), ROUNDUP(G28, 0), 0)+IF(OR('Data &amp; hypothesis Children'!$G$110="X", 'Data &amp; hypothesis Children'!$G$111="X"), ROUNDUP(G27, 0), 0)</f>
        <v>0</v>
      </c>
    </row>
    <row r="133" spans="1:17" x14ac:dyDescent="0.2">
      <c r="B133" s="528"/>
      <c r="E133" s="608" t="s">
        <v>50</v>
      </c>
      <c r="F133" s="382" t="str">
        <f>'TRAD-Children YEAR(1)'!B65</f>
        <v>15 cp</v>
      </c>
      <c r="G133" s="1569">
        <f>IF('Data &amp; hypothesis Children'!$G$109="X", ROUNDUP(F27*0.25, 0), 0)</f>
        <v>0</v>
      </c>
      <c r="H133" s="1569">
        <f>IF('Data &amp; hypothesis Children'!$G$109="X", ROUNDUP(G27*0.25, 0), 0)</f>
        <v>0</v>
      </c>
    </row>
    <row r="134" spans="1:17" x14ac:dyDescent="0.2">
      <c r="B134" s="528"/>
      <c r="E134" s="608" t="s">
        <v>81</v>
      </c>
      <c r="F134" s="382" t="str">
        <f>'TRAD-Children YEAR(1)'!B65</f>
        <v>15 cp</v>
      </c>
      <c r="G134" s="1569">
        <f>IF('Data &amp; hypothesis Children'!$G$109="X", ROUNDUP(F27*0.25, 0), 0)+IF('Data &amp; hypothesis Children'!$G$110="X", ROUNDUP(F27*0.5, 0), 0)</f>
        <v>0</v>
      </c>
      <c r="H134" s="1569">
        <f>IF('Data &amp; hypothesis Children'!$G$109="X", ROUNDUP(G27*0.25, 0), 0)+IF('Data &amp; hypothesis Children'!$G$110="X", ROUNDUP(G27*0.5, 0), 0)</f>
        <v>0</v>
      </c>
    </row>
    <row r="135" spans="1:17" x14ac:dyDescent="0.2">
      <c r="B135" s="528"/>
      <c r="E135" s="608" t="s">
        <v>7</v>
      </c>
      <c r="F135" s="382" t="str">
        <f>'TRAD-Children YEAR(1)'!B65</f>
        <v>15 cp</v>
      </c>
      <c r="G135" s="1569">
        <f>IF('Data &amp; hypothesis Children'!$G$106="X", ROUNDUP(F28*0.25, 0), 0)</f>
        <v>0</v>
      </c>
      <c r="H135" s="1569">
        <f>IF('Data &amp; hypothesis Children'!$G$106="X", ROUNDUP(G28*0.25, 0), 0)</f>
        <v>0</v>
      </c>
    </row>
    <row r="136" spans="1:17" ht="13.5" thickBot="1" x14ac:dyDescent="0.25">
      <c r="B136" s="528"/>
      <c r="E136" s="609" t="s">
        <v>11</v>
      </c>
      <c r="F136" s="424" t="str">
        <f>'TRAD-Children YEAR(1)'!B65</f>
        <v>15 cp</v>
      </c>
      <c r="G136" s="1570">
        <f>IF('Data &amp; hypothesis Children'!$G$106="X", ROUNDUP(F28*0.25, 0), 0)+IF('Data &amp; hypothesis Children'!$G$107="X", ROUNDUP(F28*0.5, 0), 0)</f>
        <v>0</v>
      </c>
      <c r="H136" s="1570">
        <f>IF('Data &amp; hypothesis Children'!$G$106="X", ROUNDUP(G28*0.25, 0), 0)+IF('Data &amp; hypothesis Children'!$G$107="X", ROUNDUP(G28*0.5, 0), 0)</f>
        <v>0</v>
      </c>
    </row>
    <row r="138" spans="1:17" ht="15" x14ac:dyDescent="0.2">
      <c r="A138" s="260"/>
      <c r="B138" s="2143" t="str">
        <f>'TRAD-Children YEAR(1)'!B66</f>
        <v>Autres schémas (1ères et 2èmes lignes)</v>
      </c>
      <c r="C138" s="2143"/>
      <c r="D138" s="2143"/>
      <c r="E138" s="2143"/>
      <c r="F138" s="2143"/>
      <c r="G138" s="2143"/>
      <c r="H138" s="2143"/>
      <c r="I138" s="2143"/>
      <c r="J138" s="2143"/>
      <c r="K138" s="2143"/>
      <c r="L138" s="2143"/>
      <c r="M138" s="2143"/>
      <c r="Q138" s="292"/>
    </row>
    <row r="139" spans="1:17" ht="13.5" thickBot="1" x14ac:dyDescent="0.25">
      <c r="F139" s="497"/>
      <c r="G139" s="497"/>
    </row>
    <row r="140" spans="1:17" ht="51.75" thickBot="1" x14ac:dyDescent="0.25">
      <c r="C140" s="368" t="str">
        <f>'TRAD-Children YEAR(1)'!B67</f>
        <v>Composition</v>
      </c>
      <c r="D140" s="369" t="str">
        <f>'TRAD-Children YEAR(1)'!B54</f>
        <v xml:space="preserve">Forme galénique </v>
      </c>
      <c r="E140" s="369" t="str">
        <f>'TRAD-Children YEAR(1)'!B68</f>
        <v>Dosage</v>
      </c>
      <c r="F140" s="369" t="str">
        <f>'TRAD-Children YEAR(1)'!B69</f>
        <v>Nom de spécialité</v>
      </c>
      <c r="G140" s="369" t="str">
        <f>'TRAD-Children YEAR(1)'!B70</f>
        <v>Volume conditionnement primaire (mL)</v>
      </c>
      <c r="H140" s="369" t="str">
        <f>'TRAD-Children YEAR(1)'!B71</f>
        <v>Conditionement secondaire</v>
      </c>
      <c r="I140" s="610" t="str">
        <f>'TRAD-Children YEAR(1)'!B72</f>
        <v>Qtés de patients - mois</v>
      </c>
    </row>
    <row r="141" spans="1:17" x14ac:dyDescent="0.2">
      <c r="C141" s="607" t="s">
        <v>39</v>
      </c>
      <c r="D141" s="611" t="str">
        <f>'TRAD-Children YEAR(1)'!B74</f>
        <v>sol buv</v>
      </c>
      <c r="E141" s="611" t="s">
        <v>41</v>
      </c>
      <c r="F141" s="374" t="s">
        <v>42</v>
      </c>
      <c r="G141" s="1428">
        <f>'Available Stocks'!$K$55</f>
        <v>240</v>
      </c>
      <c r="H141" s="374">
        <f>'Available Stocks'!L55</f>
        <v>1</v>
      </c>
      <c r="I141" s="612"/>
    </row>
    <row r="142" spans="1:17" x14ac:dyDescent="0.2">
      <c r="C142" s="608" t="s">
        <v>61</v>
      </c>
      <c r="D142" s="613" t="str">
        <f>'TRAD-Children YEAR(1)'!B74</f>
        <v>sol buv</v>
      </c>
      <c r="E142" s="613" t="s">
        <v>41</v>
      </c>
      <c r="F142" s="382"/>
      <c r="G142" s="1429">
        <f>'Available Stocks'!$K$56</f>
        <v>240</v>
      </c>
      <c r="H142" s="382">
        <f>'Available Stocks'!L56</f>
        <v>1</v>
      </c>
      <c r="I142" s="614"/>
    </row>
    <row r="143" spans="1:17" x14ac:dyDescent="0.2">
      <c r="C143" s="615" t="s">
        <v>15</v>
      </c>
      <c r="D143" s="616" t="str">
        <f>'TRAD-Children YEAR(1)'!B74</f>
        <v>sol buv</v>
      </c>
      <c r="E143" s="616" t="s">
        <v>41</v>
      </c>
      <c r="F143" s="391" t="s">
        <v>43</v>
      </c>
      <c r="G143" s="1430">
        <f>'Available Stocks'!$K$57</f>
        <v>240</v>
      </c>
      <c r="H143" s="391">
        <f>'Available Stocks'!L57</f>
        <v>1</v>
      </c>
      <c r="I143" s="617"/>
    </row>
    <row r="144" spans="1:17" x14ac:dyDescent="0.2">
      <c r="C144" s="615" t="s">
        <v>25</v>
      </c>
      <c r="D144" s="616" t="str">
        <f>'TRAD-Children YEAR(1)'!B74</f>
        <v>sol buv</v>
      </c>
      <c r="E144" s="616" t="s">
        <v>44</v>
      </c>
      <c r="F144" s="391" t="s">
        <v>26</v>
      </c>
      <c r="G144" s="1430">
        <f>'Available Stocks'!$K$58</f>
        <v>240</v>
      </c>
      <c r="H144" s="391">
        <f>'Available Stocks'!L58</f>
        <v>1</v>
      </c>
      <c r="I144" s="617"/>
    </row>
    <row r="145" spans="2:9" x14ac:dyDescent="0.2">
      <c r="C145" s="615" t="s">
        <v>28</v>
      </c>
      <c r="D145" s="616" t="str">
        <f>'TRAD-Children YEAR(1)'!B74</f>
        <v>sol buv</v>
      </c>
      <c r="E145" s="616" t="s">
        <v>46</v>
      </c>
      <c r="F145" s="391" t="s">
        <v>30</v>
      </c>
      <c r="G145" s="1430">
        <f>'Available Stocks'!$K$59</f>
        <v>200</v>
      </c>
      <c r="H145" s="391">
        <f>'Available Stocks'!L59</f>
        <v>1</v>
      </c>
      <c r="I145" s="617"/>
    </row>
    <row r="146" spans="2:9" x14ac:dyDescent="0.2">
      <c r="C146" s="615" t="s">
        <v>19</v>
      </c>
      <c r="D146" s="616" t="str">
        <f>'TRAD-Children YEAR(1)'!B74</f>
        <v>sol buv</v>
      </c>
      <c r="E146" s="616" t="s">
        <v>41</v>
      </c>
      <c r="F146" s="391" t="s">
        <v>21</v>
      </c>
      <c r="G146" s="1430">
        <f>'Available Stocks'!$K$60</f>
        <v>240</v>
      </c>
      <c r="H146" s="391">
        <f>'Available Stocks'!L60</f>
        <v>1</v>
      </c>
      <c r="I146" s="617"/>
    </row>
    <row r="147" spans="2:9" x14ac:dyDescent="0.2">
      <c r="C147" s="618" t="s">
        <v>17</v>
      </c>
      <c r="D147" s="619" t="str">
        <f>'TRAD-Children YEAR(1)'!B74</f>
        <v>sol buv</v>
      </c>
      <c r="E147" s="619" t="s">
        <v>259</v>
      </c>
      <c r="F147" s="400" t="s">
        <v>249</v>
      </c>
      <c r="G147" s="1431">
        <f>'Available Stocks'!$K$61</f>
        <v>180</v>
      </c>
      <c r="H147" s="400">
        <f>'Available Stocks'!L61</f>
        <v>1</v>
      </c>
      <c r="I147" s="620"/>
    </row>
    <row r="148" spans="2:9" ht="13.5" thickBot="1" x14ac:dyDescent="0.25">
      <c r="C148" s="609" t="s">
        <v>33</v>
      </c>
      <c r="D148" s="621" t="str">
        <f>'TRAD-Children YEAR(1)'!B74</f>
        <v>sol buv</v>
      </c>
      <c r="E148" s="621" t="s">
        <v>47</v>
      </c>
      <c r="F148" s="424" t="s">
        <v>48</v>
      </c>
      <c r="G148" s="1432">
        <f>'Available Stocks'!$K$62</f>
        <v>60</v>
      </c>
      <c r="H148" s="424">
        <f>'Available Stocks'!L62</f>
        <v>4</v>
      </c>
      <c r="I148" s="622"/>
    </row>
    <row r="149" spans="2:9" ht="13.5" thickBot="1" x14ac:dyDescent="0.25">
      <c r="B149" s="623"/>
      <c r="C149" s="624"/>
      <c r="D149" s="624"/>
      <c r="E149" s="623"/>
      <c r="F149" s="623"/>
      <c r="G149" s="623"/>
      <c r="H149" s="623"/>
    </row>
    <row r="150" spans="2:9" ht="13.5" thickBot="1" x14ac:dyDescent="0.25">
      <c r="B150" s="2165" t="str">
        <f>'TRAD-Children YEAR(1)'!B75</f>
        <v>Si enfant de 6 - 7 kg (pris en compte pour la tranche 3 - 9,9 kg)</v>
      </c>
      <c r="C150" s="2166"/>
      <c r="D150" s="2166"/>
      <c r="E150" s="2166"/>
      <c r="F150" s="2166"/>
      <c r="G150" s="2166"/>
      <c r="H150" s="2167"/>
    </row>
    <row r="151" spans="2:9" ht="13.5" thickBot="1" x14ac:dyDescent="0.25">
      <c r="B151" s="625"/>
      <c r="C151" s="624"/>
      <c r="D151" s="624"/>
      <c r="E151" s="623"/>
      <c r="F151" s="623"/>
      <c r="G151" s="623"/>
      <c r="H151" s="623"/>
    </row>
    <row r="152" spans="2:9" ht="26.25" thickBot="1" x14ac:dyDescent="0.25">
      <c r="C152" s="368"/>
      <c r="D152" s="369" t="str">
        <f>'TRAD-Children YEAR(1)'!B76</f>
        <v>volume (mL) / jour</v>
      </c>
      <c r="E152" s="369" t="str">
        <f>'TRAD-Children YEAR(1)'!B77</f>
        <v>volume (mL) / mois</v>
      </c>
      <c r="F152" s="369" t="str">
        <f>'TRAD-Children YEAR(1)'!B78</f>
        <v>volume flacon (mL)</v>
      </c>
      <c r="G152" s="369" t="str">
        <f>'TRAD-Children YEAR(1)'!B79</f>
        <v>nb de flacons / mois</v>
      </c>
      <c r="H152" s="369" t="str">
        <f>'TRAD-Children YEAR(1)'!B80</f>
        <v>nb de flacons / mois arrondi</v>
      </c>
      <c r="I152" s="369" t="str">
        <f>'TRAD-Children YEAR(1)'!B81</f>
        <v>reste (mL)</v>
      </c>
    </row>
    <row r="153" spans="2:9" x14ac:dyDescent="0.2">
      <c r="C153" s="607" t="s">
        <v>39</v>
      </c>
      <c r="D153" s="1434">
        <f>'Data &amp; hypothesis Children'!D195</f>
        <v>18</v>
      </c>
      <c r="E153" s="626">
        <f t="shared" ref="E153:E159" si="38">D153*30</f>
        <v>540</v>
      </c>
      <c r="F153" s="1428">
        <f>'Available Stocks'!$K$55</f>
        <v>240</v>
      </c>
      <c r="G153" s="627">
        <f t="shared" ref="G153:G160" si="39">E153/F153</f>
        <v>2.25</v>
      </c>
      <c r="H153" s="627">
        <f t="shared" ref="H153:H159" si="40">ROUNDUP(E153/F153, 0)</f>
        <v>3</v>
      </c>
      <c r="I153" s="628">
        <f t="shared" ref="I153:I159" si="41">H153*F153-E153</f>
        <v>180</v>
      </c>
    </row>
    <row r="154" spans="2:9" x14ac:dyDescent="0.2">
      <c r="C154" s="615" t="s">
        <v>61</v>
      </c>
      <c r="D154" s="1435">
        <f>'Data &amp; hypothesis Children'!D196</f>
        <v>14</v>
      </c>
      <c r="E154" s="629">
        <f t="shared" si="38"/>
        <v>420</v>
      </c>
      <c r="F154" s="1429">
        <f>'Available Stocks'!$K$56</f>
        <v>240</v>
      </c>
      <c r="G154" s="630">
        <f t="shared" si="39"/>
        <v>1.75</v>
      </c>
      <c r="H154" s="630">
        <f t="shared" si="40"/>
        <v>2</v>
      </c>
      <c r="I154" s="631">
        <f t="shared" si="41"/>
        <v>60</v>
      </c>
    </row>
    <row r="155" spans="2:9" x14ac:dyDescent="0.2">
      <c r="C155" s="615" t="s">
        <v>15</v>
      </c>
      <c r="D155" s="1435">
        <f>'Data &amp; hypothesis Children'!D197</f>
        <v>8</v>
      </c>
      <c r="E155" s="629">
        <f t="shared" si="38"/>
        <v>240</v>
      </c>
      <c r="F155" s="1430">
        <f>'Available Stocks'!$K$57</f>
        <v>240</v>
      </c>
      <c r="G155" s="630">
        <f t="shared" si="39"/>
        <v>1</v>
      </c>
      <c r="H155" s="630">
        <f t="shared" si="40"/>
        <v>1</v>
      </c>
      <c r="I155" s="631">
        <f t="shared" si="41"/>
        <v>0</v>
      </c>
    </row>
    <row r="156" spans="2:9" x14ac:dyDescent="0.2">
      <c r="C156" s="615" t="s">
        <v>25</v>
      </c>
      <c r="D156" s="1435">
        <f>'Data &amp; hypothesis Children'!D198</f>
        <v>6</v>
      </c>
      <c r="E156" s="629">
        <f t="shared" si="38"/>
        <v>180</v>
      </c>
      <c r="F156" s="1430">
        <f>'Available Stocks'!$K$58</f>
        <v>240</v>
      </c>
      <c r="G156" s="630">
        <f t="shared" si="39"/>
        <v>0.75</v>
      </c>
      <c r="H156" s="630">
        <f t="shared" si="40"/>
        <v>1</v>
      </c>
      <c r="I156" s="631">
        <f t="shared" si="41"/>
        <v>60</v>
      </c>
    </row>
    <row r="157" spans="2:9" x14ac:dyDescent="0.2">
      <c r="C157" s="615" t="s">
        <v>28</v>
      </c>
      <c r="D157" s="1435">
        <f>'Data &amp; hypothesis Children'!D199</f>
        <v>10</v>
      </c>
      <c r="E157" s="629">
        <f t="shared" si="38"/>
        <v>300</v>
      </c>
      <c r="F157" s="1430">
        <f>'Available Stocks'!$K$59</f>
        <v>200</v>
      </c>
      <c r="G157" s="632">
        <f t="shared" si="39"/>
        <v>1.5</v>
      </c>
      <c r="H157" s="632">
        <f t="shared" si="40"/>
        <v>2</v>
      </c>
      <c r="I157" s="633">
        <f t="shared" si="41"/>
        <v>100</v>
      </c>
    </row>
    <row r="158" spans="2:9" x14ac:dyDescent="0.2">
      <c r="C158" s="634" t="s">
        <v>19</v>
      </c>
      <c r="D158" s="1435">
        <f>'Data &amp; hypothesis Children'!D200</f>
        <v>14</v>
      </c>
      <c r="E158" s="629">
        <f t="shared" si="38"/>
        <v>420</v>
      </c>
      <c r="F158" s="1430">
        <f>'Available Stocks'!$K$60</f>
        <v>240</v>
      </c>
      <c r="G158" s="630">
        <f t="shared" si="39"/>
        <v>1.75</v>
      </c>
      <c r="H158" s="630">
        <f t="shared" si="40"/>
        <v>2</v>
      </c>
      <c r="I158" s="631">
        <f t="shared" si="41"/>
        <v>60</v>
      </c>
    </row>
    <row r="159" spans="2:9" x14ac:dyDescent="0.2">
      <c r="C159" s="634" t="s">
        <v>17</v>
      </c>
      <c r="D159" s="1435">
        <f>'Data &amp; hypothesis Children'!D201</f>
        <v>0</v>
      </c>
      <c r="E159" s="629">
        <f t="shared" si="38"/>
        <v>0</v>
      </c>
      <c r="F159" s="1431">
        <f>'Available Stocks'!$K$61</f>
        <v>180</v>
      </c>
      <c r="G159" s="630">
        <f t="shared" si="39"/>
        <v>0</v>
      </c>
      <c r="H159" s="630">
        <f t="shared" si="40"/>
        <v>0</v>
      </c>
      <c r="I159" s="631">
        <f t="shared" si="41"/>
        <v>0</v>
      </c>
    </row>
    <row r="160" spans="2:9" ht="13.5" thickBot="1" x14ac:dyDescent="0.25">
      <c r="C160" s="609" t="s">
        <v>33</v>
      </c>
      <c r="D160" s="1436">
        <f>'Data &amp; hypothesis Children'!D202</f>
        <v>3</v>
      </c>
      <c r="E160" s="635">
        <f>D160*30</f>
        <v>90</v>
      </c>
      <c r="F160" s="1432">
        <f>'Available Stocks'!$K$62</f>
        <v>60</v>
      </c>
      <c r="G160" s="636">
        <f t="shared" si="39"/>
        <v>1.5</v>
      </c>
      <c r="H160" s="636">
        <f>ROUNDUP(E160/F160, 0)</f>
        <v>2</v>
      </c>
      <c r="I160" s="637">
        <f>H160*F160-E160</f>
        <v>30</v>
      </c>
    </row>
    <row r="161" spans="2:9" x14ac:dyDescent="0.2">
      <c r="B161" s="623"/>
      <c r="C161" s="624"/>
      <c r="D161" s="624"/>
      <c r="E161" s="623"/>
      <c r="F161" s="623"/>
      <c r="G161" s="623"/>
      <c r="H161" s="623"/>
    </row>
    <row r="162" spans="2:9" ht="13.5" thickBot="1" x14ac:dyDescent="0.25">
      <c r="B162" s="623"/>
      <c r="C162" s="624"/>
      <c r="D162" s="624"/>
      <c r="E162" s="623"/>
      <c r="F162" s="623"/>
      <c r="G162" s="623"/>
      <c r="H162" s="623"/>
    </row>
    <row r="163" spans="2:9" ht="13.5" thickBot="1" x14ac:dyDescent="0.25">
      <c r="B163" s="2165" t="str">
        <f>'TRAD-Children YEAR(1)'!B82</f>
        <v>Si enfant de 12 - 14 kg (pris en compte pour la tranche 10 - 14,9 kg)</v>
      </c>
      <c r="C163" s="2166"/>
      <c r="D163" s="2166"/>
      <c r="E163" s="2166"/>
      <c r="F163" s="2166"/>
      <c r="G163" s="2166"/>
      <c r="H163" s="2167"/>
    </row>
    <row r="164" spans="2:9" ht="13.5" thickBot="1" x14ac:dyDescent="0.25">
      <c r="B164" s="623"/>
      <c r="C164" s="624"/>
      <c r="D164" s="624"/>
      <c r="E164" s="623"/>
      <c r="F164" s="623"/>
      <c r="G164" s="623"/>
      <c r="H164" s="623"/>
    </row>
    <row r="165" spans="2:9" ht="26.25" thickBot="1" x14ac:dyDescent="0.25">
      <c r="C165" s="368"/>
      <c r="D165" s="369" t="str">
        <f>'TRAD-Children YEAR(1)'!B76</f>
        <v>volume (mL) / jour</v>
      </c>
      <c r="E165" s="369" t="str">
        <f>'TRAD-Children YEAR(1)'!B77</f>
        <v>volume (mL) / mois</v>
      </c>
      <c r="F165" s="369" t="str">
        <f>'TRAD-Children YEAR(1)'!B78</f>
        <v>volume flacon (mL)</v>
      </c>
      <c r="G165" s="369" t="str">
        <f>'TRAD-Children YEAR(1)'!B79</f>
        <v>nb de flacons / mois</v>
      </c>
      <c r="H165" s="369" t="str">
        <f>'TRAD-Children YEAR(1)'!B80</f>
        <v>nb de flacons / mois arrondi</v>
      </c>
      <c r="I165" s="369" t="str">
        <f>'TRAD-Children YEAR(1)'!B81</f>
        <v>reste (mL)</v>
      </c>
    </row>
    <row r="166" spans="2:9" x14ac:dyDescent="0.2">
      <c r="C166" s="607" t="s">
        <v>39</v>
      </c>
      <c r="D166" s="1434">
        <f>'Data &amp; hypothesis Children'!D210</f>
        <v>24</v>
      </c>
      <c r="E166" s="626">
        <f t="shared" ref="E166:E173" si="42">D166*30</f>
        <v>720</v>
      </c>
      <c r="F166" s="1428">
        <f>'Available Stocks'!$K$55</f>
        <v>240</v>
      </c>
      <c r="G166" s="627">
        <f t="shared" ref="G166:G173" si="43">E166/F166</f>
        <v>3</v>
      </c>
      <c r="H166" s="627">
        <f t="shared" ref="H166:H173" si="44">ROUNDUP(E166/F166, 0)</f>
        <v>3</v>
      </c>
      <c r="I166" s="628">
        <f t="shared" ref="I166:I173" si="45">H166*F166-E166</f>
        <v>0</v>
      </c>
    </row>
    <row r="167" spans="2:9" x14ac:dyDescent="0.2">
      <c r="C167" s="615" t="s">
        <v>61</v>
      </c>
      <c r="D167" s="1435">
        <f>'Data &amp; hypothesis Children'!D211</f>
        <v>24</v>
      </c>
      <c r="E167" s="629">
        <f t="shared" si="42"/>
        <v>720</v>
      </c>
      <c r="F167" s="1429">
        <f>'Available Stocks'!$K$56</f>
        <v>240</v>
      </c>
      <c r="G167" s="630">
        <f t="shared" si="43"/>
        <v>3</v>
      </c>
      <c r="H167" s="630">
        <f t="shared" si="44"/>
        <v>3</v>
      </c>
      <c r="I167" s="631">
        <f t="shared" si="45"/>
        <v>0</v>
      </c>
    </row>
    <row r="168" spans="2:9" x14ac:dyDescent="0.2">
      <c r="C168" s="615" t="s">
        <v>15</v>
      </c>
      <c r="D168" s="1435">
        <f>'Data &amp; hypothesis Children'!D212</f>
        <v>12</v>
      </c>
      <c r="E168" s="629">
        <f t="shared" si="42"/>
        <v>360</v>
      </c>
      <c r="F168" s="1430">
        <f>'Available Stocks'!$K$57</f>
        <v>240</v>
      </c>
      <c r="G168" s="630">
        <f t="shared" si="43"/>
        <v>1.5</v>
      </c>
      <c r="H168" s="630">
        <f t="shared" si="44"/>
        <v>2</v>
      </c>
      <c r="I168" s="631">
        <f t="shared" si="45"/>
        <v>120</v>
      </c>
    </row>
    <row r="169" spans="2:9" x14ac:dyDescent="0.2">
      <c r="C169" s="615" t="s">
        <v>25</v>
      </c>
      <c r="D169" s="1435">
        <f>'Data &amp; hypothesis Children'!D213</f>
        <v>12</v>
      </c>
      <c r="E169" s="629">
        <f t="shared" si="42"/>
        <v>360</v>
      </c>
      <c r="F169" s="1430">
        <f>'Available Stocks'!$K$58</f>
        <v>240</v>
      </c>
      <c r="G169" s="630">
        <f t="shared" si="43"/>
        <v>1.5</v>
      </c>
      <c r="H169" s="630">
        <f t="shared" si="44"/>
        <v>2</v>
      </c>
      <c r="I169" s="631">
        <f t="shared" si="45"/>
        <v>120</v>
      </c>
    </row>
    <row r="170" spans="2:9" x14ac:dyDescent="0.2">
      <c r="C170" s="615" t="s">
        <v>28</v>
      </c>
      <c r="D170" s="1435">
        <f>'Data &amp; hypothesis Children'!D214</f>
        <v>14</v>
      </c>
      <c r="E170" s="629">
        <f t="shared" si="42"/>
        <v>420</v>
      </c>
      <c r="F170" s="1430">
        <f>'Available Stocks'!$K$59</f>
        <v>200</v>
      </c>
      <c r="G170" s="632">
        <f t="shared" si="43"/>
        <v>2.1</v>
      </c>
      <c r="H170" s="632">
        <f t="shared" si="44"/>
        <v>3</v>
      </c>
      <c r="I170" s="633">
        <f t="shared" si="45"/>
        <v>180</v>
      </c>
    </row>
    <row r="171" spans="2:9" x14ac:dyDescent="0.2">
      <c r="C171" s="634" t="s">
        <v>19</v>
      </c>
      <c r="D171" s="1435">
        <f>'Data &amp; hypothesis Children'!D215</f>
        <v>20</v>
      </c>
      <c r="E171" s="629">
        <f t="shared" si="42"/>
        <v>600</v>
      </c>
      <c r="F171" s="1430">
        <f>'Available Stocks'!$K$60</f>
        <v>240</v>
      </c>
      <c r="G171" s="630">
        <f t="shared" si="43"/>
        <v>2.5</v>
      </c>
      <c r="H171" s="630">
        <f t="shared" si="44"/>
        <v>3</v>
      </c>
      <c r="I171" s="631">
        <f t="shared" si="45"/>
        <v>120</v>
      </c>
    </row>
    <row r="172" spans="2:9" x14ac:dyDescent="0.2">
      <c r="C172" s="634" t="s">
        <v>17</v>
      </c>
      <c r="D172" s="1435">
        <f>'Data &amp; hypothesis Children'!D216</f>
        <v>7</v>
      </c>
      <c r="E172" s="629">
        <f t="shared" si="42"/>
        <v>210</v>
      </c>
      <c r="F172" s="1431">
        <f>'Available Stocks'!$K$61</f>
        <v>180</v>
      </c>
      <c r="G172" s="630">
        <f t="shared" si="43"/>
        <v>1.1666666666666667</v>
      </c>
      <c r="H172" s="630">
        <f t="shared" si="44"/>
        <v>2</v>
      </c>
      <c r="I172" s="631">
        <f t="shared" si="45"/>
        <v>150</v>
      </c>
    </row>
    <row r="173" spans="2:9" ht="13.5" thickBot="1" x14ac:dyDescent="0.25">
      <c r="C173" s="609" t="s">
        <v>33</v>
      </c>
      <c r="D173" s="1436">
        <f>'Data &amp; hypothesis Children'!D217</f>
        <v>4</v>
      </c>
      <c r="E173" s="635">
        <f t="shared" si="42"/>
        <v>120</v>
      </c>
      <c r="F173" s="1432">
        <f>'Available Stocks'!$K$62</f>
        <v>60</v>
      </c>
      <c r="G173" s="636">
        <f t="shared" si="43"/>
        <v>2</v>
      </c>
      <c r="H173" s="636">
        <f t="shared" si="44"/>
        <v>2</v>
      </c>
      <c r="I173" s="637">
        <f t="shared" si="45"/>
        <v>0</v>
      </c>
    </row>
    <row r="174" spans="2:9" x14ac:dyDescent="0.2">
      <c r="B174" s="623"/>
      <c r="C174" s="624"/>
      <c r="D174" s="624"/>
      <c r="E174" s="623"/>
      <c r="F174" s="623"/>
      <c r="G174" s="623"/>
      <c r="H174" s="623"/>
    </row>
    <row r="175" spans="2:9" ht="13.5" thickBot="1" x14ac:dyDescent="0.25"/>
    <row r="176" spans="2:9" ht="13.5" thickBot="1" x14ac:dyDescent="0.25">
      <c r="B176" s="2165" t="str">
        <f>'TRAD-Children YEAR(1)'!B83</f>
        <v>Si enfant de 15 - 19,9 kg (pris en compte pour la tranche 17 - 19,9 kg)</v>
      </c>
      <c r="C176" s="2166"/>
      <c r="D176" s="2166"/>
      <c r="E176" s="2166"/>
      <c r="F176" s="2166"/>
      <c r="G176" s="2166"/>
      <c r="H176" s="2167"/>
    </row>
    <row r="177" spans="2:9" ht="13.5" thickBot="1" x14ac:dyDescent="0.25">
      <c r="B177" s="623"/>
      <c r="C177" s="624"/>
      <c r="D177" s="624"/>
      <c r="E177" s="623"/>
      <c r="F177" s="623"/>
      <c r="G177" s="623"/>
      <c r="H177" s="623"/>
    </row>
    <row r="178" spans="2:9" ht="26.25" thickBot="1" x14ac:dyDescent="0.25">
      <c r="C178" s="368"/>
      <c r="D178" s="369" t="str">
        <f>'TRAD-Children YEAR(1)'!B76</f>
        <v>volume (mL) / jour</v>
      </c>
      <c r="E178" s="369" t="str">
        <f>'TRAD-Children YEAR(1)'!B77</f>
        <v>volume (mL) / mois</v>
      </c>
      <c r="F178" s="369" t="str">
        <f>'TRAD-Children YEAR(1)'!B78</f>
        <v>volume flacon (mL)</v>
      </c>
      <c r="G178" s="369" t="str">
        <f>'TRAD-Children YEAR(1)'!B79</f>
        <v>nb de flacons / mois</v>
      </c>
      <c r="H178" s="369" t="str">
        <f>'TRAD-Children YEAR(1)'!B80</f>
        <v>nb de flacons / mois arrondi</v>
      </c>
      <c r="I178" s="369" t="str">
        <f>'TRAD-Children YEAR(1)'!B81</f>
        <v>reste (mL)</v>
      </c>
    </row>
    <row r="179" spans="2:9" x14ac:dyDescent="0.2">
      <c r="C179" s="607" t="s">
        <v>39</v>
      </c>
      <c r="D179" s="1434">
        <f>'Data &amp; hypothesis Children'!D223</f>
        <v>30</v>
      </c>
      <c r="E179" s="626">
        <f t="shared" ref="E179:E186" si="46">D179*30</f>
        <v>900</v>
      </c>
      <c r="F179" s="1428">
        <f>'Available Stocks'!$K$55</f>
        <v>240</v>
      </c>
      <c r="G179" s="627">
        <f t="shared" ref="G179:G186" si="47">E179/F179</f>
        <v>3.75</v>
      </c>
      <c r="H179" s="627">
        <f t="shared" ref="H179:H186" si="48">ROUNDUP(E179/F179, 0)</f>
        <v>4</v>
      </c>
      <c r="I179" s="628">
        <f t="shared" ref="I179:I186" si="49">H179*F179-E179</f>
        <v>60</v>
      </c>
    </row>
    <row r="180" spans="2:9" x14ac:dyDescent="0.2">
      <c r="C180" s="615" t="s">
        <v>61</v>
      </c>
      <c r="D180" s="1435">
        <f>'Data &amp; hypothesis Children'!D224</f>
        <v>30</v>
      </c>
      <c r="E180" s="629">
        <f t="shared" si="46"/>
        <v>900</v>
      </c>
      <c r="F180" s="1429">
        <f>'Available Stocks'!$K$56</f>
        <v>240</v>
      </c>
      <c r="G180" s="630">
        <f t="shared" si="47"/>
        <v>3.75</v>
      </c>
      <c r="H180" s="630">
        <f t="shared" si="48"/>
        <v>4</v>
      </c>
      <c r="I180" s="631">
        <f t="shared" si="49"/>
        <v>60</v>
      </c>
    </row>
    <row r="181" spans="2:9" x14ac:dyDescent="0.2">
      <c r="C181" s="615" t="s">
        <v>15</v>
      </c>
      <c r="D181" s="1435">
        <f>'Data &amp; hypothesis Children'!D225</f>
        <v>15</v>
      </c>
      <c r="E181" s="629">
        <f t="shared" si="46"/>
        <v>450</v>
      </c>
      <c r="F181" s="1430">
        <f>'Available Stocks'!$K$57</f>
        <v>240</v>
      </c>
      <c r="G181" s="630">
        <f t="shared" si="47"/>
        <v>1.875</v>
      </c>
      <c r="H181" s="630">
        <f t="shared" si="48"/>
        <v>2</v>
      </c>
      <c r="I181" s="631">
        <f t="shared" si="49"/>
        <v>30</v>
      </c>
    </row>
    <row r="182" spans="2:9" x14ac:dyDescent="0.2">
      <c r="C182" s="615" t="s">
        <v>25</v>
      </c>
      <c r="D182" s="1435">
        <f>'Data &amp; hypothesis Children'!D226</f>
        <v>15</v>
      </c>
      <c r="E182" s="629">
        <f t="shared" si="46"/>
        <v>450</v>
      </c>
      <c r="F182" s="1430">
        <f>'Available Stocks'!$K$58</f>
        <v>240</v>
      </c>
      <c r="G182" s="630">
        <f t="shared" si="47"/>
        <v>1.875</v>
      </c>
      <c r="H182" s="630">
        <f t="shared" si="48"/>
        <v>2</v>
      </c>
      <c r="I182" s="631">
        <f t="shared" si="49"/>
        <v>30</v>
      </c>
    </row>
    <row r="183" spans="2:9" x14ac:dyDescent="0.2">
      <c r="C183" s="615" t="s">
        <v>28</v>
      </c>
      <c r="D183" s="1435">
        <f>'Data &amp; hypothesis Children'!D227</f>
        <v>20</v>
      </c>
      <c r="E183" s="629">
        <f t="shared" si="46"/>
        <v>600</v>
      </c>
      <c r="F183" s="1430">
        <f>'Available Stocks'!$K$59</f>
        <v>200</v>
      </c>
      <c r="G183" s="632">
        <f t="shared" si="47"/>
        <v>3</v>
      </c>
      <c r="H183" s="632">
        <f t="shared" si="48"/>
        <v>3</v>
      </c>
      <c r="I183" s="633">
        <f t="shared" si="49"/>
        <v>0</v>
      </c>
    </row>
    <row r="184" spans="2:9" x14ac:dyDescent="0.2">
      <c r="C184" s="634" t="s">
        <v>19</v>
      </c>
      <c r="D184" s="1435">
        <f>'Data &amp; hypothesis Children'!D228</f>
        <v>24</v>
      </c>
      <c r="E184" s="629">
        <f t="shared" si="46"/>
        <v>720</v>
      </c>
      <c r="F184" s="1430">
        <f>'Available Stocks'!$K$60</f>
        <v>240</v>
      </c>
      <c r="G184" s="630">
        <f t="shared" si="47"/>
        <v>3</v>
      </c>
      <c r="H184" s="630">
        <f t="shared" si="48"/>
        <v>3</v>
      </c>
      <c r="I184" s="631">
        <f t="shared" si="49"/>
        <v>0</v>
      </c>
    </row>
    <row r="185" spans="2:9" x14ac:dyDescent="0.2">
      <c r="C185" s="634" t="s">
        <v>17</v>
      </c>
      <c r="D185" s="1435">
        <f>'Data &amp; hypothesis Children'!D229</f>
        <v>13</v>
      </c>
      <c r="E185" s="629">
        <f t="shared" si="46"/>
        <v>390</v>
      </c>
      <c r="F185" s="1431">
        <f>'Available Stocks'!$K$61</f>
        <v>180</v>
      </c>
      <c r="G185" s="630">
        <f t="shared" si="47"/>
        <v>2.1666666666666665</v>
      </c>
      <c r="H185" s="630">
        <f t="shared" si="48"/>
        <v>3</v>
      </c>
      <c r="I185" s="631">
        <f t="shared" si="49"/>
        <v>150</v>
      </c>
    </row>
    <row r="186" spans="2:9" ht="13.5" thickBot="1" x14ac:dyDescent="0.25">
      <c r="C186" s="609" t="s">
        <v>33</v>
      </c>
      <c r="D186" s="1436">
        <f>'Data &amp; hypothesis Children'!D230</f>
        <v>5</v>
      </c>
      <c r="E186" s="635">
        <f t="shared" si="46"/>
        <v>150</v>
      </c>
      <c r="F186" s="1432">
        <f>'Available Stocks'!$K$62</f>
        <v>60</v>
      </c>
      <c r="G186" s="636">
        <f t="shared" si="47"/>
        <v>2.5</v>
      </c>
      <c r="H186" s="636">
        <f t="shared" si="48"/>
        <v>3</v>
      </c>
      <c r="I186" s="637">
        <f t="shared" si="49"/>
        <v>30</v>
      </c>
    </row>
    <row r="188" spans="2:9" ht="13.5" thickBot="1" x14ac:dyDescent="0.25"/>
    <row r="189" spans="2:9" ht="13.5" thickBot="1" x14ac:dyDescent="0.25">
      <c r="B189" s="2184" t="str">
        <f>'TRAD-Children YEAR(1)'!B84</f>
        <v>Si enfant &gt; 15 kg pouvant recevoir des formes adultes</v>
      </c>
      <c r="C189" s="2185"/>
      <c r="D189" s="2185"/>
      <c r="E189" s="2185"/>
      <c r="F189" s="2185"/>
      <c r="G189" s="2185"/>
      <c r="H189" s="2186"/>
    </row>
    <row r="191" spans="2:9" ht="13.5" thickBot="1" x14ac:dyDescent="0.25">
      <c r="D191" s="2168" t="str">
        <f>'TRAD-Children YEAR(1)'!B86</f>
        <v>Poids envisagés</v>
      </c>
      <c r="E191" s="2168"/>
      <c r="F191" s="2168"/>
      <c r="G191" s="2168"/>
    </row>
    <row r="192" spans="2:9" ht="13.5" thickBot="1" x14ac:dyDescent="0.25">
      <c r="C192" s="368" t="str">
        <f>'TRAD-Children YEAR(1)'!B85</f>
        <v>Formes adultes</v>
      </c>
      <c r="E192" s="544" t="s">
        <v>206</v>
      </c>
      <c r="F192" s="544" t="s">
        <v>207</v>
      </c>
      <c r="G192" s="544" t="s">
        <v>208</v>
      </c>
      <c r="H192" s="544" t="s">
        <v>112</v>
      </c>
    </row>
    <row r="193" spans="3:10" ht="13.5" customHeight="1" thickBot="1" x14ac:dyDescent="0.25">
      <c r="C193" s="2181" t="str">
        <f>'TRAD-Children YEAR(1)'!B87</f>
        <v>Nb de boites / mois / patient</v>
      </c>
      <c r="D193" s="2182"/>
      <c r="E193" s="2182"/>
      <c r="F193" s="2182"/>
      <c r="G193" s="2183"/>
    </row>
    <row r="194" spans="3:10" x14ac:dyDescent="0.2">
      <c r="C194" s="849" t="str">
        <f t="array" ref="C194:H216">'Data &amp; hypothesis Children'!$C$238:$H$260</f>
        <v>AZT+ 3TC+ NVP adulte</v>
      </c>
      <c r="D194" s="1172" t="str">
        <v>300/150/200 mg</v>
      </c>
      <c r="E194" s="1433">
        <v>0</v>
      </c>
      <c r="F194" s="1433">
        <v>0</v>
      </c>
      <c r="G194" s="1433">
        <v>1</v>
      </c>
      <c r="H194" s="1433">
        <v>1</v>
      </c>
      <c r="I194" s="849"/>
      <c r="J194" s="1172"/>
    </row>
    <row r="195" spans="3:10" x14ac:dyDescent="0.2">
      <c r="C195" s="849" t="str">
        <v>AZT+ 3TC+ NVP bébé</v>
      </c>
      <c r="D195" s="1172" t="str">
        <v>60/30/50 mg</v>
      </c>
      <c r="E195" s="1433">
        <v>1.5</v>
      </c>
      <c r="F195" s="1433">
        <v>2</v>
      </c>
      <c r="G195" s="1433">
        <v>2.5</v>
      </c>
      <c r="H195" s="1433">
        <v>3</v>
      </c>
      <c r="I195" s="639"/>
      <c r="J195" s="1172"/>
    </row>
    <row r="196" spans="3:10" x14ac:dyDescent="0.2">
      <c r="C196" s="849" t="str">
        <v>AZT+ 3TC adulte</v>
      </c>
      <c r="D196" s="1172" t="str">
        <v>300/150 mg</v>
      </c>
      <c r="E196" s="1433">
        <v>0</v>
      </c>
      <c r="F196" s="1433">
        <v>0</v>
      </c>
      <c r="G196" s="1433">
        <v>1</v>
      </c>
      <c r="H196" s="1433">
        <v>1</v>
      </c>
      <c r="I196" s="849"/>
      <c r="J196" s="1172"/>
    </row>
    <row r="197" spans="3:10" x14ac:dyDescent="0.2">
      <c r="C197" s="849" t="str">
        <v>AZT+ 3TC bébé</v>
      </c>
      <c r="D197" s="1172" t="str">
        <v>60/30 mg</v>
      </c>
      <c r="E197" s="1433">
        <v>1.5</v>
      </c>
      <c r="F197" s="1433">
        <v>2</v>
      </c>
      <c r="G197" s="1433">
        <v>2.5</v>
      </c>
      <c r="H197" s="1433">
        <v>3</v>
      </c>
      <c r="I197" s="849"/>
      <c r="J197" s="1172"/>
    </row>
    <row r="198" spans="3:10" x14ac:dyDescent="0.2">
      <c r="C198" s="849" t="str">
        <v>D4T+ 3TC+ NVP adulte</v>
      </c>
      <c r="D198" s="1172" t="str">
        <v>30/150/200 mg</v>
      </c>
      <c r="E198" s="1433">
        <v>0</v>
      </c>
      <c r="F198" s="1433">
        <v>0</v>
      </c>
      <c r="G198" s="1433">
        <v>1</v>
      </c>
      <c r="H198" s="1433">
        <v>1</v>
      </c>
      <c r="I198" s="639"/>
      <c r="J198" s="1172"/>
    </row>
    <row r="199" spans="3:10" x14ac:dyDescent="0.2">
      <c r="C199" s="849" t="str">
        <v>D4T+ 3TC+ NVP bébé</v>
      </c>
      <c r="D199" s="1172" t="str">
        <v>6/30/50 mg</v>
      </c>
      <c r="E199" s="1433">
        <v>1.5</v>
      </c>
      <c r="F199" s="1433">
        <v>2</v>
      </c>
      <c r="G199" s="1433">
        <v>2.5</v>
      </c>
      <c r="H199" s="1433">
        <v>3</v>
      </c>
      <c r="I199" s="638"/>
      <c r="J199" s="1172"/>
    </row>
    <row r="200" spans="3:10" x14ac:dyDescent="0.2">
      <c r="C200" s="849" t="str">
        <v>D4T+ 3TC bébé</v>
      </c>
      <c r="D200" s="1172" t="str">
        <v>6/30 mg</v>
      </c>
      <c r="E200" s="1433">
        <v>1.5</v>
      </c>
      <c r="F200" s="1433">
        <v>2</v>
      </c>
      <c r="G200" s="1433">
        <v>2.5</v>
      </c>
      <c r="H200" s="1433">
        <v>3</v>
      </c>
      <c r="I200" s="638"/>
      <c r="J200" s="1172"/>
    </row>
    <row r="201" spans="3:10" x14ac:dyDescent="0.2">
      <c r="C201" s="849" t="str">
        <v>AZT+ 3TC+ ABC adulte</v>
      </c>
      <c r="D201" s="1172" t="str">
        <v>300/150/300 mg</v>
      </c>
      <c r="E201" s="1433">
        <v>0</v>
      </c>
      <c r="F201" s="1433">
        <v>0</v>
      </c>
      <c r="G201" s="1433">
        <v>1</v>
      </c>
      <c r="H201" s="1433">
        <v>1</v>
      </c>
      <c r="I201" s="849"/>
      <c r="J201" s="1172"/>
    </row>
    <row r="202" spans="3:10" x14ac:dyDescent="0.2">
      <c r="C202" s="849" t="str">
        <v>AZT+ 3TC+ ABC bébé</v>
      </c>
      <c r="D202" s="1172" t="str">
        <v>60/30/60 mg</v>
      </c>
      <c r="E202" s="1433">
        <v>1.5</v>
      </c>
      <c r="F202" s="1433">
        <v>2</v>
      </c>
      <c r="G202" s="1433">
        <v>2.5</v>
      </c>
      <c r="H202" s="1433">
        <v>3</v>
      </c>
      <c r="I202" s="849"/>
      <c r="J202" s="1172"/>
    </row>
    <row r="203" spans="3:10" x14ac:dyDescent="0.2">
      <c r="C203" s="849" t="str">
        <v>ABC+ 3TC adulte</v>
      </c>
      <c r="D203" s="1172" t="str">
        <v>600/300 mg</v>
      </c>
      <c r="E203" s="1433">
        <v>0</v>
      </c>
      <c r="F203" s="1433">
        <v>0</v>
      </c>
      <c r="G203" s="1433">
        <v>1</v>
      </c>
      <c r="H203" s="1433">
        <v>1</v>
      </c>
      <c r="I203" s="849"/>
      <c r="J203" s="1172"/>
    </row>
    <row r="204" spans="3:10" x14ac:dyDescent="0.2">
      <c r="C204" s="849" t="str">
        <v>ABC+ 3TC bébé</v>
      </c>
      <c r="D204" s="1172" t="str">
        <v>60/30 mg</v>
      </c>
      <c r="E204" s="1433">
        <v>1.5</v>
      </c>
      <c r="F204" s="1433">
        <v>2</v>
      </c>
      <c r="G204" s="1433">
        <v>2.5</v>
      </c>
      <c r="H204" s="1433">
        <v>3</v>
      </c>
      <c r="I204" s="849"/>
      <c r="J204" s="1172"/>
    </row>
    <row r="205" spans="3:10" x14ac:dyDescent="0.2">
      <c r="C205" s="849" t="str">
        <v>TDF+ FTC/3TC+ EFV adulte</v>
      </c>
      <c r="D205" s="1172" t="str">
        <v>300/200/600 mg</v>
      </c>
      <c r="E205" s="1433">
        <v>0</v>
      </c>
      <c r="F205" s="1433">
        <v>0</v>
      </c>
      <c r="G205" s="1433">
        <v>0</v>
      </c>
      <c r="H205" s="1433">
        <v>1</v>
      </c>
      <c r="I205" s="849"/>
      <c r="J205" s="1172"/>
    </row>
    <row r="206" spans="3:10" x14ac:dyDescent="0.2">
      <c r="C206" s="849" t="str">
        <v>TDF+ FTC/3TC adulte</v>
      </c>
      <c r="D206" s="1172" t="str">
        <v>300/200 mg</v>
      </c>
      <c r="E206" s="1433">
        <v>0</v>
      </c>
      <c r="F206" s="1433">
        <v>0</v>
      </c>
      <c r="G206" s="1433">
        <v>0</v>
      </c>
      <c r="H206" s="1433">
        <v>1</v>
      </c>
      <c r="I206" s="849"/>
      <c r="J206" s="1172"/>
    </row>
    <row r="207" spans="3:10" x14ac:dyDescent="0.2">
      <c r="C207" s="849" t="str">
        <v>TDF adulte</v>
      </c>
      <c r="D207" s="1172" t="str">
        <v>300 mg</v>
      </c>
      <c r="E207" s="1433">
        <v>0</v>
      </c>
      <c r="F207" s="1433">
        <v>0</v>
      </c>
      <c r="G207" s="1433">
        <v>0</v>
      </c>
      <c r="H207" s="1433">
        <v>1</v>
      </c>
      <c r="I207" s="849"/>
      <c r="J207" s="1172"/>
    </row>
    <row r="208" spans="3:10" x14ac:dyDescent="0.2">
      <c r="C208" s="849" t="str">
        <v>3TC adulte</v>
      </c>
      <c r="D208" s="1172" t="str">
        <v>150 mg</v>
      </c>
      <c r="E208" s="1433">
        <v>0</v>
      </c>
      <c r="F208" s="1433">
        <v>0</v>
      </c>
      <c r="G208" s="1433">
        <v>0.5</v>
      </c>
      <c r="H208" s="1433">
        <v>1</v>
      </c>
      <c r="I208" s="849"/>
      <c r="J208" s="1172"/>
    </row>
    <row r="209" spans="1:17" x14ac:dyDescent="0.2">
      <c r="C209" s="849" t="str">
        <v>ABC adulte</v>
      </c>
      <c r="D209" s="1172" t="str">
        <v>300 mg</v>
      </c>
      <c r="E209" s="1433">
        <v>0</v>
      </c>
      <c r="F209" s="1433">
        <v>0</v>
      </c>
      <c r="G209" s="1433">
        <v>0.5</v>
      </c>
      <c r="H209" s="1433">
        <v>1</v>
      </c>
      <c r="I209" s="849"/>
      <c r="J209" s="1172"/>
    </row>
    <row r="210" spans="1:17" x14ac:dyDescent="0.2">
      <c r="C210" s="849" t="str">
        <v>ABC bébé</v>
      </c>
      <c r="D210" s="1172" t="str">
        <v>60 mg</v>
      </c>
      <c r="E210" s="1433">
        <v>1.5</v>
      </c>
      <c r="F210" s="1433">
        <v>2</v>
      </c>
      <c r="G210" s="1433">
        <v>2.5</v>
      </c>
      <c r="H210" s="1433">
        <v>3</v>
      </c>
      <c r="I210" s="849"/>
      <c r="J210" s="1172"/>
    </row>
    <row r="211" spans="1:17" x14ac:dyDescent="0.2">
      <c r="C211" s="849" t="str">
        <v>DDI adulte</v>
      </c>
      <c r="D211" s="1172" t="str">
        <v>250 mg</v>
      </c>
      <c r="E211" s="1433">
        <v>0</v>
      </c>
      <c r="F211" s="1433">
        <v>0</v>
      </c>
      <c r="G211" s="1433">
        <v>0</v>
      </c>
      <c r="H211" s="1433">
        <v>1</v>
      </c>
      <c r="I211" s="849"/>
      <c r="J211" s="1172"/>
    </row>
    <row r="212" spans="1:17" x14ac:dyDescent="0.2">
      <c r="C212" s="850" t="str">
        <v>NVP adulte</v>
      </c>
      <c r="D212" s="1172" t="str">
        <v>200 mg</v>
      </c>
      <c r="E212" s="1433">
        <v>0</v>
      </c>
      <c r="F212" s="1433">
        <v>0</v>
      </c>
      <c r="G212" s="1433">
        <v>0.75</v>
      </c>
      <c r="H212" s="1433">
        <v>1</v>
      </c>
      <c r="I212" s="850"/>
      <c r="J212" s="1172"/>
    </row>
    <row r="213" spans="1:17" x14ac:dyDescent="0.2">
      <c r="C213" s="850" t="str">
        <v>NVP bébé</v>
      </c>
      <c r="D213" s="1172" t="str">
        <v>50 mg</v>
      </c>
      <c r="E213" s="1433">
        <v>1.5</v>
      </c>
      <c r="F213" s="1433">
        <v>2</v>
      </c>
      <c r="G213" s="1433">
        <v>2.5</v>
      </c>
      <c r="H213" s="1433">
        <v>3</v>
      </c>
      <c r="I213" s="850"/>
      <c r="J213" s="1172"/>
    </row>
    <row r="214" spans="1:17" x14ac:dyDescent="0.2">
      <c r="C214" s="850" t="str">
        <v>EFV enfant</v>
      </c>
      <c r="D214" s="1172" t="str">
        <v>200 mg</v>
      </c>
      <c r="E214" s="1433">
        <v>0</v>
      </c>
      <c r="F214" s="1433">
        <v>1</v>
      </c>
      <c r="G214" s="1433">
        <v>1.5</v>
      </c>
      <c r="H214" s="1433">
        <v>1.5</v>
      </c>
      <c r="I214" s="850"/>
      <c r="J214" s="1172"/>
    </row>
    <row r="215" spans="1:17" x14ac:dyDescent="0.2">
      <c r="C215" s="849" t="str">
        <v>LPV/r adulte</v>
      </c>
      <c r="D215" s="1172" t="str">
        <v>200/50 mg</v>
      </c>
      <c r="E215" s="1433">
        <v>0</v>
      </c>
      <c r="F215" s="1433">
        <v>0</v>
      </c>
      <c r="G215" s="1433">
        <v>0.5</v>
      </c>
      <c r="H215" s="1433">
        <v>0.5</v>
      </c>
      <c r="I215" s="849"/>
      <c r="J215" s="1172"/>
    </row>
    <row r="216" spans="1:17" ht="13.5" thickBot="1" x14ac:dyDescent="0.25">
      <c r="C216" s="849" t="str">
        <v>LPV/r enfant</v>
      </c>
      <c r="D216" s="1190" t="str">
        <v>100/25 mg</v>
      </c>
      <c r="E216" s="1433">
        <v>0</v>
      </c>
      <c r="F216" s="1433">
        <v>1.5</v>
      </c>
      <c r="G216" s="1433">
        <v>2</v>
      </c>
      <c r="H216" s="1433">
        <v>2</v>
      </c>
      <c r="I216" s="851"/>
      <c r="J216" s="1190"/>
    </row>
    <row r="217" spans="1:17" x14ac:dyDescent="0.2">
      <c r="C217" s="1356"/>
      <c r="D217" s="1357"/>
      <c r="E217" s="1357"/>
      <c r="F217" s="1357"/>
      <c r="G217" s="1357"/>
    </row>
    <row r="219" spans="1:17" s="1279" customFormat="1" ht="14.25" x14ac:dyDescent="0.2">
      <c r="B219" s="1343" t="str">
        <f>'TRAD-Children YEAR(1)'!B110</f>
        <v>Récapitulatif</v>
      </c>
      <c r="C219" s="1343"/>
      <c r="D219" s="1343"/>
      <c r="E219" s="1343"/>
      <c r="F219" s="1343"/>
      <c r="G219" s="1344"/>
      <c r="H219" s="1344"/>
      <c r="I219" s="1344"/>
      <c r="J219" s="1344"/>
      <c r="K219" s="1344"/>
      <c r="L219" s="1344"/>
      <c r="M219" s="1344"/>
      <c r="Q219" s="1345"/>
    </row>
    <row r="220" spans="1:17" s="1281" customFormat="1" x14ac:dyDescent="0.2">
      <c r="A220" s="1280"/>
    </row>
    <row r="221" spans="1:17" s="1281" customFormat="1" ht="13.5" thickBot="1" x14ac:dyDescent="0.25">
      <c r="A221" s="1280"/>
      <c r="D221" s="2180" t="str">
        <f>'TRAD-Children YEAR(1)'!B86</f>
        <v>Poids envisagés</v>
      </c>
      <c r="E221" s="2180"/>
      <c r="F221" s="2180"/>
      <c r="G221" s="2180"/>
    </row>
    <row r="222" spans="1:17" s="1281" customFormat="1" ht="13.5" thickBot="1" x14ac:dyDescent="0.25">
      <c r="A222" s="1280"/>
      <c r="C222" s="1346" t="str">
        <f>'TRAD-Children YEAR(1)'!B85</f>
        <v>Formes adultes</v>
      </c>
      <c r="D222" s="1347" t="s">
        <v>654</v>
      </c>
      <c r="E222" s="1347" t="s">
        <v>207</v>
      </c>
      <c r="F222" s="1347" t="s">
        <v>208</v>
      </c>
      <c r="G222" s="1348" t="s">
        <v>112</v>
      </c>
    </row>
    <row r="223" spans="1:17" s="1281" customFormat="1" ht="13.5" thickBot="1" x14ac:dyDescent="0.25">
      <c r="A223" s="1280"/>
      <c r="C223" s="2193" t="str">
        <f>'TRAD-Children YEAR(1)'!B87</f>
        <v>Nb de boites / mois / patient</v>
      </c>
      <c r="D223" s="2194"/>
      <c r="E223" s="2194"/>
      <c r="F223" s="2194"/>
      <c r="G223" s="2195"/>
    </row>
    <row r="224" spans="1:17" s="1281" customFormat="1" ht="13.5" thickBot="1" x14ac:dyDescent="0.25">
      <c r="A224" s="1280"/>
      <c r="B224" s="1396" t="str">
        <f>'TRAD-Children YEAR(1)'!B90</f>
        <v>Solutions buvables</v>
      </c>
      <c r="C224" s="1349" t="s">
        <v>39</v>
      </c>
      <c r="D224" s="1350">
        <f>G153</f>
        <v>2.25</v>
      </c>
      <c r="E224" s="1294">
        <f>G166</f>
        <v>3</v>
      </c>
      <c r="F224" s="1350">
        <f>G179</f>
        <v>3.75</v>
      </c>
      <c r="G224" s="1351"/>
    </row>
    <row r="225" spans="1:9" s="1281" customFormat="1" x14ac:dyDescent="0.2">
      <c r="A225" s="1280"/>
      <c r="C225" s="1352" t="s">
        <v>61</v>
      </c>
      <c r="D225" s="1350">
        <f t="shared" ref="D225:D231" si="50">G154</f>
        <v>1.75</v>
      </c>
      <c r="E225" s="1294">
        <f t="shared" ref="E225:E231" si="51">G167</f>
        <v>3</v>
      </c>
      <c r="F225" s="1350">
        <f t="shared" ref="F225:F231" si="52">G180</f>
        <v>3.75</v>
      </c>
      <c r="G225" s="1295"/>
    </row>
    <row r="226" spans="1:9" s="1281" customFormat="1" x14ac:dyDescent="0.2">
      <c r="A226" s="1280"/>
      <c r="C226" s="1349" t="s">
        <v>15</v>
      </c>
      <c r="D226" s="1350">
        <f t="shared" si="50"/>
        <v>1</v>
      </c>
      <c r="E226" s="1294">
        <f t="shared" si="51"/>
        <v>1.5</v>
      </c>
      <c r="F226" s="1350">
        <f t="shared" si="52"/>
        <v>1.875</v>
      </c>
      <c r="G226" s="1351"/>
    </row>
    <row r="227" spans="1:9" s="1281" customFormat="1" x14ac:dyDescent="0.2">
      <c r="A227" s="1280"/>
      <c r="C227" s="1349" t="s">
        <v>25</v>
      </c>
      <c r="D227" s="1350">
        <f t="shared" si="50"/>
        <v>0.75</v>
      </c>
      <c r="E227" s="1294">
        <f t="shared" si="51"/>
        <v>1.5</v>
      </c>
      <c r="F227" s="1350">
        <f t="shared" si="52"/>
        <v>1.875</v>
      </c>
      <c r="G227" s="1351"/>
    </row>
    <row r="228" spans="1:9" s="1281" customFormat="1" x14ac:dyDescent="0.2">
      <c r="A228" s="1280"/>
      <c r="C228" s="1349" t="s">
        <v>28</v>
      </c>
      <c r="D228" s="1350">
        <f t="shared" si="50"/>
        <v>1.5</v>
      </c>
      <c r="E228" s="1294">
        <f t="shared" si="51"/>
        <v>2.1</v>
      </c>
      <c r="F228" s="1350">
        <f t="shared" si="52"/>
        <v>3</v>
      </c>
      <c r="G228" s="1351"/>
    </row>
    <row r="229" spans="1:9" s="1281" customFormat="1" x14ac:dyDescent="0.2">
      <c r="A229" s="1280"/>
      <c r="C229" s="1349" t="s">
        <v>19</v>
      </c>
      <c r="D229" s="1350">
        <f t="shared" si="50"/>
        <v>1.75</v>
      </c>
      <c r="E229" s="1294">
        <f t="shared" si="51"/>
        <v>2.5</v>
      </c>
      <c r="F229" s="1350">
        <f t="shared" si="52"/>
        <v>3</v>
      </c>
      <c r="G229" s="1351"/>
    </row>
    <row r="230" spans="1:9" s="1281" customFormat="1" x14ac:dyDescent="0.2">
      <c r="A230" s="1280"/>
      <c r="C230" s="1349" t="s">
        <v>17</v>
      </c>
      <c r="D230" s="1353"/>
      <c r="E230" s="1294">
        <f t="shared" si="51"/>
        <v>1.1666666666666667</v>
      </c>
      <c r="F230" s="1350">
        <f t="shared" si="52"/>
        <v>2.1666666666666665</v>
      </c>
      <c r="G230" s="1351">
        <v>2.5</v>
      </c>
    </row>
    <row r="231" spans="1:9" s="1281" customFormat="1" ht="13.5" thickBot="1" x14ac:dyDescent="0.25">
      <c r="A231" s="1280"/>
      <c r="C231" s="1402" t="s">
        <v>33</v>
      </c>
      <c r="D231" s="1403">
        <f t="shared" si="50"/>
        <v>1.5</v>
      </c>
      <c r="E231" s="1354">
        <f t="shared" si="51"/>
        <v>2</v>
      </c>
      <c r="F231" s="1350">
        <f t="shared" si="52"/>
        <v>2.5</v>
      </c>
      <c r="G231" s="1355">
        <v>3</v>
      </c>
    </row>
    <row r="232" spans="1:9" s="1281" customFormat="1" ht="13.5" thickBot="1" x14ac:dyDescent="0.25">
      <c r="A232" s="1280"/>
      <c r="B232" s="1396" t="str">
        <f>'TRAD-Children YEAR(1)'!B91</f>
        <v>Comprimés</v>
      </c>
      <c r="C232" s="849" t="str">
        <f t="array" ref="C232:C254">C194:C216</f>
        <v>AZT+ 3TC+ NVP adulte</v>
      </c>
      <c r="D232" s="1294">
        <f t="array" ref="D232:G254">E194:H216</f>
        <v>0</v>
      </c>
      <c r="E232" s="1294">
        <v>0</v>
      </c>
      <c r="F232" s="1294">
        <v>1</v>
      </c>
      <c r="G232" s="1294">
        <v>1</v>
      </c>
      <c r="H232" s="849"/>
      <c r="I232" s="1172"/>
    </row>
    <row r="233" spans="1:9" s="1281" customFormat="1" x14ac:dyDescent="0.2">
      <c r="A233" s="1280"/>
      <c r="C233" s="849" t="str">
        <v>AZT+ 3TC+ NVP bébé</v>
      </c>
      <c r="D233" s="1294">
        <v>1.5</v>
      </c>
      <c r="E233" s="1294">
        <v>2</v>
      </c>
      <c r="F233" s="1294">
        <v>2.5</v>
      </c>
      <c r="G233" s="1294">
        <v>3</v>
      </c>
      <c r="H233" s="639"/>
      <c r="I233" s="1172"/>
    </row>
    <row r="234" spans="1:9" s="1281" customFormat="1" x14ac:dyDescent="0.2">
      <c r="A234" s="1280"/>
      <c r="C234" s="849" t="str">
        <v>AZT+ 3TC adulte</v>
      </c>
      <c r="D234" s="1294">
        <v>0</v>
      </c>
      <c r="E234" s="1294">
        <v>0</v>
      </c>
      <c r="F234" s="1294">
        <v>1</v>
      </c>
      <c r="G234" s="1294">
        <v>1</v>
      </c>
      <c r="H234" s="849"/>
      <c r="I234" s="1172"/>
    </row>
    <row r="235" spans="1:9" s="1281" customFormat="1" x14ac:dyDescent="0.2">
      <c r="A235" s="1280"/>
      <c r="C235" s="849" t="str">
        <v>AZT+ 3TC bébé</v>
      </c>
      <c r="D235" s="1294">
        <v>1.5</v>
      </c>
      <c r="E235" s="1294">
        <v>2</v>
      </c>
      <c r="F235" s="1294">
        <v>2.5</v>
      </c>
      <c r="G235" s="1294">
        <v>3</v>
      </c>
      <c r="H235" s="849"/>
      <c r="I235" s="1172"/>
    </row>
    <row r="236" spans="1:9" s="1281" customFormat="1" x14ac:dyDescent="0.2">
      <c r="A236" s="1280"/>
      <c r="C236" s="849" t="str">
        <v>D4T+ 3TC+ NVP adulte</v>
      </c>
      <c r="D236" s="1294">
        <v>0</v>
      </c>
      <c r="E236" s="1294">
        <v>0</v>
      </c>
      <c r="F236" s="1294">
        <v>1</v>
      </c>
      <c r="G236" s="1294">
        <v>1</v>
      </c>
      <c r="H236" s="639"/>
      <c r="I236" s="1172"/>
    </row>
    <row r="237" spans="1:9" s="1281" customFormat="1" x14ac:dyDescent="0.2">
      <c r="A237" s="1280"/>
      <c r="C237" s="849" t="str">
        <v>D4T+ 3TC+ NVP bébé</v>
      </c>
      <c r="D237" s="1294">
        <v>1.5</v>
      </c>
      <c r="E237" s="1294">
        <v>2</v>
      </c>
      <c r="F237" s="1294">
        <v>2.5</v>
      </c>
      <c r="G237" s="1294">
        <v>3</v>
      </c>
      <c r="H237" s="638"/>
      <c r="I237" s="1172"/>
    </row>
    <row r="238" spans="1:9" s="1281" customFormat="1" x14ac:dyDescent="0.2">
      <c r="A238" s="1280"/>
      <c r="C238" s="849" t="str">
        <v>D4T+ 3TC bébé</v>
      </c>
      <c r="D238" s="1294">
        <v>1.5</v>
      </c>
      <c r="E238" s="1294">
        <v>2</v>
      </c>
      <c r="F238" s="1294">
        <v>2.5</v>
      </c>
      <c r="G238" s="1294">
        <v>3</v>
      </c>
      <c r="H238" s="638"/>
      <c r="I238" s="1172"/>
    </row>
    <row r="239" spans="1:9" s="1281" customFormat="1" x14ac:dyDescent="0.2">
      <c r="A239" s="1280"/>
      <c r="C239" s="849" t="str">
        <v>AZT+ 3TC+ ABC adulte</v>
      </c>
      <c r="D239" s="1294">
        <v>0</v>
      </c>
      <c r="E239" s="1294">
        <v>0</v>
      </c>
      <c r="F239" s="1294">
        <v>1</v>
      </c>
      <c r="G239" s="1294">
        <v>1</v>
      </c>
      <c r="H239" s="849"/>
      <c r="I239" s="1172"/>
    </row>
    <row r="240" spans="1:9" s="1281" customFormat="1" x14ac:dyDescent="0.2">
      <c r="A240" s="1280"/>
      <c r="C240" s="849" t="str">
        <v>AZT+ 3TC+ ABC bébé</v>
      </c>
      <c r="D240" s="1294">
        <v>1.5</v>
      </c>
      <c r="E240" s="1294">
        <v>2</v>
      </c>
      <c r="F240" s="1294">
        <v>2.5</v>
      </c>
      <c r="G240" s="1294">
        <v>3</v>
      </c>
      <c r="H240" s="849"/>
      <c r="I240" s="1172"/>
    </row>
    <row r="241" spans="1:9" s="1281" customFormat="1" x14ac:dyDescent="0.2">
      <c r="A241" s="1280"/>
      <c r="C241" s="849" t="str">
        <v>ABC+ 3TC adulte</v>
      </c>
      <c r="D241" s="1294">
        <v>0</v>
      </c>
      <c r="E241" s="1294">
        <v>0</v>
      </c>
      <c r="F241" s="1294">
        <v>1</v>
      </c>
      <c r="G241" s="1294">
        <v>1</v>
      </c>
      <c r="H241" s="849"/>
      <c r="I241" s="1172"/>
    </row>
    <row r="242" spans="1:9" s="1281" customFormat="1" x14ac:dyDescent="0.2">
      <c r="A242" s="1280"/>
      <c r="C242" s="849" t="str">
        <v>ABC+ 3TC bébé</v>
      </c>
      <c r="D242" s="1294">
        <v>1.5</v>
      </c>
      <c r="E242" s="1294">
        <v>2</v>
      </c>
      <c r="F242" s="1294">
        <v>2.5</v>
      </c>
      <c r="G242" s="1294">
        <v>3</v>
      </c>
      <c r="H242" s="849"/>
      <c r="I242" s="1172"/>
    </row>
    <row r="243" spans="1:9" s="1281" customFormat="1" x14ac:dyDescent="0.2">
      <c r="A243" s="1280"/>
      <c r="C243" s="849" t="str">
        <v>TDF+ FTC/3TC+ EFV adulte</v>
      </c>
      <c r="D243" s="1294">
        <v>0</v>
      </c>
      <c r="E243" s="1294">
        <v>0</v>
      </c>
      <c r="F243" s="1294">
        <v>0</v>
      </c>
      <c r="G243" s="1294">
        <v>1</v>
      </c>
      <c r="H243" s="849"/>
      <c r="I243" s="1172"/>
    </row>
    <row r="244" spans="1:9" s="1281" customFormat="1" x14ac:dyDescent="0.2">
      <c r="A244" s="1280"/>
      <c r="C244" s="849" t="str">
        <v>TDF+ FTC/3TC adulte</v>
      </c>
      <c r="D244" s="1294">
        <v>0</v>
      </c>
      <c r="E244" s="1294">
        <v>0</v>
      </c>
      <c r="F244" s="1294">
        <v>0</v>
      </c>
      <c r="G244" s="1294">
        <v>1</v>
      </c>
      <c r="H244" s="849"/>
      <c r="I244" s="1172"/>
    </row>
    <row r="245" spans="1:9" s="1281" customFormat="1" x14ac:dyDescent="0.2">
      <c r="A245" s="1280"/>
      <c r="C245" s="849" t="str">
        <v>TDF adulte</v>
      </c>
      <c r="D245" s="1294">
        <v>0</v>
      </c>
      <c r="E245" s="1294">
        <v>0</v>
      </c>
      <c r="F245" s="1294">
        <v>0</v>
      </c>
      <c r="G245" s="1294">
        <v>1</v>
      </c>
      <c r="H245" s="849"/>
      <c r="I245" s="1172"/>
    </row>
    <row r="246" spans="1:9" s="1281" customFormat="1" x14ac:dyDescent="0.2">
      <c r="A246" s="1280"/>
      <c r="C246" s="849" t="str">
        <v>3TC adulte</v>
      </c>
      <c r="D246" s="1294">
        <v>0</v>
      </c>
      <c r="E246" s="1294">
        <v>0</v>
      </c>
      <c r="F246" s="1294">
        <v>0.5</v>
      </c>
      <c r="G246" s="1294">
        <v>1</v>
      </c>
      <c r="H246" s="849"/>
      <c r="I246" s="1172"/>
    </row>
    <row r="247" spans="1:9" s="1281" customFormat="1" x14ac:dyDescent="0.2">
      <c r="A247" s="1280"/>
      <c r="C247" s="849" t="str">
        <v>ABC adulte</v>
      </c>
      <c r="D247" s="1294">
        <v>0</v>
      </c>
      <c r="E247" s="1294">
        <v>0</v>
      </c>
      <c r="F247" s="1294">
        <v>0.5</v>
      </c>
      <c r="G247" s="1294">
        <v>1</v>
      </c>
      <c r="H247" s="849"/>
      <c r="I247" s="1172"/>
    </row>
    <row r="248" spans="1:9" s="1281" customFormat="1" x14ac:dyDescent="0.2">
      <c r="A248" s="1280"/>
      <c r="C248" s="849" t="str">
        <v>ABC bébé</v>
      </c>
      <c r="D248" s="1294">
        <v>1.5</v>
      </c>
      <c r="E248" s="1294">
        <v>2</v>
      </c>
      <c r="F248" s="1294">
        <v>2.5</v>
      </c>
      <c r="G248" s="1294">
        <v>3</v>
      </c>
      <c r="H248" s="849"/>
      <c r="I248" s="1172"/>
    </row>
    <row r="249" spans="1:9" s="1281" customFormat="1" x14ac:dyDescent="0.2">
      <c r="A249" s="1280"/>
      <c r="C249" s="849" t="str">
        <v>DDI adulte</v>
      </c>
      <c r="D249" s="1294">
        <v>0</v>
      </c>
      <c r="E249" s="1294">
        <v>0</v>
      </c>
      <c r="F249" s="1294">
        <v>0</v>
      </c>
      <c r="G249" s="1294">
        <v>1</v>
      </c>
      <c r="H249" s="849"/>
      <c r="I249" s="1172"/>
    </row>
    <row r="250" spans="1:9" s="1281" customFormat="1" x14ac:dyDescent="0.2">
      <c r="A250" s="1280"/>
      <c r="C250" s="850" t="str">
        <v>NVP adulte</v>
      </c>
      <c r="D250" s="1294">
        <v>0</v>
      </c>
      <c r="E250" s="1294">
        <v>0</v>
      </c>
      <c r="F250" s="1294">
        <v>0.75</v>
      </c>
      <c r="G250" s="1294">
        <v>1</v>
      </c>
      <c r="H250" s="850"/>
      <c r="I250" s="1172"/>
    </row>
    <row r="251" spans="1:9" s="1281" customFormat="1" x14ac:dyDescent="0.2">
      <c r="A251" s="1280"/>
      <c r="C251" s="850" t="str">
        <v>NVP bébé</v>
      </c>
      <c r="D251" s="1294">
        <v>1.5</v>
      </c>
      <c r="E251" s="1294">
        <v>2</v>
      </c>
      <c r="F251" s="1294">
        <v>2.5</v>
      </c>
      <c r="G251" s="1294">
        <v>3</v>
      </c>
      <c r="H251" s="850"/>
      <c r="I251" s="1172"/>
    </row>
    <row r="252" spans="1:9" s="1281" customFormat="1" x14ac:dyDescent="0.2">
      <c r="A252" s="1280"/>
      <c r="C252" s="850" t="str">
        <v>EFV enfant</v>
      </c>
      <c r="D252" s="1294">
        <v>0</v>
      </c>
      <c r="E252" s="1294">
        <v>1</v>
      </c>
      <c r="F252" s="1294">
        <v>1.5</v>
      </c>
      <c r="G252" s="1294">
        <v>1.5</v>
      </c>
      <c r="H252" s="850"/>
      <c r="I252" s="1172"/>
    </row>
    <row r="253" spans="1:9" s="1281" customFormat="1" x14ac:dyDescent="0.2">
      <c r="A253" s="1280"/>
      <c r="C253" s="849" t="str">
        <v>LPV/r adulte</v>
      </c>
      <c r="D253" s="1294">
        <v>0</v>
      </c>
      <c r="E253" s="1294">
        <v>0</v>
      </c>
      <c r="F253" s="1294">
        <v>0.5</v>
      </c>
      <c r="G253" s="1294">
        <v>0.5</v>
      </c>
      <c r="H253" s="849"/>
      <c r="I253" s="1172"/>
    </row>
    <row r="254" spans="1:9" s="1281" customFormat="1" ht="13.5" thickBot="1" x14ac:dyDescent="0.25">
      <c r="A254" s="1280"/>
      <c r="C254" s="849" t="str">
        <v>LPV/r enfant</v>
      </c>
      <c r="D254" s="1294">
        <v>0</v>
      </c>
      <c r="E254" s="1294">
        <v>1.5</v>
      </c>
      <c r="F254" s="1294">
        <v>2</v>
      </c>
      <c r="G254" s="1294">
        <v>2</v>
      </c>
      <c r="H254" s="851"/>
      <c r="I254" s="1190"/>
    </row>
    <row r="255" spans="1:9" s="1281" customFormat="1" x14ac:dyDescent="0.2">
      <c r="A255" s="1280"/>
      <c r="C255" s="1280"/>
      <c r="F255" s="1321"/>
      <c r="G255" s="1321"/>
    </row>
    <row r="256" spans="1:9" s="1279" customFormat="1" x14ac:dyDescent="0.2">
      <c r="A256" s="1282"/>
    </row>
    <row r="257" spans="1:36" s="1279" customFormat="1" ht="15.75" thickBot="1" x14ac:dyDescent="0.25">
      <c r="A257" s="1277" t="str">
        <f>'TRAD-Children YEAR(1)'!B111</f>
        <v>Détails des calculs Quantification</v>
      </c>
      <c r="B257" s="1278"/>
      <c r="C257" s="1278"/>
      <c r="D257" s="1278"/>
      <c r="E257" s="1278"/>
      <c r="F257" s="1278"/>
      <c r="G257" s="1278"/>
      <c r="H257" s="1278"/>
      <c r="I257" s="1278"/>
      <c r="J257" s="1278"/>
      <c r="K257" s="1278"/>
      <c r="L257" s="1278"/>
    </row>
    <row r="258" spans="1:36" s="1281" customFormat="1" ht="13.5" thickBot="1" x14ac:dyDescent="0.25">
      <c r="A258" s="1280"/>
    </row>
    <row r="259" spans="1:36" s="1279" customFormat="1" ht="13.5" thickBot="1" x14ac:dyDescent="0.25">
      <c r="A259" s="1282"/>
      <c r="B259" s="1283" t="str">
        <f>'TRAD-Children YEAR(1)'!B112</f>
        <v>Tranche 3 - 9,9 kg</v>
      </c>
      <c r="C259" s="1284"/>
      <c r="D259" s="1285"/>
      <c r="E259" s="1285"/>
      <c r="F259" s="1285"/>
      <c r="G259" s="1285"/>
      <c r="H259" s="1285"/>
      <c r="I259" s="1286"/>
    </row>
    <row r="260" spans="1:36" s="1279" customFormat="1" ht="13.5" thickBot="1" x14ac:dyDescent="0.25">
      <c r="A260" s="1282"/>
      <c r="B260" s="1323"/>
      <c r="C260" s="1324"/>
      <c r="D260" s="1323"/>
      <c r="E260" s="1323"/>
      <c r="F260" s="1323"/>
      <c r="G260" s="1323"/>
      <c r="H260" s="1323"/>
      <c r="I260" s="1323"/>
    </row>
    <row r="261" spans="1:36" s="1279" customFormat="1" ht="26.25" thickBot="1" x14ac:dyDescent="0.25">
      <c r="A261" s="1282"/>
      <c r="D261" s="1322" t="str">
        <f>'TRAD-Children YEAR(1)'!B90</f>
        <v>Solutions buvables</v>
      </c>
      <c r="E261" s="1284"/>
      <c r="F261" s="1284"/>
      <c r="G261" s="1284"/>
      <c r="H261" s="1284"/>
      <c r="I261" s="1284"/>
      <c r="J261" s="1284"/>
      <c r="K261" s="1290"/>
      <c r="L261" s="1289" t="str">
        <f>'TRAD-Children YEAR(1)'!B91</f>
        <v>Comprimés</v>
      </c>
      <c r="M261" s="1284"/>
      <c r="N261" s="1284"/>
      <c r="O261" s="1284"/>
      <c r="P261" s="1284"/>
      <c r="Q261" s="1284"/>
      <c r="R261" s="1284"/>
      <c r="S261" s="1284"/>
      <c r="T261" s="1284"/>
      <c r="U261" s="1284"/>
      <c r="V261" s="1284"/>
      <c r="W261" s="1945"/>
      <c r="X261" s="1945"/>
      <c r="Y261" s="1945"/>
      <c r="Z261" s="1284"/>
      <c r="AA261" s="1284"/>
      <c r="AB261" s="1284"/>
      <c r="AC261" s="1284"/>
      <c r="AD261" s="1284"/>
      <c r="AE261" s="1284"/>
      <c r="AF261" s="1284"/>
      <c r="AG261" s="1284"/>
      <c r="AH261" s="1284"/>
    </row>
    <row r="262" spans="1:36" s="1292" customFormat="1" ht="38.25" x14ac:dyDescent="0.2">
      <c r="A262" s="1291"/>
      <c r="C262" s="1332" t="str">
        <f>'TRAD-Children YEAR(1)'!B113</f>
        <v>Nb de boites / mois pour l'ensemble des patients</v>
      </c>
      <c r="D262" s="1975" t="str">
        <f t="array" ref="D262:AH263">'Data &amp; hypothesis Children'!$C$116:$AG$117</f>
        <v>AZT</v>
      </c>
      <c r="E262" s="1975" t="str">
        <v>D4T</v>
      </c>
      <c r="F262" s="1975" t="str">
        <v>3TC</v>
      </c>
      <c r="G262" s="1975" t="str">
        <v>ABC</v>
      </c>
      <c r="H262" s="1975" t="str">
        <v>DDI</v>
      </c>
      <c r="I262" s="1975" t="str">
        <v>NVP</v>
      </c>
      <c r="J262" s="1975" t="str">
        <v>EFV</v>
      </c>
      <c r="K262" s="1976" t="str">
        <v>LPV/r</v>
      </c>
      <c r="L262" s="1423" t="str">
        <v>AZT+ 3TC+ NVP adulte</v>
      </c>
      <c r="M262" s="1424" t="str">
        <v>AZT+ 3TC+ NVP bébé</v>
      </c>
      <c r="N262" s="1424" t="str">
        <v>AZT+ 3TC adulte</v>
      </c>
      <c r="O262" s="1424" t="str">
        <v>AZT+ 3TC bébé</v>
      </c>
      <c r="P262" s="1424" t="str">
        <v>D4T+ 3TC+ NVP adulte</v>
      </c>
      <c r="Q262" s="1424" t="str">
        <v>D4T+ 3TC+ NVP bébé</v>
      </c>
      <c r="R262" s="1424" t="str">
        <v>D4T+ 3TC bébé</v>
      </c>
      <c r="S262" s="1424" t="str">
        <v>AZT+ 3TC+ ABC adulte</v>
      </c>
      <c r="T262" s="1424" t="str">
        <v>AZT+ 3TC+ ABC bébé</v>
      </c>
      <c r="U262" s="1424" t="str">
        <v>ABC+ 3TC adulte</v>
      </c>
      <c r="V262" s="1424" t="str">
        <v>ABC+ 3TC bébé</v>
      </c>
      <c r="W262" s="1977" t="str">
        <v>TDF+ FTC/3TC+ EFV adulte</v>
      </c>
      <c r="X262" s="1977" t="str">
        <v>TDF+ FTC/3TC adulte</v>
      </c>
      <c r="Y262" s="1977" t="str">
        <v>TDF adulte</v>
      </c>
      <c r="Z262" s="1964" t="str">
        <v>3TC adulte</v>
      </c>
      <c r="AA262" s="1424" t="str">
        <v>ABC adulte</v>
      </c>
      <c r="AB262" s="1424" t="str">
        <v>ABC bébé</v>
      </c>
      <c r="AC262" s="1424" t="str">
        <v>DDI adulte</v>
      </c>
      <c r="AD262" s="1964" t="str">
        <v>NVP adulte</v>
      </c>
      <c r="AE262" s="1965" t="str">
        <v>NVP bébé</v>
      </c>
      <c r="AF262" s="1964" t="str">
        <v>EFV enfant</v>
      </c>
      <c r="AG262" s="1424" t="str">
        <v>LPV/r adulte</v>
      </c>
      <c r="AH262" s="1425" t="str">
        <v>LPV/r enfant</v>
      </c>
    </row>
    <row r="263" spans="1:36" s="1292" customFormat="1" ht="25.5" x14ac:dyDescent="0.2">
      <c r="A263" s="1291"/>
      <c r="C263" s="1332" t="str">
        <f>'TRAD-Children YEAR(1)'!B114</f>
        <v>Dosage</v>
      </c>
      <c r="D263" s="1975" t="str">
        <v>10 mg/mL</v>
      </c>
      <c r="E263" s="1975" t="str">
        <v>10 mg/mL</v>
      </c>
      <c r="F263" s="1975" t="str">
        <v>10 mg/mL</v>
      </c>
      <c r="G263" s="1975" t="str">
        <v>20 mg/mL</v>
      </c>
      <c r="H263" s="1975" t="str">
        <v>2 g</v>
      </c>
      <c r="I263" s="1975" t="str">
        <v>10 mg/mL</v>
      </c>
      <c r="J263" s="1975" t="str">
        <v>30 mg/mL</v>
      </c>
      <c r="K263" s="1976" t="str">
        <v>80/20 mg/mL</v>
      </c>
      <c r="L263" s="1423" t="str">
        <v>300/150/200 mg</v>
      </c>
      <c r="M263" s="1424" t="str">
        <v>60/30/50 mg</v>
      </c>
      <c r="N263" s="1424" t="str">
        <v>300/150 mg</v>
      </c>
      <c r="O263" s="1424" t="str">
        <v>60/30 mg</v>
      </c>
      <c r="P263" s="1424" t="str">
        <v>30/150/200 mg</v>
      </c>
      <c r="Q263" s="1424" t="str">
        <v>6/30/50 mg</v>
      </c>
      <c r="R263" s="1424" t="str">
        <v>6/30 mg</v>
      </c>
      <c r="S263" s="1424" t="str">
        <v>300/150/300 mg</v>
      </c>
      <c r="T263" s="1424" t="str">
        <v>60/30/60 mg</v>
      </c>
      <c r="U263" s="1424" t="str">
        <v>600/300 mg</v>
      </c>
      <c r="V263" s="1424" t="str">
        <v>60/30 mg</v>
      </c>
      <c r="W263" s="1424" t="str">
        <v>300/200/600 mg</v>
      </c>
      <c r="X263" s="1424" t="str">
        <v>300/200 mg</v>
      </c>
      <c r="Y263" s="1424" t="str">
        <v>300 mg</v>
      </c>
      <c r="Z263" s="1424" t="str">
        <v>150 mg</v>
      </c>
      <c r="AA263" s="1424" t="str">
        <v>300 mg</v>
      </c>
      <c r="AB263" s="1424" t="str">
        <v>60 mg</v>
      </c>
      <c r="AC263" s="1424" t="str">
        <v>250 mg</v>
      </c>
      <c r="AD263" s="1424" t="str">
        <v>200 mg</v>
      </c>
      <c r="AE263" s="1424" t="str">
        <v>50 mg</v>
      </c>
      <c r="AF263" s="1424" t="str">
        <v>200 mg</v>
      </c>
      <c r="AG263" s="1424" t="str">
        <v>200/50 mg</v>
      </c>
      <c r="AH263" s="1425" t="str">
        <v>100/25 mg</v>
      </c>
    </row>
    <row r="264" spans="1:36" s="1281" customFormat="1" ht="26.25" thickBot="1" x14ac:dyDescent="0.25">
      <c r="A264" s="1280"/>
      <c r="C264" s="1332" t="str">
        <f>'TRAD-Children YEAR(1)'!B115</f>
        <v>Nb de cdt/mois pour la tranche</v>
      </c>
      <c r="D264" s="1404">
        <f t="array" ref="D264:AH264">TRANSPOSE($D$224:$D$254)</f>
        <v>2.25</v>
      </c>
      <c r="E264" s="1404">
        <v>1.75</v>
      </c>
      <c r="F264" s="1404">
        <v>1</v>
      </c>
      <c r="G264" s="1404">
        <v>0.75</v>
      </c>
      <c r="H264" s="1404">
        <v>1.5</v>
      </c>
      <c r="I264" s="1404">
        <v>1.75</v>
      </c>
      <c r="J264" s="1404">
        <v>0</v>
      </c>
      <c r="K264" s="1405">
        <v>1.5</v>
      </c>
      <c r="L264" s="1406">
        <v>0</v>
      </c>
      <c r="M264" s="1407">
        <v>1.5</v>
      </c>
      <c r="N264" s="1407">
        <v>0</v>
      </c>
      <c r="O264" s="1407">
        <v>1.5</v>
      </c>
      <c r="P264" s="1407">
        <v>0</v>
      </c>
      <c r="Q264" s="1407">
        <v>1.5</v>
      </c>
      <c r="R264" s="1407">
        <v>1.5</v>
      </c>
      <c r="S264" s="1407">
        <v>0</v>
      </c>
      <c r="T264" s="1407">
        <v>1.5</v>
      </c>
      <c r="U264" s="1407">
        <v>0</v>
      </c>
      <c r="V264" s="1407">
        <v>1.5</v>
      </c>
      <c r="W264" s="1407">
        <v>0</v>
      </c>
      <c r="X264" s="1407">
        <v>0</v>
      </c>
      <c r="Y264" s="1407">
        <v>0</v>
      </c>
      <c r="Z264" s="1407">
        <v>0</v>
      </c>
      <c r="AA264" s="1407">
        <v>0</v>
      </c>
      <c r="AB264" s="1407">
        <v>1.5</v>
      </c>
      <c r="AC264" s="1407">
        <v>0</v>
      </c>
      <c r="AD264" s="1407">
        <v>0</v>
      </c>
      <c r="AE264" s="1407">
        <v>1.5</v>
      </c>
      <c r="AF264" s="1407">
        <v>0</v>
      </c>
      <c r="AG264" s="1407">
        <v>0</v>
      </c>
      <c r="AH264" s="1407">
        <v>0</v>
      </c>
      <c r="AI264" s="1338" t="s">
        <v>654</v>
      </c>
    </row>
    <row r="265" spans="1:36" s="1279" customFormat="1" ht="63.75" x14ac:dyDescent="0.2">
      <c r="A265" s="1282"/>
      <c r="B265" s="1293" t="str">
        <f>'TRAD-Children YEAR(1)'!B6</f>
        <v>Schéma thérapeutique</v>
      </c>
      <c r="C265" s="1332" t="str">
        <f>'TRAD-Children YEAR(1)'!B116</f>
        <v>Premières lignes</v>
      </c>
      <c r="D265" s="1297"/>
      <c r="E265" s="1297"/>
      <c r="F265" s="1297"/>
      <c r="G265" s="1297"/>
      <c r="H265" s="1297"/>
      <c r="I265" s="1297"/>
      <c r="J265" s="1297"/>
      <c r="K265" s="1298"/>
      <c r="L265" s="1299"/>
      <c r="M265" s="1297"/>
      <c r="N265" s="1297"/>
      <c r="O265" s="1297"/>
      <c r="P265" s="1297"/>
      <c r="Q265" s="1297"/>
      <c r="R265" s="1297"/>
      <c r="S265" s="1297"/>
      <c r="T265" s="1297"/>
      <c r="U265" s="1297"/>
      <c r="V265" s="1297"/>
      <c r="W265" s="1297"/>
      <c r="X265" s="1297"/>
      <c r="Y265" s="1297"/>
      <c r="Z265" s="1297"/>
      <c r="AA265" s="1297"/>
      <c r="AB265" s="1297"/>
      <c r="AC265" s="1297"/>
      <c r="AD265" s="1297"/>
      <c r="AE265" s="1297"/>
      <c r="AF265" s="1297"/>
      <c r="AG265" s="1297"/>
      <c r="AH265" s="1297"/>
      <c r="AI265" s="1318" t="str">
        <f>'TRAD-Children YEAR(1)'!B122</f>
        <v>nb de patients mois période quantifiée</v>
      </c>
      <c r="AJ265" s="1318" t="str">
        <f>'TRAD-Children YEAR(1)'!B123</f>
        <v>nb de patients mois avec période de sécurité</v>
      </c>
    </row>
    <row r="266" spans="1:36" s="1279" customFormat="1" ht="15" x14ac:dyDescent="0.25">
      <c r="A266" s="1282"/>
      <c r="C266" s="1319" t="str">
        <f t="array" ref="C266:C271">'Data &amp; hypothesis Children'!$C$26:$C$31</f>
        <v>D4T+3TC+NVP</v>
      </c>
      <c r="D266" s="1175">
        <f>'Data &amp; hypothesis Children'!C119</f>
        <v>0</v>
      </c>
      <c r="E266" s="1175">
        <f>'Data &amp; hypothesis Children'!D119</f>
        <v>0</v>
      </c>
      <c r="F266" s="1175">
        <f>'Data &amp; hypothesis Children'!E119</f>
        <v>0</v>
      </c>
      <c r="G266" s="1175">
        <f>'Data &amp; hypothesis Children'!F119</f>
        <v>0</v>
      </c>
      <c r="H266" s="1175">
        <f>'Data &amp; hypothesis Children'!G119</f>
        <v>0</v>
      </c>
      <c r="I266" s="1175">
        <f>'Data &amp; hypothesis Children'!H119</f>
        <v>0</v>
      </c>
      <c r="J266" s="1175">
        <f>'Data &amp; hypothesis Children'!I119</f>
        <v>0</v>
      </c>
      <c r="K266" s="1413">
        <f>'Data &amp; hypothesis Children'!J119</f>
        <v>0</v>
      </c>
      <c r="L266" s="1414">
        <f>'Data &amp; hypothesis Children'!K119</f>
        <v>0</v>
      </c>
      <c r="M266" s="1175">
        <f>'Data &amp; hypothesis Children'!L119</f>
        <v>0</v>
      </c>
      <c r="N266" s="1175">
        <f>'Data &amp; hypothesis Children'!M119</f>
        <v>0</v>
      </c>
      <c r="O266" s="1175">
        <f>'Data &amp; hypothesis Children'!N119</f>
        <v>0</v>
      </c>
      <c r="P266" s="1175">
        <f>'Data &amp; hypothesis Children'!O119</f>
        <v>0</v>
      </c>
      <c r="Q266" s="1175">
        <f>'Data &amp; hypothesis Children'!P119</f>
        <v>0</v>
      </c>
      <c r="R266" s="1175">
        <f>'Data &amp; hypothesis Children'!Q119</f>
        <v>0</v>
      </c>
      <c r="S266" s="1175">
        <f>'Data &amp; hypothesis Children'!R119</f>
        <v>0</v>
      </c>
      <c r="T266" s="1175">
        <f>'Data &amp; hypothesis Children'!S119</f>
        <v>0</v>
      </c>
      <c r="U266" s="1175">
        <f>'Data &amp; hypothesis Children'!T119</f>
        <v>0</v>
      </c>
      <c r="V266" s="1175">
        <f>'Data &amp; hypothesis Children'!U119</f>
        <v>0</v>
      </c>
      <c r="W266" s="1175">
        <f>'Data &amp; hypothesis Children'!V119</f>
        <v>0</v>
      </c>
      <c r="X266" s="1175">
        <f>'Data &amp; hypothesis Children'!W119</f>
        <v>0</v>
      </c>
      <c r="Y266" s="1175">
        <f>'Data &amp; hypothesis Children'!X119</f>
        <v>0</v>
      </c>
      <c r="Z266" s="1175">
        <f>'Data &amp; hypothesis Children'!Y119</f>
        <v>0</v>
      </c>
      <c r="AA266" s="1175">
        <f>'Data &amp; hypothesis Children'!Z119</f>
        <v>0</v>
      </c>
      <c r="AB266" s="1175">
        <f>'Data &amp; hypothesis Children'!AA119</f>
        <v>0</v>
      </c>
      <c r="AC266" s="1175">
        <f>'Data &amp; hypothesis Children'!AB119</f>
        <v>0</v>
      </c>
      <c r="AD266" s="1175">
        <f>'Data &amp; hypothesis Children'!AC119</f>
        <v>0</v>
      </c>
      <c r="AE266" s="1175">
        <f>'Data &amp; hypothesis Children'!AD119</f>
        <v>0</v>
      </c>
      <c r="AF266" s="1175">
        <f>'Data &amp; hypothesis Children'!AE119</f>
        <v>0</v>
      </c>
      <c r="AG266" s="1175">
        <f>'Data &amp; hypothesis Children'!AF119</f>
        <v>0</v>
      </c>
      <c r="AH266" s="1415">
        <f>'Data &amp; hypothesis Children'!AG119</f>
        <v>0</v>
      </c>
      <c r="AI266" s="1339">
        <f t="shared" ref="AI266:AI271" si="53">F69</f>
        <v>0</v>
      </c>
      <c r="AJ266" s="1340">
        <f t="shared" ref="AJ266:AJ271" si="54">F85</f>
        <v>0</v>
      </c>
    </row>
    <row r="267" spans="1:36" s="1279" customFormat="1" ht="15" x14ac:dyDescent="0.25">
      <c r="A267" s="1282"/>
      <c r="C267" s="1319" t="str">
        <v>AZT+3TC+NVP</v>
      </c>
      <c r="D267" s="1175">
        <f>'Data &amp; hypothesis Children'!C120</f>
        <v>0</v>
      </c>
      <c r="E267" s="1175">
        <f>'Data &amp; hypothesis Children'!D120</f>
        <v>0</v>
      </c>
      <c r="F267" s="1175">
        <f>'Data &amp; hypothesis Children'!E120</f>
        <v>0</v>
      </c>
      <c r="G267" s="1175">
        <f>'Data &amp; hypothesis Children'!F120</f>
        <v>0</v>
      </c>
      <c r="H267" s="1175">
        <f>'Data &amp; hypothesis Children'!G120</f>
        <v>0</v>
      </c>
      <c r="I267" s="1175">
        <f>'Data &amp; hypothesis Children'!H120</f>
        <v>0</v>
      </c>
      <c r="J267" s="1175">
        <f>'Data &amp; hypothesis Children'!I120</f>
        <v>0</v>
      </c>
      <c r="K267" s="1413">
        <f>'Data &amp; hypothesis Children'!J120</f>
        <v>0</v>
      </c>
      <c r="L267" s="1414">
        <f>'Data &amp; hypothesis Children'!K120</f>
        <v>0</v>
      </c>
      <c r="M267" s="1175" t="str">
        <f>'Data &amp; hypothesis Children'!L120</f>
        <v>X</v>
      </c>
      <c r="N267" s="1175">
        <f>'Data &amp; hypothesis Children'!M120</f>
        <v>0</v>
      </c>
      <c r="O267" s="1175">
        <f>'Data &amp; hypothesis Children'!N120</f>
        <v>0</v>
      </c>
      <c r="P267" s="1175">
        <f>'Data &amp; hypothesis Children'!O120</f>
        <v>0</v>
      </c>
      <c r="Q267" s="1175">
        <f>'Data &amp; hypothesis Children'!P120</f>
        <v>0</v>
      </c>
      <c r="R267" s="1175">
        <f>'Data &amp; hypothesis Children'!Q120</f>
        <v>0</v>
      </c>
      <c r="S267" s="1175">
        <f>'Data &amp; hypothesis Children'!R120</f>
        <v>0</v>
      </c>
      <c r="T267" s="1175">
        <f>'Data &amp; hypothesis Children'!S120</f>
        <v>0</v>
      </c>
      <c r="U267" s="1175">
        <f>'Data &amp; hypothesis Children'!T120</f>
        <v>0</v>
      </c>
      <c r="V267" s="1175">
        <f>'Data &amp; hypothesis Children'!U120</f>
        <v>0</v>
      </c>
      <c r="W267" s="1175">
        <f>'Data &amp; hypothesis Children'!V120</f>
        <v>0</v>
      </c>
      <c r="X267" s="1175">
        <f>'Data &amp; hypothesis Children'!W120</f>
        <v>0</v>
      </c>
      <c r="Y267" s="1175">
        <f>'Data &amp; hypothesis Children'!X120</f>
        <v>0</v>
      </c>
      <c r="Z267" s="1175">
        <f>'Data &amp; hypothesis Children'!Y120</f>
        <v>0</v>
      </c>
      <c r="AA267" s="1175">
        <f>'Data &amp; hypothesis Children'!Z120</f>
        <v>0</v>
      </c>
      <c r="AB267" s="1175">
        <f>'Data &amp; hypothesis Children'!AA120</f>
        <v>0</v>
      </c>
      <c r="AC267" s="1175">
        <f>'Data &amp; hypothesis Children'!AB120</f>
        <v>0</v>
      </c>
      <c r="AD267" s="1175">
        <f>'Data &amp; hypothesis Children'!AC120</f>
        <v>0</v>
      </c>
      <c r="AE267" s="1175">
        <f>'Data &amp; hypothesis Children'!AD120</f>
        <v>0</v>
      </c>
      <c r="AF267" s="1175">
        <f>'Data &amp; hypothesis Children'!AE120</f>
        <v>0</v>
      </c>
      <c r="AG267" s="1175">
        <f>'Data &amp; hypothesis Children'!AF120</f>
        <v>0</v>
      </c>
      <c r="AH267" s="1415">
        <f>'Data &amp; hypothesis Children'!AG120</f>
        <v>0</v>
      </c>
      <c r="AI267" s="1339">
        <f t="shared" si="53"/>
        <v>1545.66</v>
      </c>
      <c r="AJ267" s="1340">
        <f t="shared" si="54"/>
        <v>1932.075</v>
      </c>
    </row>
    <row r="268" spans="1:36" s="1279" customFormat="1" ht="15" x14ac:dyDescent="0.25">
      <c r="A268" s="1282"/>
      <c r="C268" s="1319" t="str">
        <v>AZT+3TC+EFV</v>
      </c>
      <c r="D268" s="1175">
        <f>'Data &amp; hypothesis Children'!C121</f>
        <v>0</v>
      </c>
      <c r="E268" s="1175">
        <f>'Data &amp; hypothesis Children'!D121</f>
        <v>0</v>
      </c>
      <c r="F268" s="1175">
        <f>'Data &amp; hypothesis Children'!E121</f>
        <v>0</v>
      </c>
      <c r="G268" s="1175">
        <f>'Data &amp; hypothesis Children'!F121</f>
        <v>0</v>
      </c>
      <c r="H268" s="1175">
        <f>'Data &amp; hypothesis Children'!G121</f>
        <v>0</v>
      </c>
      <c r="I268" s="1175">
        <f>'Data &amp; hypothesis Children'!H121</f>
        <v>0</v>
      </c>
      <c r="J268" s="1175">
        <f>'Data &amp; hypothesis Children'!I121</f>
        <v>0</v>
      </c>
      <c r="K268" s="1413">
        <f>'Data &amp; hypothesis Children'!J121</f>
        <v>0</v>
      </c>
      <c r="L268" s="1414">
        <f>'Data &amp; hypothesis Children'!K121</f>
        <v>0</v>
      </c>
      <c r="M268" s="1175">
        <f>'Data &amp; hypothesis Children'!L121</f>
        <v>0</v>
      </c>
      <c r="N268" s="1175">
        <f>'Data &amp; hypothesis Children'!M121</f>
        <v>0</v>
      </c>
      <c r="O268" s="1175">
        <f>'Data &amp; hypothesis Children'!N121</f>
        <v>0</v>
      </c>
      <c r="P268" s="1175">
        <f>'Data &amp; hypothesis Children'!O121</f>
        <v>0</v>
      </c>
      <c r="Q268" s="1175">
        <f>'Data &amp; hypothesis Children'!P121</f>
        <v>0</v>
      </c>
      <c r="R268" s="1175">
        <f>'Data &amp; hypothesis Children'!Q121</f>
        <v>0</v>
      </c>
      <c r="S268" s="1175">
        <f>'Data &amp; hypothesis Children'!R121</f>
        <v>0</v>
      </c>
      <c r="T268" s="1175">
        <f>'Data &amp; hypothesis Children'!S121</f>
        <v>0</v>
      </c>
      <c r="U268" s="1175">
        <f>'Data &amp; hypothesis Children'!T121</f>
        <v>0</v>
      </c>
      <c r="V268" s="1175">
        <f>'Data &amp; hypothesis Children'!U121</f>
        <v>0</v>
      </c>
      <c r="W268" s="1175">
        <f>'Data &amp; hypothesis Children'!V121</f>
        <v>0</v>
      </c>
      <c r="X268" s="1175">
        <f>'Data &amp; hypothesis Children'!W121</f>
        <v>0</v>
      </c>
      <c r="Y268" s="1175">
        <f>'Data &amp; hypothesis Children'!X121</f>
        <v>0</v>
      </c>
      <c r="Z268" s="1175">
        <f>'Data &amp; hypothesis Children'!Y121</f>
        <v>0</v>
      </c>
      <c r="AA268" s="1175">
        <f>'Data &amp; hypothesis Children'!Z121</f>
        <v>0</v>
      </c>
      <c r="AB268" s="1175">
        <f>'Data &amp; hypothesis Children'!AA121</f>
        <v>0</v>
      </c>
      <c r="AC268" s="1175">
        <f>'Data &amp; hypothesis Children'!AB121</f>
        <v>0</v>
      </c>
      <c r="AD268" s="1175">
        <f>'Data &amp; hypothesis Children'!AC121</f>
        <v>0</v>
      </c>
      <c r="AE268" s="1175">
        <f>'Data &amp; hypothesis Children'!AD121</f>
        <v>0</v>
      </c>
      <c r="AF268" s="1175">
        <f>'Data &amp; hypothesis Children'!AE121</f>
        <v>0</v>
      </c>
      <c r="AG268" s="1175">
        <f>'Data &amp; hypothesis Children'!AF121</f>
        <v>0</v>
      </c>
      <c r="AH268" s="1415">
        <f>'Data &amp; hypothesis Children'!AG121</f>
        <v>0</v>
      </c>
      <c r="AI268" s="1339">
        <f t="shared" si="53"/>
        <v>0</v>
      </c>
      <c r="AJ268" s="1340">
        <f t="shared" si="54"/>
        <v>0</v>
      </c>
    </row>
    <row r="269" spans="1:36" s="1279" customFormat="1" ht="15" x14ac:dyDescent="0.25">
      <c r="A269" s="1282"/>
      <c r="C269" s="1319" t="str">
        <v>LPV/r+3TC+ABC</v>
      </c>
      <c r="D269" s="1175">
        <f>'Data &amp; hypothesis Children'!C122</f>
        <v>0</v>
      </c>
      <c r="E269" s="1175">
        <f>'Data &amp; hypothesis Children'!D122</f>
        <v>0</v>
      </c>
      <c r="F269" s="1175">
        <f>'Data &amp; hypothesis Children'!E122</f>
        <v>0</v>
      </c>
      <c r="G269" s="1175">
        <f>'Data &amp; hypothesis Children'!F122</f>
        <v>0</v>
      </c>
      <c r="H269" s="1175">
        <f>'Data &amp; hypothesis Children'!G122</f>
        <v>0</v>
      </c>
      <c r="I269" s="1175">
        <f>'Data &amp; hypothesis Children'!H122</f>
        <v>0</v>
      </c>
      <c r="J269" s="1175">
        <f>'Data &amp; hypothesis Children'!I122</f>
        <v>0</v>
      </c>
      <c r="K269" s="1413">
        <f>'Data &amp; hypothesis Children'!J122</f>
        <v>0</v>
      </c>
      <c r="L269" s="1414">
        <f>'Data &amp; hypothesis Children'!K122</f>
        <v>0</v>
      </c>
      <c r="M269" s="1175">
        <f>'Data &amp; hypothesis Children'!L122</f>
        <v>0</v>
      </c>
      <c r="N269" s="1175">
        <f>'Data &amp; hypothesis Children'!M122</f>
        <v>0</v>
      </c>
      <c r="O269" s="1175">
        <f>'Data &amp; hypothesis Children'!N122</f>
        <v>0</v>
      </c>
      <c r="P269" s="1175">
        <f>'Data &amp; hypothesis Children'!O122</f>
        <v>0</v>
      </c>
      <c r="Q269" s="1175">
        <f>'Data &amp; hypothesis Children'!P122</f>
        <v>0</v>
      </c>
      <c r="R269" s="1175">
        <f>'Data &amp; hypothesis Children'!Q122</f>
        <v>0</v>
      </c>
      <c r="S269" s="1175">
        <f>'Data &amp; hypothesis Children'!R122</f>
        <v>0</v>
      </c>
      <c r="T269" s="1175">
        <f>'Data &amp; hypothesis Children'!S122</f>
        <v>0</v>
      </c>
      <c r="U269" s="1175">
        <f>'Data &amp; hypothesis Children'!T122</f>
        <v>0</v>
      </c>
      <c r="V269" s="1175">
        <f>'Data &amp; hypothesis Children'!U122</f>
        <v>0</v>
      </c>
      <c r="W269" s="1175">
        <f>'Data &amp; hypothesis Children'!V122</f>
        <v>0</v>
      </c>
      <c r="X269" s="1175">
        <f>'Data &amp; hypothesis Children'!W122</f>
        <v>0</v>
      </c>
      <c r="Y269" s="1175">
        <f>'Data &amp; hypothesis Children'!X122</f>
        <v>0</v>
      </c>
      <c r="Z269" s="1175">
        <f>'Data &amp; hypothesis Children'!Y122</f>
        <v>0</v>
      </c>
      <c r="AA269" s="1175">
        <f>'Data &amp; hypothesis Children'!Z122</f>
        <v>0</v>
      </c>
      <c r="AB269" s="1175">
        <f>'Data &amp; hypothesis Children'!AA122</f>
        <v>0</v>
      </c>
      <c r="AC269" s="1175">
        <f>'Data &amp; hypothesis Children'!AB122</f>
        <v>0</v>
      </c>
      <c r="AD269" s="1175">
        <f>'Data &amp; hypothesis Children'!AC122</f>
        <v>0</v>
      </c>
      <c r="AE269" s="1175">
        <f>'Data &amp; hypothesis Children'!AD122</f>
        <v>0</v>
      </c>
      <c r="AF269" s="1175">
        <f>'Data &amp; hypothesis Children'!AE122</f>
        <v>0</v>
      </c>
      <c r="AG269" s="1175">
        <f>'Data &amp; hypothesis Children'!AF122</f>
        <v>0</v>
      </c>
      <c r="AH269" s="1415">
        <f>'Data &amp; hypothesis Children'!AG122</f>
        <v>0</v>
      </c>
      <c r="AI269" s="1339">
        <f t="shared" si="53"/>
        <v>28.665000000000003</v>
      </c>
      <c r="AJ269" s="1340">
        <f t="shared" si="54"/>
        <v>44.100000000000009</v>
      </c>
    </row>
    <row r="270" spans="1:36" s="1279" customFormat="1" ht="15" x14ac:dyDescent="0.25">
      <c r="A270" s="1282"/>
      <c r="C270" s="1319" t="str">
        <v>ABC+3TC+NVP</v>
      </c>
      <c r="D270" s="1175">
        <f>'Data &amp; hypothesis Children'!C123</f>
        <v>0</v>
      </c>
      <c r="E270" s="1175">
        <f>'Data &amp; hypothesis Children'!D123</f>
        <v>0</v>
      </c>
      <c r="F270" s="1175">
        <f>'Data &amp; hypothesis Children'!E123</f>
        <v>0</v>
      </c>
      <c r="G270" s="1175">
        <f>'Data &amp; hypothesis Children'!F123</f>
        <v>0</v>
      </c>
      <c r="H270" s="1175">
        <f>'Data &amp; hypothesis Children'!G123</f>
        <v>0</v>
      </c>
      <c r="I270" s="1175" t="str">
        <f>'Data &amp; hypothesis Children'!H123</f>
        <v>X</v>
      </c>
      <c r="J270" s="1175">
        <f>'Data &amp; hypothesis Children'!I123</f>
        <v>0</v>
      </c>
      <c r="K270" s="1413">
        <f>'Data &amp; hypothesis Children'!J123</f>
        <v>0</v>
      </c>
      <c r="L270" s="1414">
        <f>'Data &amp; hypothesis Children'!K123</f>
        <v>0</v>
      </c>
      <c r="M270" s="1175">
        <f>'Data &amp; hypothesis Children'!L123</f>
        <v>0</v>
      </c>
      <c r="N270" s="1175">
        <f>'Data &amp; hypothesis Children'!M123</f>
        <v>0</v>
      </c>
      <c r="O270" s="1175">
        <f>'Data &amp; hypothesis Children'!N123</f>
        <v>0</v>
      </c>
      <c r="P270" s="1175">
        <f>'Data &amp; hypothesis Children'!O123</f>
        <v>0</v>
      </c>
      <c r="Q270" s="1175">
        <f>'Data &amp; hypothesis Children'!P123</f>
        <v>0</v>
      </c>
      <c r="R270" s="1175">
        <f>'Data &amp; hypothesis Children'!Q123</f>
        <v>0</v>
      </c>
      <c r="S270" s="1175">
        <f>'Data &amp; hypothesis Children'!R123</f>
        <v>0</v>
      </c>
      <c r="T270" s="1175">
        <f>'Data &amp; hypothesis Children'!S123</f>
        <v>0</v>
      </c>
      <c r="U270" s="1175" t="str">
        <f>'Data &amp; hypothesis Children'!T123</f>
        <v>X</v>
      </c>
      <c r="V270" s="1175">
        <f>'Data &amp; hypothesis Children'!U123</f>
        <v>0</v>
      </c>
      <c r="W270" s="1175">
        <f>'Data &amp; hypothesis Children'!V123</f>
        <v>0</v>
      </c>
      <c r="X270" s="1175">
        <f>'Data &amp; hypothesis Children'!W123</f>
        <v>0</v>
      </c>
      <c r="Y270" s="1175">
        <f>'Data &amp; hypothesis Children'!X123</f>
        <v>0</v>
      </c>
      <c r="Z270" s="1175">
        <f>'Data &amp; hypothesis Children'!Y123</f>
        <v>0</v>
      </c>
      <c r="AA270" s="1175">
        <f>'Data &amp; hypothesis Children'!Z123</f>
        <v>0</v>
      </c>
      <c r="AB270" s="1175">
        <f>'Data &amp; hypothesis Children'!AA123</f>
        <v>0</v>
      </c>
      <c r="AC270" s="1175">
        <f>'Data &amp; hypothesis Children'!AB123</f>
        <v>0</v>
      </c>
      <c r="AD270" s="1175">
        <f>'Data &amp; hypothesis Children'!AC123</f>
        <v>0</v>
      </c>
      <c r="AE270" s="1175">
        <f>'Data &amp; hypothesis Children'!AD123</f>
        <v>0</v>
      </c>
      <c r="AF270" s="1175">
        <f>'Data &amp; hypothesis Children'!AE123</f>
        <v>0</v>
      </c>
      <c r="AG270" s="1175">
        <f>'Data &amp; hypothesis Children'!AF123</f>
        <v>0</v>
      </c>
      <c r="AH270" s="1415">
        <f>'Data &amp; hypothesis Children'!AG123</f>
        <v>0</v>
      </c>
      <c r="AI270" s="1339">
        <f t="shared" si="53"/>
        <v>13.296000000000001</v>
      </c>
      <c r="AJ270" s="1340">
        <f t="shared" si="54"/>
        <v>16.62</v>
      </c>
    </row>
    <row r="271" spans="1:36" s="1279" customFormat="1" ht="15" x14ac:dyDescent="0.25">
      <c r="A271" s="1282"/>
      <c r="C271" s="1319" t="str">
        <v>AZT+3TC+LPV/r</v>
      </c>
      <c r="D271" s="1175">
        <f>'Data &amp; hypothesis Children'!C124</f>
        <v>0</v>
      </c>
      <c r="E271" s="1175">
        <f>'Data &amp; hypothesis Children'!D124</f>
        <v>0</v>
      </c>
      <c r="F271" s="1175">
        <f>'Data &amp; hypothesis Children'!E124</f>
        <v>0</v>
      </c>
      <c r="G271" s="1175">
        <f>'Data &amp; hypothesis Children'!F124</f>
        <v>0</v>
      </c>
      <c r="H271" s="1175">
        <f>'Data &amp; hypothesis Children'!G124</f>
        <v>0</v>
      </c>
      <c r="I271" s="1175">
        <f>'Data &amp; hypothesis Children'!H124</f>
        <v>0</v>
      </c>
      <c r="J271" s="1175">
        <f>'Data &amp; hypothesis Children'!I124</f>
        <v>0</v>
      </c>
      <c r="K271" s="1413" t="str">
        <f>'Data &amp; hypothesis Children'!J124</f>
        <v>X</v>
      </c>
      <c r="L271" s="1414">
        <f>'Data &amp; hypothesis Children'!K124</f>
        <v>0</v>
      </c>
      <c r="M271" s="1175">
        <f>'Data &amp; hypothesis Children'!L124</f>
        <v>0</v>
      </c>
      <c r="N271" s="1175">
        <f>'Data &amp; hypothesis Children'!M124</f>
        <v>0</v>
      </c>
      <c r="O271" s="1175" t="str">
        <f>'Data &amp; hypothesis Children'!N124</f>
        <v>X</v>
      </c>
      <c r="P271" s="1175">
        <f>'Data &amp; hypothesis Children'!O124</f>
        <v>0</v>
      </c>
      <c r="Q271" s="1175">
        <f>'Data &amp; hypothesis Children'!P124</f>
        <v>0</v>
      </c>
      <c r="R271" s="1175">
        <f>'Data &amp; hypothesis Children'!Q124</f>
        <v>0</v>
      </c>
      <c r="S271" s="1175">
        <f>'Data &amp; hypothesis Children'!R124</f>
        <v>0</v>
      </c>
      <c r="T271" s="1175">
        <f>'Data &amp; hypothesis Children'!S124</f>
        <v>0</v>
      </c>
      <c r="U271" s="1175">
        <f>'Data &amp; hypothesis Children'!T124</f>
        <v>0</v>
      </c>
      <c r="V271" s="1175">
        <f>'Data &amp; hypothesis Children'!U124</f>
        <v>0</v>
      </c>
      <c r="W271" s="1175">
        <f>'Data &amp; hypothesis Children'!V124</f>
        <v>0</v>
      </c>
      <c r="X271" s="1175">
        <f>'Data &amp; hypothesis Children'!W124</f>
        <v>0</v>
      </c>
      <c r="Y271" s="1175">
        <f>'Data &amp; hypothesis Children'!X124</f>
        <v>0</v>
      </c>
      <c r="Z271" s="1175">
        <f>'Data &amp; hypothesis Children'!Y124</f>
        <v>0</v>
      </c>
      <c r="AA271" s="1175">
        <f>'Data &amp; hypothesis Children'!Z124</f>
        <v>0</v>
      </c>
      <c r="AB271" s="1175">
        <f>'Data &amp; hypothesis Children'!AA124</f>
        <v>0</v>
      </c>
      <c r="AC271" s="1175">
        <f>'Data &amp; hypothesis Children'!AB124</f>
        <v>0</v>
      </c>
      <c r="AD271" s="1175">
        <f>'Data &amp; hypothesis Children'!AC124</f>
        <v>0</v>
      </c>
      <c r="AE271" s="1175">
        <f>'Data &amp; hypothesis Children'!AD124</f>
        <v>0</v>
      </c>
      <c r="AF271" s="1175">
        <f>'Data &amp; hypothesis Children'!AE124</f>
        <v>0</v>
      </c>
      <c r="AG271" s="1175">
        <f>'Data &amp; hypothesis Children'!AF124</f>
        <v>0</v>
      </c>
      <c r="AH271" s="1415">
        <f>'Data &amp; hypothesis Children'!AG124</f>
        <v>0</v>
      </c>
      <c r="AI271" s="1339">
        <f t="shared" si="53"/>
        <v>434.01900000000006</v>
      </c>
      <c r="AJ271" s="1340">
        <f t="shared" si="54"/>
        <v>652.38000000000011</v>
      </c>
    </row>
    <row r="272" spans="1:36" s="1279" customFormat="1" x14ac:dyDescent="0.2">
      <c r="A272" s="1282"/>
      <c r="C272" s="1296" t="str">
        <f>'TRAD-Children YEAR(1)'!$B$117</f>
        <v>Deuxièmes lignes</v>
      </c>
      <c r="D272" s="1410"/>
      <c r="E272" s="1410"/>
      <c r="F272" s="1410"/>
      <c r="G272" s="1410"/>
      <c r="H272" s="1410"/>
      <c r="I272" s="1410"/>
      <c r="J272" s="1410"/>
      <c r="K272" s="1411"/>
      <c r="L272" s="1412"/>
      <c r="M272" s="1410"/>
      <c r="N272" s="1410"/>
      <c r="O272" s="1410"/>
      <c r="P272" s="1410"/>
      <c r="Q272" s="1410"/>
      <c r="R272" s="1410"/>
      <c r="S272" s="1410"/>
      <c r="T272" s="1410"/>
      <c r="U272" s="1410"/>
      <c r="V272" s="1410"/>
      <c r="W272" s="1410"/>
      <c r="X272" s="1410"/>
      <c r="Y272" s="1410"/>
      <c r="Z272" s="1410"/>
      <c r="AA272" s="1410"/>
      <c r="AB272" s="1410"/>
      <c r="AC272" s="1410"/>
      <c r="AD272" s="1410"/>
      <c r="AE272" s="1410"/>
      <c r="AF272" s="1410"/>
      <c r="AG272" s="1410"/>
      <c r="AH272" s="1416"/>
      <c r="AI272" s="1339"/>
      <c r="AJ272" s="1340"/>
    </row>
    <row r="273" spans="1:36" s="1279" customFormat="1" ht="15" x14ac:dyDescent="0.25">
      <c r="A273" s="1282"/>
      <c r="C273" s="1301" t="str">
        <f t="array" ref="C273:C276">'Data &amp; hypothesis Children'!$C$32:$C$35</f>
        <v>ABC+3TC+EFV</v>
      </c>
      <c r="D273" s="1175">
        <f>'Data &amp; hypothesis Children'!C126</f>
        <v>0</v>
      </c>
      <c r="E273" s="1175">
        <f>'Data &amp; hypothesis Children'!D126</f>
        <v>0</v>
      </c>
      <c r="F273" s="1175">
        <f>'Data &amp; hypothesis Children'!E126</f>
        <v>0</v>
      </c>
      <c r="G273" s="1175">
        <f>'Data &amp; hypothesis Children'!F126</f>
        <v>0</v>
      </c>
      <c r="H273" s="1175">
        <f>'Data &amp; hypothesis Children'!G126</f>
        <v>0</v>
      </c>
      <c r="I273" s="1175">
        <f>'Data &amp; hypothesis Children'!H126</f>
        <v>0</v>
      </c>
      <c r="J273" s="1175">
        <f>'Data &amp; hypothesis Children'!I126</f>
        <v>0</v>
      </c>
      <c r="K273" s="1413">
        <f>'Data &amp; hypothesis Children'!J126</f>
        <v>0</v>
      </c>
      <c r="L273" s="1414">
        <f>'Data &amp; hypothesis Children'!K126</f>
        <v>0</v>
      </c>
      <c r="M273" s="1175">
        <f>'Data &amp; hypothesis Children'!L126</f>
        <v>0</v>
      </c>
      <c r="N273" s="1175">
        <f>'Data &amp; hypothesis Children'!M126</f>
        <v>0</v>
      </c>
      <c r="O273" s="1175">
        <f>'Data &amp; hypothesis Children'!N126</f>
        <v>0</v>
      </c>
      <c r="P273" s="1175">
        <f>'Data &amp; hypothesis Children'!O126</f>
        <v>0</v>
      </c>
      <c r="Q273" s="1175">
        <f>'Data &amp; hypothesis Children'!P126</f>
        <v>0</v>
      </c>
      <c r="R273" s="1175">
        <f>'Data &amp; hypothesis Children'!Q126</f>
        <v>0</v>
      </c>
      <c r="S273" s="1175">
        <f>'Data &amp; hypothesis Children'!R126</f>
        <v>0</v>
      </c>
      <c r="T273" s="1175">
        <f>'Data &amp; hypothesis Children'!S126</f>
        <v>0</v>
      </c>
      <c r="U273" s="1175">
        <f>'Data &amp; hypothesis Children'!T126</f>
        <v>0</v>
      </c>
      <c r="V273" s="1175">
        <f>'Data &amp; hypothesis Children'!U126</f>
        <v>0</v>
      </c>
      <c r="W273" s="1175">
        <f>'Data &amp; hypothesis Children'!V126</f>
        <v>0</v>
      </c>
      <c r="X273" s="1175">
        <f>'Data &amp; hypothesis Children'!W126</f>
        <v>0</v>
      </c>
      <c r="Y273" s="1175">
        <f>'Data &amp; hypothesis Children'!X126</f>
        <v>0</v>
      </c>
      <c r="Z273" s="1175">
        <f>'Data &amp; hypothesis Children'!Y126</f>
        <v>0</v>
      </c>
      <c r="AA273" s="1175">
        <f>'Data &amp; hypothesis Children'!Z126</f>
        <v>0</v>
      </c>
      <c r="AB273" s="1175">
        <f>'Data &amp; hypothesis Children'!AA126</f>
        <v>0</v>
      </c>
      <c r="AC273" s="1175">
        <f>'Data &amp; hypothesis Children'!AB126</f>
        <v>0</v>
      </c>
      <c r="AD273" s="1175">
        <f>'Data &amp; hypothesis Children'!AC126</f>
        <v>0</v>
      </c>
      <c r="AE273" s="1175">
        <f>'Data &amp; hypothesis Children'!AD126</f>
        <v>0</v>
      </c>
      <c r="AF273" s="1175">
        <f>'Data &amp; hypothesis Children'!AE126</f>
        <v>0</v>
      </c>
      <c r="AG273" s="1175">
        <f>'Data &amp; hypothesis Children'!AF126</f>
        <v>0</v>
      </c>
      <c r="AH273" s="1415">
        <f>'Data &amp; hypothesis Children'!AG126</f>
        <v>0</v>
      </c>
      <c r="AI273" s="1339">
        <f>F75</f>
        <v>33.349799999999995</v>
      </c>
      <c r="AJ273" s="1340">
        <f>F91</f>
        <v>47.471999999999994</v>
      </c>
    </row>
    <row r="274" spans="1:36" s="1279" customFormat="1" ht="15" x14ac:dyDescent="0.25">
      <c r="A274" s="1282"/>
      <c r="C274" s="1301" t="str">
        <v>TDF+3TC+LPV/r</v>
      </c>
      <c r="D274" s="1175">
        <f>'Data &amp; hypothesis Children'!C127</f>
        <v>0</v>
      </c>
      <c r="E274" s="1175">
        <f>'Data &amp; hypothesis Children'!D127</f>
        <v>0</v>
      </c>
      <c r="F274" s="1175">
        <f>'Data &amp; hypothesis Children'!E127</f>
        <v>0</v>
      </c>
      <c r="G274" s="1175">
        <f>'Data &amp; hypothesis Children'!F127</f>
        <v>0</v>
      </c>
      <c r="H274" s="1175">
        <f>'Data &amp; hypothesis Children'!G127</f>
        <v>0</v>
      </c>
      <c r="I274" s="1175">
        <f>'Data &amp; hypothesis Children'!H127</f>
        <v>0</v>
      </c>
      <c r="J274" s="1175">
        <f>'Data &amp; hypothesis Children'!I127</f>
        <v>0</v>
      </c>
      <c r="K274" s="1413">
        <f>'Data &amp; hypothesis Children'!J127</f>
        <v>0</v>
      </c>
      <c r="L274" s="1414">
        <f>'Data &amp; hypothesis Children'!K127</f>
        <v>0</v>
      </c>
      <c r="M274" s="1175">
        <f>'Data &amp; hypothesis Children'!L127</f>
        <v>0</v>
      </c>
      <c r="N274" s="1175">
        <f>'Data &amp; hypothesis Children'!M127</f>
        <v>0</v>
      </c>
      <c r="O274" s="1175">
        <f>'Data &amp; hypothesis Children'!N127</f>
        <v>0</v>
      </c>
      <c r="P274" s="1175">
        <f>'Data &amp; hypothesis Children'!O127</f>
        <v>0</v>
      </c>
      <c r="Q274" s="1175">
        <f>'Data &amp; hypothesis Children'!P127</f>
        <v>0</v>
      </c>
      <c r="R274" s="1175">
        <f>'Data &amp; hypothesis Children'!Q127</f>
        <v>0</v>
      </c>
      <c r="S274" s="1175">
        <f>'Data &amp; hypothesis Children'!R127</f>
        <v>0</v>
      </c>
      <c r="T274" s="1175">
        <f>'Data &amp; hypothesis Children'!S127</f>
        <v>0</v>
      </c>
      <c r="U274" s="1175">
        <f>'Data &amp; hypothesis Children'!T127</f>
        <v>0</v>
      </c>
      <c r="V274" s="1175">
        <f>'Data &amp; hypothesis Children'!U127</f>
        <v>0</v>
      </c>
      <c r="W274" s="1175">
        <f>'Data &amp; hypothesis Children'!V127</f>
        <v>0</v>
      </c>
      <c r="X274" s="1175">
        <f>'Data &amp; hypothesis Children'!W127</f>
        <v>0</v>
      </c>
      <c r="Y274" s="1175">
        <f>'Data &amp; hypothesis Children'!X127</f>
        <v>0</v>
      </c>
      <c r="Z274" s="1175">
        <f>'Data &amp; hypothesis Children'!Y127</f>
        <v>0</v>
      </c>
      <c r="AA274" s="1175">
        <f>'Data &amp; hypothesis Children'!Z127</f>
        <v>0</v>
      </c>
      <c r="AB274" s="1175">
        <f>'Data &amp; hypothesis Children'!AA127</f>
        <v>0</v>
      </c>
      <c r="AC274" s="1175">
        <f>'Data &amp; hypothesis Children'!AB127</f>
        <v>0</v>
      </c>
      <c r="AD274" s="1175">
        <f>'Data &amp; hypothesis Children'!AC127</f>
        <v>0</v>
      </c>
      <c r="AE274" s="1175">
        <f>'Data &amp; hypothesis Children'!AD127</f>
        <v>0</v>
      </c>
      <c r="AF274" s="1175">
        <f>'Data &amp; hypothesis Children'!AE127</f>
        <v>0</v>
      </c>
      <c r="AG274" s="1175">
        <f>'Data &amp; hypothesis Children'!AF127</f>
        <v>0</v>
      </c>
      <c r="AH274" s="1415">
        <f>'Data &amp; hypothesis Children'!AG127</f>
        <v>0</v>
      </c>
      <c r="AI274" s="1339">
        <f t="shared" ref="AI274:AI275" si="55">F76</f>
        <v>4.0107599999999994</v>
      </c>
      <c r="AJ274" s="1340">
        <f t="shared" ref="AJ274:AJ275" si="56">F92</f>
        <v>6.170399999999999</v>
      </c>
    </row>
    <row r="275" spans="1:36" s="1279" customFormat="1" ht="15" x14ac:dyDescent="0.25">
      <c r="A275" s="1282"/>
      <c r="C275" s="1301" t="str">
        <v>AZT+3TC+EFV</v>
      </c>
      <c r="D275" s="1175">
        <f>'Data &amp; hypothesis Children'!C128</f>
        <v>0</v>
      </c>
      <c r="E275" s="1175">
        <f>'Data &amp; hypothesis Children'!D128</f>
        <v>0</v>
      </c>
      <c r="F275" s="1175">
        <f>'Data &amp; hypothesis Children'!E128</f>
        <v>0</v>
      </c>
      <c r="G275" s="1175">
        <f>'Data &amp; hypothesis Children'!F128</f>
        <v>0</v>
      </c>
      <c r="H275" s="1175">
        <f>'Data &amp; hypothesis Children'!G128</f>
        <v>0</v>
      </c>
      <c r="I275" s="1175">
        <f>'Data &amp; hypothesis Children'!H128</f>
        <v>0</v>
      </c>
      <c r="J275" s="1175">
        <f>'Data &amp; hypothesis Children'!I128</f>
        <v>0</v>
      </c>
      <c r="K275" s="1413">
        <f>'Data &amp; hypothesis Children'!J128</f>
        <v>0</v>
      </c>
      <c r="L275" s="1414">
        <f>'Data &amp; hypothesis Children'!K128</f>
        <v>0</v>
      </c>
      <c r="M275" s="1175">
        <f>'Data &amp; hypothesis Children'!L128</f>
        <v>0</v>
      </c>
      <c r="N275" s="1175">
        <f>'Data &amp; hypothesis Children'!M128</f>
        <v>0</v>
      </c>
      <c r="O275" s="1175">
        <f>'Data &amp; hypothesis Children'!N128</f>
        <v>0</v>
      </c>
      <c r="P275" s="1175">
        <f>'Data &amp; hypothesis Children'!O128</f>
        <v>0</v>
      </c>
      <c r="Q275" s="1175">
        <f>'Data &amp; hypothesis Children'!P128</f>
        <v>0</v>
      </c>
      <c r="R275" s="1175">
        <f>'Data &amp; hypothesis Children'!Q128</f>
        <v>0</v>
      </c>
      <c r="S275" s="1175">
        <f>'Data &amp; hypothesis Children'!R128</f>
        <v>0</v>
      </c>
      <c r="T275" s="1175">
        <f>'Data &amp; hypothesis Children'!S128</f>
        <v>0</v>
      </c>
      <c r="U275" s="1175">
        <f>'Data &amp; hypothesis Children'!T128</f>
        <v>0</v>
      </c>
      <c r="V275" s="1175">
        <f>'Data &amp; hypothesis Children'!U128</f>
        <v>0</v>
      </c>
      <c r="W275" s="1175">
        <f>'Data &amp; hypothesis Children'!V128</f>
        <v>0</v>
      </c>
      <c r="X275" s="1175">
        <f>'Data &amp; hypothesis Children'!W128</f>
        <v>0</v>
      </c>
      <c r="Y275" s="1175">
        <f>'Data &amp; hypothesis Children'!X128</f>
        <v>0</v>
      </c>
      <c r="Z275" s="1175">
        <f>'Data &amp; hypothesis Children'!Y128</f>
        <v>0</v>
      </c>
      <c r="AA275" s="1175">
        <f>'Data &amp; hypothesis Children'!Z128</f>
        <v>0</v>
      </c>
      <c r="AB275" s="1175">
        <f>'Data &amp; hypothesis Children'!AA128</f>
        <v>0</v>
      </c>
      <c r="AC275" s="1175">
        <f>'Data &amp; hypothesis Children'!AB128</f>
        <v>0</v>
      </c>
      <c r="AD275" s="1175">
        <f>'Data &amp; hypothesis Children'!AC128</f>
        <v>0</v>
      </c>
      <c r="AE275" s="1175">
        <f>'Data &amp; hypothesis Children'!AD128</f>
        <v>0</v>
      </c>
      <c r="AF275" s="1175">
        <f>'Data &amp; hypothesis Children'!AE128</f>
        <v>0</v>
      </c>
      <c r="AG275" s="1175">
        <f>'Data &amp; hypothesis Children'!AF128</f>
        <v>0</v>
      </c>
      <c r="AH275" s="1415">
        <f>'Data &amp; hypothesis Children'!AG128</f>
        <v>0</v>
      </c>
      <c r="AI275" s="1339">
        <f t="shared" si="55"/>
        <v>1.0026899999999999</v>
      </c>
      <c r="AJ275" s="1340">
        <f t="shared" si="56"/>
        <v>1.5425999999999997</v>
      </c>
    </row>
    <row r="276" spans="1:36" s="1279" customFormat="1" ht="15.75" thickBot="1" x14ac:dyDescent="0.3">
      <c r="A276" s="1282"/>
      <c r="C276" s="1301">
        <v>0</v>
      </c>
      <c r="D276" s="1175">
        <f>'Data &amp; hypothesis Children'!C129</f>
        <v>0</v>
      </c>
      <c r="E276" s="1175">
        <f>'Data &amp; hypothesis Children'!D129</f>
        <v>0</v>
      </c>
      <c r="F276" s="1175">
        <f>'Data &amp; hypothesis Children'!E129</f>
        <v>0</v>
      </c>
      <c r="G276" s="1175">
        <f>'Data &amp; hypothesis Children'!F129</f>
        <v>0</v>
      </c>
      <c r="H276" s="1175">
        <f>'Data &amp; hypothesis Children'!G129</f>
        <v>0</v>
      </c>
      <c r="I276" s="1175">
        <f>'Data &amp; hypothesis Children'!H129</f>
        <v>0</v>
      </c>
      <c r="J276" s="1175">
        <f>'Data &amp; hypothesis Children'!I129</f>
        <v>0</v>
      </c>
      <c r="K276" s="1413">
        <f>'Data &amp; hypothesis Children'!J129</f>
        <v>0</v>
      </c>
      <c r="L276" s="1417">
        <f>'Data &amp; hypothesis Children'!K129</f>
        <v>0</v>
      </c>
      <c r="M276" s="1418">
        <f>'Data &amp; hypothesis Children'!L129</f>
        <v>0</v>
      </c>
      <c r="N276" s="1418">
        <f>'Data &amp; hypothesis Children'!M129</f>
        <v>0</v>
      </c>
      <c r="O276" s="1418">
        <f>'Data &amp; hypothesis Children'!N129</f>
        <v>0</v>
      </c>
      <c r="P276" s="1418">
        <f>'Data &amp; hypothesis Children'!O129</f>
        <v>0</v>
      </c>
      <c r="Q276" s="1418">
        <f>'Data &amp; hypothesis Children'!P129</f>
        <v>0</v>
      </c>
      <c r="R276" s="1418">
        <f>'Data &amp; hypothesis Children'!Q129</f>
        <v>0</v>
      </c>
      <c r="S276" s="1418">
        <f>'Data &amp; hypothesis Children'!R129</f>
        <v>0</v>
      </c>
      <c r="T276" s="1418">
        <f>'Data &amp; hypothesis Children'!S129</f>
        <v>0</v>
      </c>
      <c r="U276" s="1418">
        <f>'Data &amp; hypothesis Children'!T129</f>
        <v>0</v>
      </c>
      <c r="V276" s="1418">
        <f>'Data &amp; hypothesis Children'!U129</f>
        <v>0</v>
      </c>
      <c r="W276" s="1418">
        <f>'Data &amp; hypothesis Children'!V129</f>
        <v>0</v>
      </c>
      <c r="X276" s="1418">
        <f>'Data &amp; hypothesis Children'!W129</f>
        <v>0</v>
      </c>
      <c r="Y276" s="1418">
        <f>'Data &amp; hypothesis Children'!X129</f>
        <v>0</v>
      </c>
      <c r="Z276" s="1418">
        <f>'Data &amp; hypothesis Children'!Y129</f>
        <v>0</v>
      </c>
      <c r="AA276" s="1418">
        <f>'Data &amp; hypothesis Children'!Z129</f>
        <v>0</v>
      </c>
      <c r="AB276" s="1418" t="str">
        <f>'Data &amp; hypothesis Children'!AA129</f>
        <v>X</v>
      </c>
      <c r="AC276" s="1418">
        <f>'Data &amp; hypothesis Children'!AB129</f>
        <v>0</v>
      </c>
      <c r="AD276" s="1418">
        <f>'Data &amp; hypothesis Children'!AC129</f>
        <v>0</v>
      </c>
      <c r="AE276" s="1418">
        <f>'Data &amp; hypothesis Children'!AD129</f>
        <v>0</v>
      </c>
      <c r="AF276" s="1418">
        <f>'Data &amp; hypothesis Children'!AE129</f>
        <v>0</v>
      </c>
      <c r="AG276" s="1418">
        <f>'Data &amp; hypothesis Children'!AF129</f>
        <v>0</v>
      </c>
      <c r="AH276" s="1419">
        <f>'Data &amp; hypothesis Children'!AG129</f>
        <v>0</v>
      </c>
      <c r="AI276" s="1339">
        <f>F78</f>
        <v>0</v>
      </c>
      <c r="AJ276" s="1340">
        <f>F94</f>
        <v>0</v>
      </c>
    </row>
    <row r="277" spans="1:36" s="1304" customFormat="1" ht="26.25" thickBot="1" x14ac:dyDescent="0.25">
      <c r="A277" s="1303"/>
      <c r="C277" s="1305" t="str">
        <f>'TRAD-Children YEAR(1)'!B118</f>
        <v>Nb de patients-mois / produit - SANS SS</v>
      </c>
      <c r="D277" s="1306">
        <f t="shared" ref="D277:AE277" si="57">SUMIF(D266:D276, "X", $AI266:$AI276)</f>
        <v>0</v>
      </c>
      <c r="E277" s="1306">
        <f t="shared" si="57"/>
        <v>0</v>
      </c>
      <c r="F277" s="1306">
        <f t="shared" si="57"/>
        <v>0</v>
      </c>
      <c r="G277" s="1306">
        <f t="shared" si="57"/>
        <v>0</v>
      </c>
      <c r="H277" s="1306">
        <f t="shared" si="57"/>
        <v>0</v>
      </c>
      <c r="I277" s="1306">
        <f t="shared" si="57"/>
        <v>13.296000000000001</v>
      </c>
      <c r="J277" s="1306">
        <f t="shared" si="57"/>
        <v>0</v>
      </c>
      <c r="K277" s="1307">
        <f t="shared" si="57"/>
        <v>434.01900000000006</v>
      </c>
      <c r="L277" s="1308">
        <f t="shared" si="57"/>
        <v>0</v>
      </c>
      <c r="M277" s="1306">
        <f t="shared" si="57"/>
        <v>1545.66</v>
      </c>
      <c r="N277" s="1306">
        <f t="shared" si="57"/>
        <v>0</v>
      </c>
      <c r="O277" s="1306">
        <f t="shared" si="57"/>
        <v>434.01900000000006</v>
      </c>
      <c r="P277" s="1306">
        <f t="shared" si="57"/>
        <v>0</v>
      </c>
      <c r="Q277" s="1306">
        <f t="shared" si="57"/>
        <v>0</v>
      </c>
      <c r="R277" s="1306">
        <f t="shared" si="57"/>
        <v>0</v>
      </c>
      <c r="S277" s="1306">
        <f t="shared" si="57"/>
        <v>0</v>
      </c>
      <c r="T277" s="1306">
        <f t="shared" si="57"/>
        <v>0</v>
      </c>
      <c r="U277" s="1306">
        <f t="shared" si="57"/>
        <v>13.296000000000001</v>
      </c>
      <c r="V277" s="1306">
        <f t="shared" si="57"/>
        <v>0</v>
      </c>
      <c r="W277" s="1306">
        <f t="shared" si="57"/>
        <v>0</v>
      </c>
      <c r="X277" s="1306">
        <f t="shared" si="57"/>
        <v>0</v>
      </c>
      <c r="Y277" s="1306">
        <f t="shared" si="57"/>
        <v>0</v>
      </c>
      <c r="Z277" s="1306">
        <f t="shared" si="57"/>
        <v>0</v>
      </c>
      <c r="AA277" s="1306">
        <f t="shared" si="57"/>
        <v>0</v>
      </c>
      <c r="AB277" s="1306">
        <f t="shared" si="57"/>
        <v>0</v>
      </c>
      <c r="AC277" s="1306">
        <f t="shared" si="57"/>
        <v>0</v>
      </c>
      <c r="AD277" s="1306">
        <f t="shared" si="57"/>
        <v>0</v>
      </c>
      <c r="AE277" s="1306">
        <f t="shared" si="57"/>
        <v>0</v>
      </c>
      <c r="AF277" s="1306">
        <f t="shared" ref="AF277" si="58">SUMIF(AF266:AF276, "X", $AI266:$AI276)</f>
        <v>0</v>
      </c>
      <c r="AG277" s="1306">
        <f t="shared" ref="AG277" si="59">SUMIF(AG266:AG276, "X", $AI266:$AI276)</f>
        <v>0</v>
      </c>
      <c r="AH277" s="1306">
        <f t="shared" ref="AH277" si="60">SUMIF(AH266:AH276, "X", $AI266:$AI276)</f>
        <v>0</v>
      </c>
    </row>
    <row r="278" spans="1:36" s="1304" customFormat="1" ht="26.25" thickBot="1" x14ac:dyDescent="0.25">
      <c r="A278" s="1303"/>
      <c r="C278" s="1305" t="str">
        <f>'TRAD-Children YEAR(1)'!B119</f>
        <v>Nb de patients-mois / produit - AVEC SS</v>
      </c>
      <c r="D278" s="1309">
        <f t="shared" ref="D278:AG278" si="61">SUMIF(D266:D276, "X", $AJ266:$AJ276)</f>
        <v>0</v>
      </c>
      <c r="E278" s="1309">
        <f t="shared" si="61"/>
        <v>0</v>
      </c>
      <c r="F278" s="1309">
        <f t="shared" si="61"/>
        <v>0</v>
      </c>
      <c r="G278" s="1309">
        <f t="shared" si="61"/>
        <v>0</v>
      </c>
      <c r="H278" s="1309">
        <f t="shared" si="61"/>
        <v>0</v>
      </c>
      <c r="I278" s="1309">
        <f t="shared" si="61"/>
        <v>16.62</v>
      </c>
      <c r="J278" s="1309">
        <f t="shared" si="61"/>
        <v>0</v>
      </c>
      <c r="K278" s="1310">
        <f t="shared" si="61"/>
        <v>652.38000000000011</v>
      </c>
      <c r="L278" s="1311">
        <f t="shared" si="61"/>
        <v>0</v>
      </c>
      <c r="M278" s="1309">
        <f t="shared" si="61"/>
        <v>1932.075</v>
      </c>
      <c r="N278" s="1309">
        <f t="shared" si="61"/>
        <v>0</v>
      </c>
      <c r="O278" s="1309">
        <f t="shared" si="61"/>
        <v>652.38000000000011</v>
      </c>
      <c r="P278" s="1309">
        <f t="shared" si="61"/>
        <v>0</v>
      </c>
      <c r="Q278" s="1309">
        <f t="shared" si="61"/>
        <v>0</v>
      </c>
      <c r="R278" s="1309">
        <f t="shared" si="61"/>
        <v>0</v>
      </c>
      <c r="S278" s="1309">
        <f t="shared" si="61"/>
        <v>0</v>
      </c>
      <c r="T278" s="1309">
        <f t="shared" si="61"/>
        <v>0</v>
      </c>
      <c r="U278" s="1309">
        <f t="shared" si="61"/>
        <v>16.62</v>
      </c>
      <c r="V278" s="1309">
        <f t="shared" si="61"/>
        <v>0</v>
      </c>
      <c r="W278" s="1309">
        <f t="shared" si="61"/>
        <v>0</v>
      </c>
      <c r="X278" s="1309">
        <f t="shared" si="61"/>
        <v>0</v>
      </c>
      <c r="Y278" s="1309">
        <f t="shared" si="61"/>
        <v>0</v>
      </c>
      <c r="Z278" s="1309">
        <f t="shared" si="61"/>
        <v>0</v>
      </c>
      <c r="AA278" s="1309">
        <f t="shared" si="61"/>
        <v>0</v>
      </c>
      <c r="AB278" s="1309">
        <f t="shared" si="61"/>
        <v>0</v>
      </c>
      <c r="AC278" s="1309">
        <f t="shared" si="61"/>
        <v>0</v>
      </c>
      <c r="AD278" s="1309">
        <f t="shared" si="61"/>
        <v>0</v>
      </c>
      <c r="AE278" s="1309">
        <f t="shared" si="61"/>
        <v>0</v>
      </c>
      <c r="AF278" s="1309">
        <f t="shared" si="61"/>
        <v>0</v>
      </c>
      <c r="AG278" s="1309">
        <f t="shared" si="61"/>
        <v>0</v>
      </c>
      <c r="AH278" s="1309">
        <f t="shared" ref="AH278" si="62">SUMIF(AH266:AH276, "X", $AJ266:$AJ276)</f>
        <v>0</v>
      </c>
    </row>
    <row r="279" spans="1:36" s="1304" customFormat="1" ht="26.25" thickBot="1" x14ac:dyDescent="0.25">
      <c r="A279" s="1303"/>
      <c r="C279" s="1305" t="str">
        <f>'TRAD-Children YEAR(1)'!B120</f>
        <v>Nb de cdt - Estimation période SANS SS</v>
      </c>
      <c r="D279" s="1312">
        <f>D277*D264</f>
        <v>0</v>
      </c>
      <c r="E279" s="1312">
        <f>E277*E264</f>
        <v>0</v>
      </c>
      <c r="F279" s="1312">
        <f t="shared" ref="F279:U279" si="63">F277*F264</f>
        <v>0</v>
      </c>
      <c r="G279" s="1312">
        <f t="shared" si="63"/>
        <v>0</v>
      </c>
      <c r="H279" s="1312">
        <f t="shared" si="63"/>
        <v>0</v>
      </c>
      <c r="I279" s="1312">
        <f t="shared" si="63"/>
        <v>23.268000000000001</v>
      </c>
      <c r="J279" s="1312">
        <f t="shared" si="63"/>
        <v>0</v>
      </c>
      <c r="K279" s="1313">
        <f t="shared" si="63"/>
        <v>651.02850000000012</v>
      </c>
      <c r="L279" s="1314">
        <f t="shared" si="63"/>
        <v>0</v>
      </c>
      <c r="M279" s="1312">
        <f t="shared" si="63"/>
        <v>2318.4900000000002</v>
      </c>
      <c r="N279" s="1312">
        <f t="shared" si="63"/>
        <v>0</v>
      </c>
      <c r="O279" s="1312">
        <f t="shared" si="63"/>
        <v>651.02850000000012</v>
      </c>
      <c r="P279" s="1312">
        <f t="shared" si="63"/>
        <v>0</v>
      </c>
      <c r="Q279" s="1312">
        <f t="shared" si="63"/>
        <v>0</v>
      </c>
      <c r="R279" s="1312">
        <f t="shared" ref="R279" si="64">R277*R264</f>
        <v>0</v>
      </c>
      <c r="S279" s="1312">
        <f t="shared" si="63"/>
        <v>0</v>
      </c>
      <c r="T279" s="1312">
        <f t="shared" si="63"/>
        <v>0</v>
      </c>
      <c r="U279" s="1312">
        <f t="shared" si="63"/>
        <v>0</v>
      </c>
      <c r="V279" s="1312">
        <f t="shared" ref="V279:AG279" si="65">V277*V264</f>
        <v>0</v>
      </c>
      <c r="W279" s="1312">
        <f t="shared" ref="W279:Y279" si="66">W277*W264</f>
        <v>0</v>
      </c>
      <c r="X279" s="1312">
        <f t="shared" ref="X279" si="67">X277*X264</f>
        <v>0</v>
      </c>
      <c r="Y279" s="1312">
        <f t="shared" si="66"/>
        <v>0</v>
      </c>
      <c r="Z279" s="1312">
        <f t="shared" si="65"/>
        <v>0</v>
      </c>
      <c r="AA279" s="1312">
        <f t="shared" si="65"/>
        <v>0</v>
      </c>
      <c r="AB279" s="1312">
        <f t="shared" si="65"/>
        <v>0</v>
      </c>
      <c r="AC279" s="1312">
        <f t="shared" si="65"/>
        <v>0</v>
      </c>
      <c r="AD279" s="1312">
        <f t="shared" si="65"/>
        <v>0</v>
      </c>
      <c r="AE279" s="1312">
        <f t="shared" ref="AE279" si="68">AE277*AE264</f>
        <v>0</v>
      </c>
      <c r="AF279" s="1312">
        <f t="shared" si="65"/>
        <v>0</v>
      </c>
      <c r="AG279" s="1312">
        <f t="shared" si="65"/>
        <v>0</v>
      </c>
      <c r="AH279" s="1312">
        <f t="shared" ref="AH279" si="69">AH277*AH264</f>
        <v>0</v>
      </c>
    </row>
    <row r="280" spans="1:36" s="1304" customFormat="1" ht="26.25" thickBot="1" x14ac:dyDescent="0.25">
      <c r="A280" s="1303"/>
      <c r="C280" s="1305" t="str">
        <f>'TRAD-Children YEAR(1)'!B121</f>
        <v>Nb de cdt - Estimation période AVEC SS</v>
      </c>
      <c r="D280" s="1315">
        <f>D278*D264</f>
        <v>0</v>
      </c>
      <c r="E280" s="1315">
        <f t="shared" ref="E280:U280" si="70">E278*E264</f>
        <v>0</v>
      </c>
      <c r="F280" s="1315">
        <f t="shared" si="70"/>
        <v>0</v>
      </c>
      <c r="G280" s="1315">
        <f t="shared" si="70"/>
        <v>0</v>
      </c>
      <c r="H280" s="1315">
        <f t="shared" si="70"/>
        <v>0</v>
      </c>
      <c r="I280" s="1315">
        <f t="shared" si="70"/>
        <v>29.085000000000001</v>
      </c>
      <c r="J280" s="1315">
        <f t="shared" si="70"/>
        <v>0</v>
      </c>
      <c r="K280" s="1316">
        <f t="shared" si="70"/>
        <v>978.57000000000016</v>
      </c>
      <c r="L280" s="1317">
        <f t="shared" si="70"/>
        <v>0</v>
      </c>
      <c r="M280" s="1315">
        <f t="shared" si="70"/>
        <v>2898.1125000000002</v>
      </c>
      <c r="N280" s="1315">
        <f t="shared" si="70"/>
        <v>0</v>
      </c>
      <c r="O280" s="1315">
        <f t="shared" si="70"/>
        <v>978.57000000000016</v>
      </c>
      <c r="P280" s="1315">
        <f t="shared" si="70"/>
        <v>0</v>
      </c>
      <c r="Q280" s="1315">
        <f t="shared" si="70"/>
        <v>0</v>
      </c>
      <c r="R280" s="1315">
        <f t="shared" ref="R280" si="71">R278*R264</f>
        <v>0</v>
      </c>
      <c r="S280" s="1315">
        <f t="shared" si="70"/>
        <v>0</v>
      </c>
      <c r="T280" s="1315">
        <f t="shared" si="70"/>
        <v>0</v>
      </c>
      <c r="U280" s="1315">
        <f t="shared" si="70"/>
        <v>0</v>
      </c>
      <c r="V280" s="1315">
        <f t="shared" ref="V280:AG280" si="72">V278*V264</f>
        <v>0</v>
      </c>
      <c r="W280" s="1315">
        <f t="shared" ref="W280:Y280" si="73">W278*W264</f>
        <v>0</v>
      </c>
      <c r="X280" s="1315">
        <f t="shared" ref="X280" si="74">X278*X264</f>
        <v>0</v>
      </c>
      <c r="Y280" s="1315">
        <f t="shared" si="73"/>
        <v>0</v>
      </c>
      <c r="Z280" s="1315">
        <f t="shared" si="72"/>
        <v>0</v>
      </c>
      <c r="AA280" s="1315">
        <f t="shared" si="72"/>
        <v>0</v>
      </c>
      <c r="AB280" s="1315">
        <f t="shared" si="72"/>
        <v>0</v>
      </c>
      <c r="AC280" s="1315">
        <f t="shared" si="72"/>
        <v>0</v>
      </c>
      <c r="AD280" s="1315">
        <f t="shared" si="72"/>
        <v>0</v>
      </c>
      <c r="AE280" s="1315">
        <f t="shared" ref="AE280" si="75">AE278*AE264</f>
        <v>0</v>
      </c>
      <c r="AF280" s="1315">
        <f t="shared" si="72"/>
        <v>0</v>
      </c>
      <c r="AG280" s="1315">
        <f t="shared" si="72"/>
        <v>0</v>
      </c>
      <c r="AH280" s="1315">
        <f t="shared" ref="AH280" si="76">AH278*AH264</f>
        <v>0</v>
      </c>
    </row>
    <row r="281" spans="1:36" s="1279" customFormat="1" x14ac:dyDescent="0.2">
      <c r="A281" s="1282"/>
    </row>
    <row r="282" spans="1:36" s="1279" customFormat="1" ht="13.5" thickBot="1" x14ac:dyDescent="0.25">
      <c r="A282" s="1282"/>
    </row>
    <row r="283" spans="1:36" s="1279" customFormat="1" ht="13.5" thickBot="1" x14ac:dyDescent="0.25">
      <c r="A283" s="1282"/>
      <c r="B283" s="1283" t="str">
        <f>'TRAD-Children YEAR(1)'!B124</f>
        <v>Tranche 10 - 14,9 kg</v>
      </c>
      <c r="C283" s="1284"/>
      <c r="D283" s="1285"/>
      <c r="E283" s="1285"/>
      <c r="F283" s="1285"/>
      <c r="G283" s="1285"/>
      <c r="H283" s="1285"/>
      <c r="I283" s="1286"/>
    </row>
    <row r="284" spans="1:36" s="1279" customFormat="1" ht="13.5" thickBot="1" x14ac:dyDescent="0.25">
      <c r="A284" s="1282"/>
      <c r="B284" s="1323"/>
      <c r="C284" s="1324"/>
      <c r="D284" s="1325"/>
      <c r="E284" s="1325"/>
      <c r="F284" s="1325"/>
      <c r="G284" s="1325"/>
      <c r="H284" s="1325"/>
      <c r="I284" s="1325"/>
    </row>
    <row r="285" spans="1:36" s="1279" customFormat="1" ht="26.25" thickBot="1" x14ac:dyDescent="0.25">
      <c r="A285" s="1282"/>
      <c r="D285" s="1287" t="str">
        <f>'TRAD-Children YEAR(1)'!B90</f>
        <v>Solutions buvables</v>
      </c>
      <c r="E285" s="1288"/>
      <c r="F285" s="1288"/>
      <c r="G285" s="1288"/>
      <c r="H285" s="1288"/>
      <c r="I285" s="1288"/>
      <c r="J285" s="1284"/>
      <c r="K285" s="1284"/>
      <c r="L285" s="1289" t="str">
        <f>'TRAD-Children YEAR(1)'!B91</f>
        <v>Comprimés</v>
      </c>
      <c r="M285" s="1284"/>
      <c r="N285" s="1284"/>
      <c r="O285" s="1284"/>
      <c r="P285" s="1284"/>
      <c r="Q285" s="1284"/>
      <c r="R285" s="1284"/>
      <c r="S285" s="1284"/>
      <c r="T285" s="1284"/>
      <c r="U285" s="1284"/>
      <c r="V285" s="1284"/>
      <c r="W285" s="1945"/>
      <c r="X285" s="1945"/>
      <c r="Y285" s="1945"/>
      <c r="Z285" s="1284"/>
      <c r="AA285" s="1284"/>
      <c r="AB285" s="1284"/>
      <c r="AC285" s="1284"/>
      <c r="AD285" s="1284"/>
      <c r="AE285" s="1284"/>
      <c r="AF285" s="1284"/>
      <c r="AG285" s="1284"/>
      <c r="AH285" s="1284"/>
    </row>
    <row r="286" spans="1:36" s="1292" customFormat="1" ht="25.5" x14ac:dyDescent="0.2">
      <c r="A286" s="1291"/>
      <c r="C286" s="1332" t="str">
        <f>'TRAD-Children YEAR(1)'!B113</f>
        <v>Nb de boites / mois pour l'ensemble des patients</v>
      </c>
      <c r="D286" s="1329" t="str">
        <f t="array" ref="D286:AH287">'Data &amp; hypothesis Children'!$C$116:$AG$117</f>
        <v>AZT</v>
      </c>
      <c r="E286" s="1329" t="str">
        <v>D4T</v>
      </c>
      <c r="F286" s="1329" t="str">
        <v>3TC</v>
      </c>
      <c r="G286" s="1329" t="str">
        <v>ABC</v>
      </c>
      <c r="H286" s="1329" t="str">
        <v>DDI</v>
      </c>
      <c r="I286" s="1329" t="str">
        <v>NVP</v>
      </c>
      <c r="J286" s="1329" t="str">
        <v>EFV</v>
      </c>
      <c r="K286" s="1333" t="str">
        <v>LPV/r</v>
      </c>
      <c r="L286" s="1334" t="str">
        <v>AZT+ 3TC+ NVP adulte</v>
      </c>
      <c r="M286" s="1330" t="str">
        <v>AZT+ 3TC+ NVP bébé</v>
      </c>
      <c r="N286" s="1330" t="str">
        <v>AZT+ 3TC adulte</v>
      </c>
      <c r="O286" s="1330" t="str">
        <v>AZT+ 3TC bébé</v>
      </c>
      <c r="P286" s="1330" t="str">
        <v>D4T+ 3TC+ NVP adulte</v>
      </c>
      <c r="Q286" s="1330" t="str">
        <v>D4T+ 3TC+ NVP bébé</v>
      </c>
      <c r="R286" s="1330" t="str">
        <v>D4T+ 3TC bébé</v>
      </c>
      <c r="S286" s="1330" t="str">
        <v>AZT+ 3TC+ ABC adulte</v>
      </c>
      <c r="T286" s="1330" t="str">
        <v>AZT+ 3TC+ ABC bébé</v>
      </c>
      <c r="U286" s="1330" t="str">
        <v>ABC+ 3TC adulte</v>
      </c>
      <c r="V286" s="1330" t="str">
        <v>ABC+ 3TC bébé</v>
      </c>
      <c r="W286" s="1946" t="str">
        <v>TDF+ FTC/3TC+ EFV adulte</v>
      </c>
      <c r="X286" s="1946" t="str">
        <v>TDF+ FTC/3TC adulte</v>
      </c>
      <c r="Y286" s="1946" t="str">
        <v>TDF adulte</v>
      </c>
      <c r="Z286" s="1422" t="str">
        <v>3TC adulte</v>
      </c>
      <c r="AA286" s="1330" t="str">
        <v>ABC adulte</v>
      </c>
      <c r="AB286" s="1330" t="str">
        <v>ABC bébé</v>
      </c>
      <c r="AC286" s="1330" t="str">
        <v>DDI adulte</v>
      </c>
      <c r="AD286" s="1422" t="str">
        <v>NVP adulte</v>
      </c>
      <c r="AE286" s="1586" t="str">
        <v>NVP bébé</v>
      </c>
      <c r="AF286" s="1422" t="str">
        <v>EFV enfant</v>
      </c>
      <c r="AG286" s="1330" t="str">
        <v>LPV/r adulte</v>
      </c>
      <c r="AH286" s="1335" t="str">
        <v>LPV/r enfant</v>
      </c>
    </row>
    <row r="287" spans="1:36" s="1292" customFormat="1" ht="25.5" x14ac:dyDescent="0.2">
      <c r="A287" s="1291"/>
      <c r="C287" s="1332" t="str">
        <f>'TRAD-Children YEAR(1)'!B114</f>
        <v>Dosage</v>
      </c>
      <c r="D287" s="1329" t="str">
        <v>10 mg/mL</v>
      </c>
      <c r="E287" s="1329" t="str">
        <v>10 mg/mL</v>
      </c>
      <c r="F287" s="1329" t="str">
        <v>10 mg/mL</v>
      </c>
      <c r="G287" s="1329" t="str">
        <v>20 mg/mL</v>
      </c>
      <c r="H287" s="1329" t="str">
        <v>2 g</v>
      </c>
      <c r="I287" s="1329" t="str">
        <v>10 mg/mL</v>
      </c>
      <c r="J287" s="1329" t="str">
        <v>30 mg/mL</v>
      </c>
      <c r="K287" s="1333" t="str">
        <v>80/20 mg/mL</v>
      </c>
      <c r="L287" s="1336" t="str">
        <v>300/150/200 mg</v>
      </c>
      <c r="M287" s="1331" t="str">
        <v>60/30/50 mg</v>
      </c>
      <c r="N287" s="1331" t="str">
        <v>300/150 mg</v>
      </c>
      <c r="O287" s="1331" t="str">
        <v>60/30 mg</v>
      </c>
      <c r="P287" s="1331" t="str">
        <v>30/150/200 mg</v>
      </c>
      <c r="Q287" s="1331" t="str">
        <v>6/30/50 mg</v>
      </c>
      <c r="R287" s="1331" t="str">
        <v>6/30 mg</v>
      </c>
      <c r="S287" s="1331" t="str">
        <v>300/150/300 mg</v>
      </c>
      <c r="T287" s="1331" t="str">
        <v>60/30/60 mg</v>
      </c>
      <c r="U287" s="1331" t="str">
        <v>600/300 mg</v>
      </c>
      <c r="V287" s="1331" t="str">
        <v>60/30 mg</v>
      </c>
      <c r="W287" s="1331" t="str">
        <v>300/200/600 mg</v>
      </c>
      <c r="X287" s="1331" t="str">
        <v>300/200 mg</v>
      </c>
      <c r="Y287" s="1331" t="str">
        <v>300 mg</v>
      </c>
      <c r="Z287" s="1424" t="str">
        <v>150 mg</v>
      </c>
      <c r="AA287" s="1331" t="str">
        <v>300 mg</v>
      </c>
      <c r="AB287" s="1331" t="str">
        <v>60 mg</v>
      </c>
      <c r="AC287" s="1331" t="str">
        <v>250 mg</v>
      </c>
      <c r="AD287" s="1424" t="str">
        <v>200 mg</v>
      </c>
      <c r="AE287" s="1424" t="str">
        <v>50 mg</v>
      </c>
      <c r="AF287" s="1424" t="str">
        <v>200 mg</v>
      </c>
      <c r="AG287" s="1331" t="str">
        <v>200/50 mg</v>
      </c>
      <c r="AH287" s="1337" t="str">
        <v>100/25 mg</v>
      </c>
    </row>
    <row r="288" spans="1:36" s="1281" customFormat="1" ht="26.25" thickBot="1" x14ac:dyDescent="0.25">
      <c r="A288" s="1280"/>
      <c r="C288" s="1332" t="str">
        <f>'TRAD-Children YEAR(1)'!B115</f>
        <v>Nb de cdt/mois pour la tranche</v>
      </c>
      <c r="D288" s="1404">
        <f t="array" ref="D288:AH288">TRANSPOSE($E$224:$E$254)</f>
        <v>3</v>
      </c>
      <c r="E288" s="1404">
        <v>3</v>
      </c>
      <c r="F288" s="1404">
        <v>1.5</v>
      </c>
      <c r="G288" s="1404">
        <v>1.5</v>
      </c>
      <c r="H288" s="1404">
        <v>2.1</v>
      </c>
      <c r="I288" s="1404">
        <v>2.5</v>
      </c>
      <c r="J288" s="1404">
        <v>1.1666666666666667</v>
      </c>
      <c r="K288" s="1405">
        <v>2</v>
      </c>
      <c r="L288" s="1406">
        <v>0</v>
      </c>
      <c r="M288" s="1407">
        <v>2</v>
      </c>
      <c r="N288" s="1407">
        <v>0</v>
      </c>
      <c r="O288" s="1407">
        <v>2</v>
      </c>
      <c r="P288" s="1407">
        <v>0</v>
      </c>
      <c r="Q288" s="1407">
        <v>2</v>
      </c>
      <c r="R288" s="1407">
        <v>2</v>
      </c>
      <c r="S288" s="1407">
        <v>0</v>
      </c>
      <c r="T288" s="1407">
        <v>2</v>
      </c>
      <c r="U288" s="1407">
        <v>0</v>
      </c>
      <c r="V288" s="1407">
        <v>2</v>
      </c>
      <c r="W288" s="1407">
        <v>0</v>
      </c>
      <c r="X288" s="1407">
        <v>0</v>
      </c>
      <c r="Y288" s="1407">
        <v>0</v>
      </c>
      <c r="Z288" s="1407">
        <v>0</v>
      </c>
      <c r="AA288" s="1407">
        <v>0</v>
      </c>
      <c r="AB288" s="1407">
        <v>2</v>
      </c>
      <c r="AC288" s="1407">
        <v>0</v>
      </c>
      <c r="AD288" s="1407">
        <v>0</v>
      </c>
      <c r="AE288" s="1407">
        <v>2</v>
      </c>
      <c r="AF288" s="1407">
        <v>1</v>
      </c>
      <c r="AG288" s="1407">
        <v>0</v>
      </c>
      <c r="AH288" s="1407">
        <v>1.5</v>
      </c>
      <c r="AI288" s="1338" t="s">
        <v>207</v>
      </c>
    </row>
    <row r="289" spans="1:36" s="1279" customFormat="1" ht="63.75" x14ac:dyDescent="0.2">
      <c r="A289" s="1282"/>
      <c r="B289" s="1293" t="str">
        <f>'TRAD-Children YEAR(1)'!B6</f>
        <v>Schéma thérapeutique</v>
      </c>
      <c r="C289" s="1332" t="str">
        <f>'TRAD-Children YEAR(1)'!B116</f>
        <v>Premières lignes</v>
      </c>
      <c r="D289" s="1297"/>
      <c r="E289" s="1297"/>
      <c r="F289" s="1297"/>
      <c r="G289" s="1297"/>
      <c r="H289" s="1297"/>
      <c r="I289" s="1297"/>
      <c r="J289" s="1297"/>
      <c r="K289" s="1298"/>
      <c r="L289" s="1299"/>
      <c r="M289" s="1297"/>
      <c r="N289" s="1297"/>
      <c r="O289" s="1297"/>
      <c r="P289" s="1297"/>
      <c r="Q289" s="1297"/>
      <c r="R289" s="1297"/>
      <c r="S289" s="1297"/>
      <c r="T289" s="1297"/>
      <c r="U289" s="1297"/>
      <c r="V289" s="1297"/>
      <c r="W289" s="1297"/>
      <c r="X289" s="1297"/>
      <c r="Y289" s="1297"/>
      <c r="Z289" s="1297"/>
      <c r="AA289" s="1297"/>
      <c r="AB289" s="1297"/>
      <c r="AC289" s="1297"/>
      <c r="AD289" s="1297"/>
      <c r="AE289" s="1297"/>
      <c r="AF289" s="1297"/>
      <c r="AG289" s="1297"/>
      <c r="AH289" s="1297"/>
      <c r="AI289" s="1318" t="str">
        <f>'TRAD-Children YEAR(1)'!B122</f>
        <v>nb de patients mois période quantifiée</v>
      </c>
      <c r="AJ289" s="1318" t="str">
        <f>'TRAD-Children YEAR(1)'!B123</f>
        <v>nb de patients mois avec période de sécurité</v>
      </c>
    </row>
    <row r="290" spans="1:36" s="1279" customFormat="1" ht="15" x14ac:dyDescent="0.25">
      <c r="A290" s="1282"/>
      <c r="C290" s="1319" t="str">
        <f t="array" ref="C290:C295">'Data &amp; hypothesis Children'!$C$26:$C$31</f>
        <v>D4T+3TC+NVP</v>
      </c>
      <c r="D290" s="1175">
        <f>'Data &amp; hypothesis Children'!C137</f>
        <v>0</v>
      </c>
      <c r="E290" s="1175">
        <f>'Data &amp; hypothesis Children'!D137</f>
        <v>0</v>
      </c>
      <c r="F290" s="1175">
        <f>'Data &amp; hypothesis Children'!E137</f>
        <v>0</v>
      </c>
      <c r="G290" s="1175">
        <f>'Data &amp; hypothesis Children'!F137</f>
        <v>0</v>
      </c>
      <c r="H290" s="1175">
        <f>'Data &amp; hypothesis Children'!G137</f>
        <v>0</v>
      </c>
      <c r="I290" s="1175">
        <f>'Data &amp; hypothesis Children'!H137</f>
        <v>0</v>
      </c>
      <c r="J290" s="1175">
        <f>'Data &amp; hypothesis Children'!I137</f>
        <v>0</v>
      </c>
      <c r="K290" s="1413">
        <f>'Data &amp; hypothesis Children'!J137</f>
        <v>0</v>
      </c>
      <c r="L290" s="1414">
        <f>'Data &amp; hypothesis Children'!K137</f>
        <v>0</v>
      </c>
      <c r="M290" s="1175">
        <f>'Data &amp; hypothesis Children'!L137</f>
        <v>0</v>
      </c>
      <c r="N290" s="1175">
        <f>'Data &amp; hypothesis Children'!M137</f>
        <v>0</v>
      </c>
      <c r="O290" s="1175">
        <f>'Data &amp; hypothesis Children'!N137</f>
        <v>0</v>
      </c>
      <c r="P290" s="1175">
        <f>'Data &amp; hypothesis Children'!O137</f>
        <v>0</v>
      </c>
      <c r="Q290" s="1175">
        <f>'Data &amp; hypothesis Children'!P137</f>
        <v>0</v>
      </c>
      <c r="R290" s="1175">
        <f>'Data &amp; hypothesis Children'!Q137</f>
        <v>0</v>
      </c>
      <c r="S290" s="1175">
        <f>'Data &amp; hypothesis Children'!R137</f>
        <v>0</v>
      </c>
      <c r="T290" s="1175">
        <f>'Data &amp; hypothesis Children'!S137</f>
        <v>0</v>
      </c>
      <c r="U290" s="1175">
        <f>'Data &amp; hypothesis Children'!T137</f>
        <v>0</v>
      </c>
      <c r="V290" s="1175">
        <f>'Data &amp; hypothesis Children'!U137</f>
        <v>0</v>
      </c>
      <c r="W290" s="1175">
        <f>'Data &amp; hypothesis Children'!V137</f>
        <v>0</v>
      </c>
      <c r="X290" s="1175">
        <f>'Data &amp; hypothesis Children'!W137</f>
        <v>0</v>
      </c>
      <c r="Y290" s="1175">
        <f>'Data &amp; hypothesis Children'!X137</f>
        <v>0</v>
      </c>
      <c r="Z290" s="1175">
        <f>'Data &amp; hypothesis Children'!Y137</f>
        <v>0</v>
      </c>
      <c r="AA290" s="1175">
        <f>'Data &amp; hypothesis Children'!Z137</f>
        <v>0</v>
      </c>
      <c r="AB290" s="1175">
        <f>'Data &amp; hypothesis Children'!AA137</f>
        <v>0</v>
      </c>
      <c r="AC290" s="1175">
        <f>'Data &amp; hypothesis Children'!AB137</f>
        <v>0</v>
      </c>
      <c r="AD290" s="1175">
        <f>'Data &amp; hypothesis Children'!AC137</f>
        <v>0</v>
      </c>
      <c r="AE290" s="1175">
        <f>'Data &amp; hypothesis Children'!AD137</f>
        <v>0</v>
      </c>
      <c r="AF290" s="1175">
        <f>'Data &amp; hypothesis Children'!AE137</f>
        <v>0</v>
      </c>
      <c r="AG290" s="1175">
        <f>'Data &amp; hypothesis Children'!AF137</f>
        <v>0</v>
      </c>
      <c r="AH290" s="1415">
        <f>'Data &amp; hypothesis Children'!AG137</f>
        <v>0</v>
      </c>
      <c r="AI290" s="1339">
        <f t="shared" ref="AI290:AI295" si="77">G69</f>
        <v>0</v>
      </c>
      <c r="AJ290" s="1340">
        <f t="shared" ref="AJ290:AJ295" si="78">G85</f>
        <v>0</v>
      </c>
    </row>
    <row r="291" spans="1:36" s="1279" customFormat="1" ht="15" x14ac:dyDescent="0.25">
      <c r="A291" s="1282"/>
      <c r="C291" s="1319" t="str">
        <v>AZT+3TC+NVP</v>
      </c>
      <c r="D291" s="1175">
        <f>'Data &amp; hypothesis Children'!C138</f>
        <v>0</v>
      </c>
      <c r="E291" s="1175">
        <f>'Data &amp; hypothesis Children'!D138</f>
        <v>0</v>
      </c>
      <c r="F291" s="1175">
        <f>'Data &amp; hypothesis Children'!E138</f>
        <v>0</v>
      </c>
      <c r="G291" s="1175">
        <f>'Data &amp; hypothesis Children'!F138</f>
        <v>0</v>
      </c>
      <c r="H291" s="1175">
        <f>'Data &amp; hypothesis Children'!G138</f>
        <v>0</v>
      </c>
      <c r="I291" s="1175">
        <f>'Data &amp; hypothesis Children'!H138</f>
        <v>0</v>
      </c>
      <c r="J291" s="1175">
        <f>'Data &amp; hypothesis Children'!I138</f>
        <v>0</v>
      </c>
      <c r="K291" s="1413">
        <f>'Data &amp; hypothesis Children'!J138</f>
        <v>0</v>
      </c>
      <c r="L291" s="1414">
        <f>'Data &amp; hypothesis Children'!K138</f>
        <v>0</v>
      </c>
      <c r="M291" s="1175" t="str">
        <f>'Data &amp; hypothesis Children'!L138</f>
        <v>X</v>
      </c>
      <c r="N291" s="1175">
        <f>'Data &amp; hypothesis Children'!M138</f>
        <v>0</v>
      </c>
      <c r="O291" s="1175">
        <f>'Data &amp; hypothesis Children'!N138</f>
        <v>0</v>
      </c>
      <c r="P291" s="1175">
        <f>'Data &amp; hypothesis Children'!O138</f>
        <v>0</v>
      </c>
      <c r="Q291" s="1175">
        <f>'Data &amp; hypothesis Children'!P138</f>
        <v>0</v>
      </c>
      <c r="R291" s="1175">
        <f>'Data &amp; hypothesis Children'!Q138</f>
        <v>0</v>
      </c>
      <c r="S291" s="1175">
        <f>'Data &amp; hypothesis Children'!R138</f>
        <v>0</v>
      </c>
      <c r="T291" s="1175">
        <f>'Data &amp; hypothesis Children'!S138</f>
        <v>0</v>
      </c>
      <c r="U291" s="1175">
        <f>'Data &amp; hypothesis Children'!T138</f>
        <v>0</v>
      </c>
      <c r="V291" s="1175">
        <f>'Data &amp; hypothesis Children'!U138</f>
        <v>0</v>
      </c>
      <c r="W291" s="1175">
        <f>'Data &amp; hypothesis Children'!V138</f>
        <v>0</v>
      </c>
      <c r="X291" s="1175">
        <f>'Data &amp; hypothesis Children'!W138</f>
        <v>0</v>
      </c>
      <c r="Y291" s="1175">
        <f>'Data &amp; hypothesis Children'!X138</f>
        <v>0</v>
      </c>
      <c r="Z291" s="1175">
        <f>'Data &amp; hypothesis Children'!Y138</f>
        <v>0</v>
      </c>
      <c r="AA291" s="1175">
        <f>'Data &amp; hypothesis Children'!Z138</f>
        <v>0</v>
      </c>
      <c r="AB291" s="1175">
        <f>'Data &amp; hypothesis Children'!AA138</f>
        <v>0</v>
      </c>
      <c r="AC291" s="1175">
        <f>'Data &amp; hypothesis Children'!AB138</f>
        <v>0</v>
      </c>
      <c r="AD291" s="1175">
        <f>'Data &amp; hypothesis Children'!AC138</f>
        <v>0</v>
      </c>
      <c r="AE291" s="1175">
        <f>'Data &amp; hypothesis Children'!AD138</f>
        <v>0</v>
      </c>
      <c r="AF291" s="1175">
        <f>'Data &amp; hypothesis Children'!AE138</f>
        <v>0</v>
      </c>
      <c r="AG291" s="1175">
        <f>'Data &amp; hypothesis Children'!AF138</f>
        <v>0</v>
      </c>
      <c r="AH291" s="1415">
        <f>'Data &amp; hypothesis Children'!AG138</f>
        <v>0</v>
      </c>
      <c r="AI291" s="1339">
        <f t="shared" si="77"/>
        <v>3091.32</v>
      </c>
      <c r="AJ291" s="1340">
        <f t="shared" si="78"/>
        <v>3864.15</v>
      </c>
    </row>
    <row r="292" spans="1:36" s="1279" customFormat="1" ht="15" x14ac:dyDescent="0.25">
      <c r="A292" s="1282"/>
      <c r="C292" s="1319" t="str">
        <v>AZT+3TC+EFV</v>
      </c>
      <c r="D292" s="1175">
        <f>'Data &amp; hypothesis Children'!C139</f>
        <v>0</v>
      </c>
      <c r="E292" s="1175">
        <f>'Data &amp; hypothesis Children'!D139</f>
        <v>0</v>
      </c>
      <c r="F292" s="1175">
        <f>'Data &amp; hypothesis Children'!E139</f>
        <v>0</v>
      </c>
      <c r="G292" s="1175">
        <f>'Data &amp; hypothesis Children'!F139</f>
        <v>0</v>
      </c>
      <c r="H292" s="1175">
        <f>'Data &amp; hypothesis Children'!G139</f>
        <v>0</v>
      </c>
      <c r="I292" s="1175">
        <f>'Data &amp; hypothesis Children'!H139</f>
        <v>0</v>
      </c>
      <c r="J292" s="1175" t="str">
        <f>'Data &amp; hypothesis Children'!I139</f>
        <v>X</v>
      </c>
      <c r="K292" s="1413">
        <f>'Data &amp; hypothesis Children'!J139</f>
        <v>0</v>
      </c>
      <c r="L292" s="1414">
        <f>'Data &amp; hypothesis Children'!K139</f>
        <v>0</v>
      </c>
      <c r="M292" s="1175">
        <f>'Data &amp; hypothesis Children'!L139</f>
        <v>0</v>
      </c>
      <c r="N292" s="1175">
        <f>'Data &amp; hypothesis Children'!M139</f>
        <v>0</v>
      </c>
      <c r="O292" s="1175" t="str">
        <f>'Data &amp; hypothesis Children'!N139</f>
        <v>X</v>
      </c>
      <c r="P292" s="1175">
        <f>'Data &amp; hypothesis Children'!O139</f>
        <v>0</v>
      </c>
      <c r="Q292" s="1175">
        <f>'Data &amp; hypothesis Children'!P139</f>
        <v>0</v>
      </c>
      <c r="R292" s="1175">
        <f>'Data &amp; hypothesis Children'!Q139</f>
        <v>0</v>
      </c>
      <c r="S292" s="1175">
        <f>'Data &amp; hypothesis Children'!R139</f>
        <v>0</v>
      </c>
      <c r="T292" s="1175">
        <f>'Data &amp; hypothesis Children'!S139</f>
        <v>0</v>
      </c>
      <c r="U292" s="1175">
        <f>'Data &amp; hypothesis Children'!T139</f>
        <v>0</v>
      </c>
      <c r="V292" s="1175">
        <f>'Data &amp; hypothesis Children'!U139</f>
        <v>0</v>
      </c>
      <c r="W292" s="1175">
        <f>'Data &amp; hypothesis Children'!V139</f>
        <v>0</v>
      </c>
      <c r="X292" s="1175">
        <f>'Data &amp; hypothesis Children'!W139</f>
        <v>0</v>
      </c>
      <c r="Y292" s="1175">
        <f>'Data &amp; hypothesis Children'!X139</f>
        <v>0</v>
      </c>
      <c r="Z292" s="1175">
        <f>'Data &amp; hypothesis Children'!Y139</f>
        <v>0</v>
      </c>
      <c r="AA292" s="1175">
        <f>'Data &amp; hypothesis Children'!Z139</f>
        <v>0</v>
      </c>
      <c r="AB292" s="1175">
        <f>'Data &amp; hypothesis Children'!AA139</f>
        <v>0</v>
      </c>
      <c r="AC292" s="1175">
        <f>'Data &amp; hypothesis Children'!AB139</f>
        <v>0</v>
      </c>
      <c r="AD292" s="1175">
        <f>'Data &amp; hypothesis Children'!AC139</f>
        <v>0</v>
      </c>
      <c r="AE292" s="1175">
        <f>'Data &amp; hypothesis Children'!AD139</f>
        <v>0</v>
      </c>
      <c r="AF292" s="1175" t="str">
        <f>'Data &amp; hypothesis Children'!AE139</f>
        <v>X</v>
      </c>
      <c r="AG292" s="1175">
        <f>'Data &amp; hypothesis Children'!AF139</f>
        <v>0</v>
      </c>
      <c r="AH292" s="1415">
        <f>'Data &amp; hypothesis Children'!AG139</f>
        <v>0</v>
      </c>
      <c r="AI292" s="1339">
        <f t="shared" si="77"/>
        <v>109.69199999999998</v>
      </c>
      <c r="AJ292" s="1340">
        <f t="shared" si="78"/>
        <v>137.11500000000001</v>
      </c>
    </row>
    <row r="293" spans="1:36" s="1279" customFormat="1" ht="15" x14ac:dyDescent="0.25">
      <c r="A293" s="1282"/>
      <c r="C293" s="1319" t="str">
        <v>LPV/r+3TC+ABC</v>
      </c>
      <c r="D293" s="1175">
        <f>'Data &amp; hypothesis Children'!C140</f>
        <v>0</v>
      </c>
      <c r="E293" s="1175">
        <f>'Data &amp; hypothesis Children'!D140</f>
        <v>0</v>
      </c>
      <c r="F293" s="1175">
        <f>'Data &amp; hypothesis Children'!E140</f>
        <v>0</v>
      </c>
      <c r="G293" s="1175">
        <f>'Data &amp; hypothesis Children'!F140</f>
        <v>0</v>
      </c>
      <c r="H293" s="1175">
        <f>'Data &amp; hypothesis Children'!G140</f>
        <v>0</v>
      </c>
      <c r="I293" s="1175">
        <f>'Data &amp; hypothesis Children'!H140</f>
        <v>0</v>
      </c>
      <c r="J293" s="1175">
        <f>'Data &amp; hypothesis Children'!I140</f>
        <v>0</v>
      </c>
      <c r="K293" s="1413" t="str">
        <f>'Data &amp; hypothesis Children'!J140</f>
        <v>X</v>
      </c>
      <c r="L293" s="1414">
        <f>'Data &amp; hypothesis Children'!K140</f>
        <v>0</v>
      </c>
      <c r="M293" s="1175">
        <f>'Data &amp; hypothesis Children'!L140</f>
        <v>0</v>
      </c>
      <c r="N293" s="1175">
        <f>'Data &amp; hypothesis Children'!M140</f>
        <v>0</v>
      </c>
      <c r="O293" s="1175">
        <f>'Data &amp; hypothesis Children'!N140</f>
        <v>0</v>
      </c>
      <c r="P293" s="1175">
        <f>'Data &amp; hypothesis Children'!O140</f>
        <v>0</v>
      </c>
      <c r="Q293" s="1175">
        <f>'Data &amp; hypothesis Children'!P140</f>
        <v>0</v>
      </c>
      <c r="R293" s="1175">
        <f>'Data &amp; hypothesis Children'!Q140</f>
        <v>0</v>
      </c>
      <c r="S293" s="1175">
        <f>'Data &amp; hypothesis Children'!R140</f>
        <v>0</v>
      </c>
      <c r="T293" s="1175">
        <f>'Data &amp; hypothesis Children'!S140</f>
        <v>0</v>
      </c>
      <c r="U293" s="1175">
        <f>'Data &amp; hypothesis Children'!T140</f>
        <v>0</v>
      </c>
      <c r="V293" s="1175" t="str">
        <f>'Data &amp; hypothesis Children'!U140</f>
        <v>X</v>
      </c>
      <c r="W293" s="1175">
        <f>'Data &amp; hypothesis Children'!V140</f>
        <v>0</v>
      </c>
      <c r="X293" s="1175">
        <f>'Data &amp; hypothesis Children'!W140</f>
        <v>0</v>
      </c>
      <c r="Y293" s="1175">
        <f>'Data &amp; hypothesis Children'!X140</f>
        <v>0</v>
      </c>
      <c r="Z293" s="1175">
        <f>'Data &amp; hypothesis Children'!Y140</f>
        <v>0</v>
      </c>
      <c r="AA293" s="1175">
        <f>'Data &amp; hypothesis Children'!Z140</f>
        <v>0</v>
      </c>
      <c r="AB293" s="1175">
        <f>'Data &amp; hypothesis Children'!AA140</f>
        <v>0</v>
      </c>
      <c r="AC293" s="1175">
        <f>'Data &amp; hypothesis Children'!AB140</f>
        <v>0</v>
      </c>
      <c r="AD293" s="1175">
        <f>'Data &amp; hypothesis Children'!AC140</f>
        <v>0</v>
      </c>
      <c r="AE293" s="1175">
        <f>'Data &amp; hypothesis Children'!AD140</f>
        <v>0</v>
      </c>
      <c r="AF293" s="1175">
        <f>'Data &amp; hypothesis Children'!AE140</f>
        <v>0</v>
      </c>
      <c r="AG293" s="1175">
        <f>'Data &amp; hypothesis Children'!AF140</f>
        <v>0</v>
      </c>
      <c r="AH293" s="1415">
        <f>'Data &amp; hypothesis Children'!AG140</f>
        <v>0</v>
      </c>
      <c r="AI293" s="1339">
        <f t="shared" si="77"/>
        <v>57.330000000000005</v>
      </c>
      <c r="AJ293" s="1340">
        <f t="shared" si="78"/>
        <v>88.200000000000017</v>
      </c>
    </row>
    <row r="294" spans="1:36" s="1279" customFormat="1" ht="15" x14ac:dyDescent="0.25">
      <c r="A294" s="1282"/>
      <c r="C294" s="1319" t="str">
        <v>ABC+3TC+NVP</v>
      </c>
      <c r="D294" s="1175">
        <f>'Data &amp; hypothesis Children'!C141</f>
        <v>0</v>
      </c>
      <c r="E294" s="1175">
        <f>'Data &amp; hypothesis Children'!D141</f>
        <v>0</v>
      </c>
      <c r="F294" s="1175">
        <f>'Data &amp; hypothesis Children'!E141</f>
        <v>0</v>
      </c>
      <c r="G294" s="1175">
        <f>'Data &amp; hypothesis Children'!F141</f>
        <v>0</v>
      </c>
      <c r="H294" s="1175">
        <f>'Data &amp; hypothesis Children'!G141</f>
        <v>0</v>
      </c>
      <c r="I294" s="1175" t="str">
        <f>'Data &amp; hypothesis Children'!H141</f>
        <v>X</v>
      </c>
      <c r="J294" s="1175">
        <f>'Data &amp; hypothesis Children'!I141</f>
        <v>0</v>
      </c>
      <c r="K294" s="1413">
        <f>'Data &amp; hypothesis Children'!J141</f>
        <v>0</v>
      </c>
      <c r="L294" s="1414">
        <f>'Data &amp; hypothesis Children'!K141</f>
        <v>0</v>
      </c>
      <c r="M294" s="1175">
        <f>'Data &amp; hypothesis Children'!L141</f>
        <v>0</v>
      </c>
      <c r="N294" s="1175">
        <f>'Data &amp; hypothesis Children'!M141</f>
        <v>0</v>
      </c>
      <c r="O294" s="1175">
        <f>'Data &amp; hypothesis Children'!N141</f>
        <v>0</v>
      </c>
      <c r="P294" s="1175">
        <f>'Data &amp; hypothesis Children'!O141</f>
        <v>0</v>
      </c>
      <c r="Q294" s="1175">
        <f>'Data &amp; hypothesis Children'!P141</f>
        <v>0</v>
      </c>
      <c r="R294" s="1175">
        <f>'Data &amp; hypothesis Children'!Q141</f>
        <v>0</v>
      </c>
      <c r="S294" s="1175">
        <f>'Data &amp; hypothesis Children'!R141</f>
        <v>0</v>
      </c>
      <c r="T294" s="1175">
        <f>'Data &amp; hypothesis Children'!S141</f>
        <v>0</v>
      </c>
      <c r="U294" s="1175" t="str">
        <f>'Data &amp; hypothesis Children'!T141</f>
        <v>X</v>
      </c>
      <c r="V294" s="1175">
        <f>'Data &amp; hypothesis Children'!U141</f>
        <v>0</v>
      </c>
      <c r="W294" s="1175">
        <f>'Data &amp; hypothesis Children'!V141</f>
        <v>0</v>
      </c>
      <c r="X294" s="1175">
        <f>'Data &amp; hypothesis Children'!W141</f>
        <v>0</v>
      </c>
      <c r="Y294" s="1175">
        <f>'Data &amp; hypothesis Children'!X141</f>
        <v>0</v>
      </c>
      <c r="Z294" s="1175">
        <f>'Data &amp; hypothesis Children'!Y141</f>
        <v>0</v>
      </c>
      <c r="AA294" s="1175">
        <f>'Data &amp; hypothesis Children'!Z141</f>
        <v>0</v>
      </c>
      <c r="AB294" s="1175">
        <f>'Data &amp; hypothesis Children'!AA141</f>
        <v>0</v>
      </c>
      <c r="AC294" s="1175">
        <f>'Data &amp; hypothesis Children'!AB141</f>
        <v>0</v>
      </c>
      <c r="AD294" s="1175">
        <f>'Data &amp; hypothesis Children'!AC141</f>
        <v>0</v>
      </c>
      <c r="AE294" s="1175" t="str">
        <f>'Data &amp; hypothesis Children'!AD141</f>
        <v>X</v>
      </c>
      <c r="AF294" s="1175">
        <f>'Data &amp; hypothesis Children'!AE141</f>
        <v>0</v>
      </c>
      <c r="AG294" s="1175">
        <f>'Data &amp; hypothesis Children'!AF141</f>
        <v>0</v>
      </c>
      <c r="AH294" s="1415">
        <f>'Data &amp; hypothesis Children'!AG141</f>
        <v>0</v>
      </c>
      <c r="AI294" s="1339">
        <f t="shared" si="77"/>
        <v>26.592000000000002</v>
      </c>
      <c r="AJ294" s="1340">
        <f t="shared" si="78"/>
        <v>33.24</v>
      </c>
    </row>
    <row r="295" spans="1:36" s="1279" customFormat="1" ht="15" x14ac:dyDescent="0.25">
      <c r="A295" s="1282"/>
      <c r="C295" s="1319" t="str">
        <v>AZT+3TC+LPV/r</v>
      </c>
      <c r="D295" s="1175">
        <f>'Data &amp; hypothesis Children'!C142</f>
        <v>0</v>
      </c>
      <c r="E295" s="1175">
        <f>'Data &amp; hypothesis Children'!D142</f>
        <v>0</v>
      </c>
      <c r="F295" s="1175">
        <f>'Data &amp; hypothesis Children'!E142</f>
        <v>0</v>
      </c>
      <c r="G295" s="1175">
        <f>'Data &amp; hypothesis Children'!F142</f>
        <v>0</v>
      </c>
      <c r="H295" s="1175">
        <f>'Data &amp; hypothesis Children'!G142</f>
        <v>0</v>
      </c>
      <c r="I295" s="1175">
        <f>'Data &amp; hypothesis Children'!H142</f>
        <v>0</v>
      </c>
      <c r="J295" s="1175">
        <f>'Data &amp; hypothesis Children'!I142</f>
        <v>0</v>
      </c>
      <c r="K295" s="1413" t="str">
        <f>'Data &amp; hypothesis Children'!J142</f>
        <v>X</v>
      </c>
      <c r="L295" s="1414">
        <f>'Data &amp; hypothesis Children'!K142</f>
        <v>0</v>
      </c>
      <c r="M295" s="1175">
        <f>'Data &amp; hypothesis Children'!L142</f>
        <v>0</v>
      </c>
      <c r="N295" s="1175">
        <f>'Data &amp; hypothesis Children'!M142</f>
        <v>0</v>
      </c>
      <c r="O295" s="1175" t="str">
        <f>'Data &amp; hypothesis Children'!N142</f>
        <v>X</v>
      </c>
      <c r="P295" s="1175">
        <f>'Data &amp; hypothesis Children'!O142</f>
        <v>0</v>
      </c>
      <c r="Q295" s="1175">
        <f>'Data &amp; hypothesis Children'!P142</f>
        <v>0</v>
      </c>
      <c r="R295" s="1175">
        <f>'Data &amp; hypothesis Children'!Q142</f>
        <v>0</v>
      </c>
      <c r="S295" s="1175">
        <f>'Data &amp; hypothesis Children'!R142</f>
        <v>0</v>
      </c>
      <c r="T295" s="1175">
        <f>'Data &amp; hypothesis Children'!S142</f>
        <v>0</v>
      </c>
      <c r="U295" s="1175">
        <f>'Data &amp; hypothesis Children'!T142</f>
        <v>0</v>
      </c>
      <c r="V295" s="1175">
        <f>'Data &amp; hypothesis Children'!U142</f>
        <v>0</v>
      </c>
      <c r="W295" s="1175">
        <f>'Data &amp; hypothesis Children'!V142</f>
        <v>0</v>
      </c>
      <c r="X295" s="1175">
        <f>'Data &amp; hypothesis Children'!W142</f>
        <v>0</v>
      </c>
      <c r="Y295" s="1175">
        <f>'Data &amp; hypothesis Children'!X142</f>
        <v>0</v>
      </c>
      <c r="Z295" s="1175">
        <f>'Data &amp; hypothesis Children'!Y142</f>
        <v>0</v>
      </c>
      <c r="AA295" s="1175">
        <f>'Data &amp; hypothesis Children'!Z142</f>
        <v>0</v>
      </c>
      <c r="AB295" s="1175">
        <f>'Data &amp; hypothesis Children'!AA142</f>
        <v>0</v>
      </c>
      <c r="AC295" s="1175">
        <f>'Data &amp; hypothesis Children'!AB142</f>
        <v>0</v>
      </c>
      <c r="AD295" s="1175">
        <f>'Data &amp; hypothesis Children'!AC142</f>
        <v>0</v>
      </c>
      <c r="AE295" s="1175">
        <f>'Data &amp; hypothesis Children'!AD142</f>
        <v>0</v>
      </c>
      <c r="AF295" s="1175">
        <f>'Data &amp; hypothesis Children'!AE142</f>
        <v>0</v>
      </c>
      <c r="AG295" s="1175">
        <f>'Data &amp; hypothesis Children'!AF142</f>
        <v>0</v>
      </c>
      <c r="AH295" s="1415" t="str">
        <f>'Data &amp; hypothesis Children'!AG142</f>
        <v>X</v>
      </c>
      <c r="AI295" s="1339">
        <f t="shared" si="77"/>
        <v>868.03800000000012</v>
      </c>
      <c r="AJ295" s="1340">
        <f t="shared" si="78"/>
        <v>1304.7600000000002</v>
      </c>
    </row>
    <row r="296" spans="1:36" s="1279" customFormat="1" x14ac:dyDescent="0.2">
      <c r="A296" s="1282"/>
      <c r="C296" s="1296" t="str">
        <f>'TRAD-Children YEAR(1)'!$B$117</f>
        <v>Deuxièmes lignes</v>
      </c>
      <c r="D296" s="1410"/>
      <c r="E296" s="1410"/>
      <c r="F296" s="1410"/>
      <c r="G296" s="1410"/>
      <c r="H296" s="1410"/>
      <c r="I296" s="1410"/>
      <c r="J296" s="1410"/>
      <c r="K296" s="1411"/>
      <c r="L296" s="1412"/>
      <c r="M296" s="1410"/>
      <c r="N296" s="1410"/>
      <c r="O296" s="1410"/>
      <c r="P296" s="1410"/>
      <c r="Q296" s="1410"/>
      <c r="R296" s="1410"/>
      <c r="S296" s="1410"/>
      <c r="T296" s="1410"/>
      <c r="U296" s="1410"/>
      <c r="V296" s="1410"/>
      <c r="W296" s="1410"/>
      <c r="X296" s="1410"/>
      <c r="Y296" s="1410"/>
      <c r="Z296" s="1410"/>
      <c r="AA296" s="1410"/>
      <c r="AB296" s="1410"/>
      <c r="AC296" s="1410"/>
      <c r="AD296" s="1410"/>
      <c r="AE296" s="1410"/>
      <c r="AF296" s="1410"/>
      <c r="AG296" s="1410"/>
      <c r="AH296" s="1416"/>
      <c r="AI296" s="1339"/>
      <c r="AJ296" s="1340"/>
    </row>
    <row r="297" spans="1:36" s="1279" customFormat="1" ht="15" x14ac:dyDescent="0.25">
      <c r="A297" s="1282"/>
      <c r="C297" s="1301" t="str">
        <f t="array" ref="C297:C300">'Data &amp; hypothesis Children'!$C$32:$C$35</f>
        <v>ABC+3TC+EFV</v>
      </c>
      <c r="D297" s="1175">
        <f>'Data &amp; hypothesis Children'!C144</f>
        <v>0</v>
      </c>
      <c r="E297" s="1175">
        <f>'Data &amp; hypothesis Children'!D144</f>
        <v>0</v>
      </c>
      <c r="F297" s="1175">
        <f>'Data &amp; hypothesis Children'!E144</f>
        <v>0</v>
      </c>
      <c r="G297" s="1175">
        <f>'Data &amp; hypothesis Children'!F144</f>
        <v>0</v>
      </c>
      <c r="H297" s="1175">
        <f>'Data &amp; hypothesis Children'!G144</f>
        <v>0</v>
      </c>
      <c r="I297" s="1175">
        <f>'Data &amp; hypothesis Children'!H144</f>
        <v>0</v>
      </c>
      <c r="J297" s="1175" t="str">
        <f>'Data &amp; hypothesis Children'!I144</f>
        <v>X</v>
      </c>
      <c r="K297" s="1413">
        <f>'Data &amp; hypothesis Children'!J144</f>
        <v>0</v>
      </c>
      <c r="L297" s="1414">
        <f>'Data &amp; hypothesis Children'!K144</f>
        <v>0</v>
      </c>
      <c r="M297" s="1175">
        <f>'Data &amp; hypothesis Children'!L144</f>
        <v>0</v>
      </c>
      <c r="N297" s="1175">
        <f>'Data &amp; hypothesis Children'!M144</f>
        <v>0</v>
      </c>
      <c r="O297" s="1175">
        <f>'Data &amp; hypothesis Children'!N144</f>
        <v>0</v>
      </c>
      <c r="P297" s="1175">
        <f>'Data &amp; hypothesis Children'!O144</f>
        <v>0</v>
      </c>
      <c r="Q297" s="1175">
        <f>'Data &amp; hypothesis Children'!P144</f>
        <v>0</v>
      </c>
      <c r="R297" s="1175">
        <f>'Data &amp; hypothesis Children'!Q144</f>
        <v>0</v>
      </c>
      <c r="S297" s="1175">
        <f>'Data &amp; hypothesis Children'!R144</f>
        <v>0</v>
      </c>
      <c r="T297" s="1175">
        <f>'Data &amp; hypothesis Children'!S144</f>
        <v>0</v>
      </c>
      <c r="U297" s="1175">
        <f>'Data &amp; hypothesis Children'!T144</f>
        <v>0</v>
      </c>
      <c r="V297" s="1175" t="str">
        <f>'Data &amp; hypothesis Children'!U144</f>
        <v>X</v>
      </c>
      <c r="W297" s="1175">
        <f>'Data &amp; hypothesis Children'!V144</f>
        <v>0</v>
      </c>
      <c r="X297" s="1175">
        <f>'Data &amp; hypothesis Children'!W144</f>
        <v>0</v>
      </c>
      <c r="Y297" s="1175">
        <f>'Data &amp; hypothesis Children'!X144</f>
        <v>0</v>
      </c>
      <c r="Z297" s="1175">
        <f>'Data &amp; hypothesis Children'!Y144</f>
        <v>0</v>
      </c>
      <c r="AA297" s="1175">
        <f>'Data &amp; hypothesis Children'!Z144</f>
        <v>0</v>
      </c>
      <c r="AB297" s="1175">
        <f>'Data &amp; hypothesis Children'!AA144</f>
        <v>0</v>
      </c>
      <c r="AC297" s="1175">
        <f>'Data &amp; hypothesis Children'!AB144</f>
        <v>0</v>
      </c>
      <c r="AD297" s="1175">
        <f>'Data &amp; hypothesis Children'!AC144</f>
        <v>0</v>
      </c>
      <c r="AE297" s="1175">
        <f>'Data &amp; hypothesis Children'!AD144</f>
        <v>0</v>
      </c>
      <c r="AF297" s="1175">
        <f>'Data &amp; hypothesis Children'!AE144</f>
        <v>0</v>
      </c>
      <c r="AG297" s="1175">
        <f>'Data &amp; hypothesis Children'!AF144</f>
        <v>0</v>
      </c>
      <c r="AH297" s="1415" t="str">
        <f>'Data &amp; hypothesis Children'!AG144</f>
        <v>X</v>
      </c>
      <c r="AI297" s="1339">
        <f>G75</f>
        <v>66.69959999999999</v>
      </c>
      <c r="AJ297" s="1340">
        <f>G91</f>
        <v>94.943999999999988</v>
      </c>
    </row>
    <row r="298" spans="1:36" s="1279" customFormat="1" ht="15" x14ac:dyDescent="0.25">
      <c r="A298" s="1282"/>
      <c r="C298" s="1301" t="str">
        <v>TDF+3TC+LPV/r</v>
      </c>
      <c r="D298" s="1175">
        <f>'Data &amp; hypothesis Children'!C145</f>
        <v>0</v>
      </c>
      <c r="E298" s="1175">
        <f>'Data &amp; hypothesis Children'!D145</f>
        <v>0</v>
      </c>
      <c r="F298" s="1175">
        <f>'Data &amp; hypothesis Children'!E145</f>
        <v>0</v>
      </c>
      <c r="G298" s="1175">
        <f>'Data &amp; hypothesis Children'!F145</f>
        <v>0</v>
      </c>
      <c r="H298" s="1175">
        <f>'Data &amp; hypothesis Children'!G145</f>
        <v>0</v>
      </c>
      <c r="I298" s="1175">
        <f>'Data &amp; hypothesis Children'!H145</f>
        <v>0</v>
      </c>
      <c r="J298" s="1175">
        <f>'Data &amp; hypothesis Children'!I145</f>
        <v>0</v>
      </c>
      <c r="K298" s="1413">
        <f>'Data &amp; hypothesis Children'!J145</f>
        <v>0</v>
      </c>
      <c r="L298" s="1414">
        <f>'Data &amp; hypothesis Children'!K145</f>
        <v>0</v>
      </c>
      <c r="M298" s="1175">
        <f>'Data &amp; hypothesis Children'!L145</f>
        <v>0</v>
      </c>
      <c r="N298" s="1175">
        <f>'Data &amp; hypothesis Children'!M145</f>
        <v>0</v>
      </c>
      <c r="O298" s="1175">
        <f>'Data &amp; hypothesis Children'!N145</f>
        <v>0</v>
      </c>
      <c r="P298" s="1175">
        <f>'Data &amp; hypothesis Children'!O145</f>
        <v>0</v>
      </c>
      <c r="Q298" s="1175">
        <f>'Data &amp; hypothesis Children'!P145</f>
        <v>0</v>
      </c>
      <c r="R298" s="1175">
        <f>'Data &amp; hypothesis Children'!Q145</f>
        <v>0</v>
      </c>
      <c r="S298" s="1175">
        <f>'Data &amp; hypothesis Children'!R145</f>
        <v>0</v>
      </c>
      <c r="T298" s="1175">
        <f>'Data &amp; hypothesis Children'!S145</f>
        <v>0</v>
      </c>
      <c r="U298" s="1175">
        <f>'Data &amp; hypothesis Children'!T145</f>
        <v>0</v>
      </c>
      <c r="V298" s="1175">
        <f>'Data &amp; hypothesis Children'!U145</f>
        <v>0</v>
      </c>
      <c r="W298" s="1175">
        <f>'Data &amp; hypothesis Children'!V145</f>
        <v>0</v>
      </c>
      <c r="X298" s="1175">
        <f>'Data &amp; hypothesis Children'!W145</f>
        <v>0</v>
      </c>
      <c r="Y298" s="1175">
        <f>'Data &amp; hypothesis Children'!X145</f>
        <v>0</v>
      </c>
      <c r="Z298" s="1175">
        <f>'Data &amp; hypothesis Children'!Y145</f>
        <v>0</v>
      </c>
      <c r="AA298" s="1175">
        <f>'Data &amp; hypothesis Children'!Z145</f>
        <v>0</v>
      </c>
      <c r="AB298" s="1175">
        <f>'Data &amp; hypothesis Children'!AA145</f>
        <v>0</v>
      </c>
      <c r="AC298" s="1175">
        <f>'Data &amp; hypothesis Children'!AB145</f>
        <v>0</v>
      </c>
      <c r="AD298" s="1175">
        <f>'Data &amp; hypothesis Children'!AC145</f>
        <v>0</v>
      </c>
      <c r="AE298" s="1175">
        <f>'Data &amp; hypothesis Children'!AD145</f>
        <v>0</v>
      </c>
      <c r="AF298" s="1175">
        <f>'Data &amp; hypothesis Children'!AE145</f>
        <v>0</v>
      </c>
      <c r="AG298" s="1175">
        <f>'Data &amp; hypothesis Children'!AF145</f>
        <v>0</v>
      </c>
      <c r="AH298" s="1415" t="str">
        <f>'Data &amp; hypothesis Children'!AG145</f>
        <v>X</v>
      </c>
      <c r="AI298" s="1339">
        <f t="shared" ref="AI298:AI299" si="79">G76</f>
        <v>8.0215199999999989</v>
      </c>
      <c r="AJ298" s="1340">
        <f t="shared" ref="AJ298:AJ299" si="80">G92</f>
        <v>12.340799999999998</v>
      </c>
    </row>
    <row r="299" spans="1:36" s="1279" customFormat="1" ht="15" x14ac:dyDescent="0.25">
      <c r="A299" s="1282"/>
      <c r="C299" s="1301" t="str">
        <v>AZT+3TC+EFV</v>
      </c>
      <c r="D299" s="1175">
        <f>'Data &amp; hypothesis Children'!C146</f>
        <v>0</v>
      </c>
      <c r="E299" s="1175">
        <f>'Data &amp; hypothesis Children'!D146</f>
        <v>0</v>
      </c>
      <c r="F299" s="1175">
        <f>'Data &amp; hypothesis Children'!E146</f>
        <v>0</v>
      </c>
      <c r="G299" s="1175">
        <f>'Data &amp; hypothesis Children'!F146</f>
        <v>0</v>
      </c>
      <c r="H299" s="1175">
        <f>'Data &amp; hypothesis Children'!G146</f>
        <v>0</v>
      </c>
      <c r="I299" s="1175">
        <f>'Data &amp; hypothesis Children'!H146</f>
        <v>0</v>
      </c>
      <c r="J299" s="1175">
        <f>'Data &amp; hypothesis Children'!I146</f>
        <v>0</v>
      </c>
      <c r="K299" s="1413">
        <f>'Data &amp; hypothesis Children'!J146</f>
        <v>0</v>
      </c>
      <c r="L299" s="1414">
        <f>'Data &amp; hypothesis Children'!K146</f>
        <v>0</v>
      </c>
      <c r="M299" s="1175">
        <f>'Data &amp; hypothesis Children'!L146</f>
        <v>0</v>
      </c>
      <c r="N299" s="1175">
        <f>'Data &amp; hypothesis Children'!M146</f>
        <v>0</v>
      </c>
      <c r="O299" s="1175">
        <f>'Data &amp; hypothesis Children'!N146</f>
        <v>0</v>
      </c>
      <c r="P299" s="1175">
        <f>'Data &amp; hypothesis Children'!O146</f>
        <v>0</v>
      </c>
      <c r="Q299" s="1175">
        <f>'Data &amp; hypothesis Children'!P146</f>
        <v>0</v>
      </c>
      <c r="R299" s="1175">
        <f>'Data &amp; hypothesis Children'!Q146</f>
        <v>0</v>
      </c>
      <c r="S299" s="1175">
        <f>'Data &amp; hypothesis Children'!R146</f>
        <v>0</v>
      </c>
      <c r="T299" s="1175">
        <f>'Data &amp; hypothesis Children'!S146</f>
        <v>0</v>
      </c>
      <c r="U299" s="1175">
        <f>'Data &amp; hypothesis Children'!T146</f>
        <v>0</v>
      </c>
      <c r="V299" s="1175">
        <f>'Data &amp; hypothesis Children'!U146</f>
        <v>0</v>
      </c>
      <c r="W299" s="1175">
        <f>'Data &amp; hypothesis Children'!V146</f>
        <v>0</v>
      </c>
      <c r="X299" s="1175">
        <f>'Data &amp; hypothesis Children'!W146</f>
        <v>0</v>
      </c>
      <c r="Y299" s="1175">
        <f>'Data &amp; hypothesis Children'!X146</f>
        <v>0</v>
      </c>
      <c r="Z299" s="1175">
        <f>'Data &amp; hypothesis Children'!Y146</f>
        <v>0</v>
      </c>
      <c r="AA299" s="1175">
        <f>'Data &amp; hypothesis Children'!Z146</f>
        <v>0</v>
      </c>
      <c r="AB299" s="1175">
        <f>'Data &amp; hypothesis Children'!AA146</f>
        <v>0</v>
      </c>
      <c r="AC299" s="1175">
        <f>'Data &amp; hypothesis Children'!AB146</f>
        <v>0</v>
      </c>
      <c r="AD299" s="1175">
        <f>'Data &amp; hypothesis Children'!AC146</f>
        <v>0</v>
      </c>
      <c r="AE299" s="1175">
        <f>'Data &amp; hypothesis Children'!AD146</f>
        <v>0</v>
      </c>
      <c r="AF299" s="1175">
        <f>'Data &amp; hypothesis Children'!AE146</f>
        <v>0</v>
      </c>
      <c r="AG299" s="1175">
        <f>'Data &amp; hypothesis Children'!AF146</f>
        <v>0</v>
      </c>
      <c r="AH299" s="1415">
        <f>'Data &amp; hypothesis Children'!AG146</f>
        <v>0</v>
      </c>
      <c r="AI299" s="1339">
        <f t="shared" si="79"/>
        <v>2.0053799999999997</v>
      </c>
      <c r="AJ299" s="1340">
        <f t="shared" si="80"/>
        <v>3.0851999999999995</v>
      </c>
    </row>
    <row r="300" spans="1:36" s="1279" customFormat="1" ht="15.75" thickBot="1" x14ac:dyDescent="0.3">
      <c r="A300" s="1282"/>
      <c r="C300" s="1301">
        <v>0</v>
      </c>
      <c r="D300" s="1175">
        <f>'Data &amp; hypothesis Children'!C147</f>
        <v>0</v>
      </c>
      <c r="E300" s="1175">
        <f>'Data &amp; hypothesis Children'!D147</f>
        <v>0</v>
      </c>
      <c r="F300" s="1175">
        <f>'Data &amp; hypothesis Children'!E147</f>
        <v>0</v>
      </c>
      <c r="G300" s="1175">
        <f>'Data &amp; hypothesis Children'!F147</f>
        <v>0</v>
      </c>
      <c r="H300" s="1175">
        <f>'Data &amp; hypothesis Children'!G147</f>
        <v>0</v>
      </c>
      <c r="I300" s="1175">
        <f>'Data &amp; hypothesis Children'!H147</f>
        <v>0</v>
      </c>
      <c r="J300" s="1175">
        <f>'Data &amp; hypothesis Children'!I147</f>
        <v>0</v>
      </c>
      <c r="K300" s="1413">
        <f>'Data &amp; hypothesis Children'!J147</f>
        <v>0</v>
      </c>
      <c r="L300" s="1417">
        <f>'Data &amp; hypothesis Children'!K147</f>
        <v>0</v>
      </c>
      <c r="M300" s="1418">
        <f>'Data &amp; hypothesis Children'!L147</f>
        <v>0</v>
      </c>
      <c r="N300" s="1418">
        <f>'Data &amp; hypothesis Children'!M147</f>
        <v>0</v>
      </c>
      <c r="O300" s="1418">
        <f>'Data &amp; hypothesis Children'!N147</f>
        <v>0</v>
      </c>
      <c r="P300" s="1418">
        <f>'Data &amp; hypothesis Children'!O147</f>
        <v>0</v>
      </c>
      <c r="Q300" s="1418">
        <f>'Data &amp; hypothesis Children'!P147</f>
        <v>0</v>
      </c>
      <c r="R300" s="1418">
        <f>'Data &amp; hypothesis Children'!Q147</f>
        <v>0</v>
      </c>
      <c r="S300" s="1418">
        <f>'Data &amp; hypothesis Children'!R147</f>
        <v>0</v>
      </c>
      <c r="T300" s="1418">
        <f>'Data &amp; hypothesis Children'!S147</f>
        <v>0</v>
      </c>
      <c r="U300" s="1418">
        <f>'Data &amp; hypothesis Children'!T147</f>
        <v>0</v>
      </c>
      <c r="V300" s="1418">
        <f>'Data &amp; hypothesis Children'!U147</f>
        <v>0</v>
      </c>
      <c r="W300" s="1418">
        <f>'Data &amp; hypothesis Children'!V147</f>
        <v>0</v>
      </c>
      <c r="X300" s="1418">
        <f>'Data &amp; hypothesis Children'!W147</f>
        <v>0</v>
      </c>
      <c r="Y300" s="1418">
        <f>'Data &amp; hypothesis Children'!X147</f>
        <v>0</v>
      </c>
      <c r="Z300" s="1418">
        <f>'Data &amp; hypothesis Children'!Y147</f>
        <v>0</v>
      </c>
      <c r="AA300" s="1418">
        <f>'Data &amp; hypothesis Children'!Z147</f>
        <v>0</v>
      </c>
      <c r="AB300" s="1418">
        <f>'Data &amp; hypothesis Children'!AA147</f>
        <v>0</v>
      </c>
      <c r="AC300" s="1418">
        <f>'Data &amp; hypothesis Children'!AB147</f>
        <v>0</v>
      </c>
      <c r="AD300" s="1418">
        <f>'Data &amp; hypothesis Children'!AC147</f>
        <v>0</v>
      </c>
      <c r="AE300" s="1418">
        <f>'Data &amp; hypothesis Children'!AD147</f>
        <v>0</v>
      </c>
      <c r="AF300" s="1418">
        <f>'Data &amp; hypothesis Children'!AE147</f>
        <v>0</v>
      </c>
      <c r="AG300" s="1418">
        <f>'Data &amp; hypothesis Children'!AF147</f>
        <v>0</v>
      </c>
      <c r="AH300" s="1419">
        <f>'Data &amp; hypothesis Children'!AG147</f>
        <v>0</v>
      </c>
      <c r="AI300" s="1339">
        <f>G78</f>
        <v>0</v>
      </c>
      <c r="AJ300" s="1340">
        <f>G94</f>
        <v>0</v>
      </c>
    </row>
    <row r="301" spans="1:36" s="1304" customFormat="1" ht="26.25" thickBot="1" x14ac:dyDescent="0.25">
      <c r="A301" s="1303"/>
      <c r="C301" s="1305" t="str">
        <f>'TRAD-Children YEAR(1)'!B118</f>
        <v>Nb de patients-mois / produit - SANS SS</v>
      </c>
      <c r="D301" s="1306">
        <f t="shared" ref="D301:AE301" si="81">SUMIF(D290:D300, "X", $AI290:$AI300)</f>
        <v>0</v>
      </c>
      <c r="E301" s="1306">
        <f t="shared" si="81"/>
        <v>0</v>
      </c>
      <c r="F301" s="1306">
        <f t="shared" si="81"/>
        <v>0</v>
      </c>
      <c r="G301" s="1306">
        <f t="shared" si="81"/>
        <v>0</v>
      </c>
      <c r="H301" s="1306">
        <f t="shared" si="81"/>
        <v>0</v>
      </c>
      <c r="I301" s="1306">
        <f t="shared" si="81"/>
        <v>26.592000000000002</v>
      </c>
      <c r="J301" s="1306">
        <f t="shared" si="81"/>
        <v>176.39159999999998</v>
      </c>
      <c r="K301" s="1307">
        <f t="shared" si="81"/>
        <v>925.36800000000017</v>
      </c>
      <c r="L301" s="1308">
        <f t="shared" si="81"/>
        <v>0</v>
      </c>
      <c r="M301" s="1306">
        <f t="shared" si="81"/>
        <v>3091.32</v>
      </c>
      <c r="N301" s="1306">
        <f t="shared" si="81"/>
        <v>0</v>
      </c>
      <c r="O301" s="1306">
        <f t="shared" si="81"/>
        <v>977.73000000000013</v>
      </c>
      <c r="P301" s="1306">
        <f t="shared" si="81"/>
        <v>0</v>
      </c>
      <c r="Q301" s="1306">
        <f t="shared" si="81"/>
        <v>0</v>
      </c>
      <c r="R301" s="1306">
        <f t="shared" si="81"/>
        <v>0</v>
      </c>
      <c r="S301" s="1306">
        <f t="shared" si="81"/>
        <v>0</v>
      </c>
      <c r="T301" s="1306">
        <f t="shared" si="81"/>
        <v>0</v>
      </c>
      <c r="U301" s="1306">
        <f t="shared" si="81"/>
        <v>26.592000000000002</v>
      </c>
      <c r="V301" s="1306">
        <f t="shared" si="81"/>
        <v>124.02959999999999</v>
      </c>
      <c r="W301" s="1306">
        <f t="shared" si="81"/>
        <v>0</v>
      </c>
      <c r="X301" s="1306">
        <f t="shared" si="81"/>
        <v>0</v>
      </c>
      <c r="Y301" s="1306">
        <f t="shared" si="81"/>
        <v>0</v>
      </c>
      <c r="Z301" s="1306">
        <f t="shared" si="81"/>
        <v>0</v>
      </c>
      <c r="AA301" s="1306">
        <f t="shared" si="81"/>
        <v>0</v>
      </c>
      <c r="AB301" s="1306">
        <f t="shared" si="81"/>
        <v>0</v>
      </c>
      <c r="AC301" s="1306">
        <f t="shared" si="81"/>
        <v>0</v>
      </c>
      <c r="AD301" s="1306">
        <f t="shared" si="81"/>
        <v>0</v>
      </c>
      <c r="AE301" s="1306">
        <f t="shared" si="81"/>
        <v>26.592000000000002</v>
      </c>
      <c r="AF301" s="1306">
        <f t="shared" ref="AF301" si="82">SUMIF(AF290:AF300, "X", $AI290:$AI300)</f>
        <v>109.69199999999998</v>
      </c>
      <c r="AG301" s="1306">
        <f t="shared" ref="AG301" si="83">SUMIF(AG290:AG300, "X", $AI290:$AI300)</f>
        <v>0</v>
      </c>
      <c r="AH301" s="1306">
        <f t="shared" ref="AH301" si="84">SUMIF(AH290:AH300, "X", $AI290:$AI300)</f>
        <v>942.75912000000017</v>
      </c>
    </row>
    <row r="302" spans="1:36" s="1304" customFormat="1" ht="26.25" thickBot="1" x14ac:dyDescent="0.25">
      <c r="A302" s="1303"/>
      <c r="C302" s="1305" t="str">
        <f>'TRAD-Children YEAR(1)'!B119</f>
        <v>Nb de patients-mois / produit - AVEC SS</v>
      </c>
      <c r="D302" s="1309">
        <f t="shared" ref="D302:AH302" si="85">SUMIF(D290:D300, "X", $AJ290:$AJ300)</f>
        <v>0</v>
      </c>
      <c r="E302" s="1309">
        <f t="shared" si="85"/>
        <v>0</v>
      </c>
      <c r="F302" s="1309">
        <f t="shared" si="85"/>
        <v>0</v>
      </c>
      <c r="G302" s="1309">
        <f t="shared" si="85"/>
        <v>0</v>
      </c>
      <c r="H302" s="1309">
        <f t="shared" si="85"/>
        <v>0</v>
      </c>
      <c r="I302" s="1309">
        <f t="shared" si="85"/>
        <v>33.24</v>
      </c>
      <c r="J302" s="1309">
        <f t="shared" si="85"/>
        <v>232.059</v>
      </c>
      <c r="K302" s="1310">
        <f t="shared" si="85"/>
        <v>1392.9600000000003</v>
      </c>
      <c r="L302" s="1311">
        <f t="shared" si="85"/>
        <v>0</v>
      </c>
      <c r="M302" s="1309">
        <f t="shared" si="85"/>
        <v>3864.15</v>
      </c>
      <c r="N302" s="1309">
        <f t="shared" si="85"/>
        <v>0</v>
      </c>
      <c r="O302" s="1309">
        <f t="shared" si="85"/>
        <v>1441.8750000000002</v>
      </c>
      <c r="P302" s="1309">
        <f t="shared" si="85"/>
        <v>0</v>
      </c>
      <c r="Q302" s="1309">
        <f t="shared" si="85"/>
        <v>0</v>
      </c>
      <c r="R302" s="1309">
        <f t="shared" si="85"/>
        <v>0</v>
      </c>
      <c r="S302" s="1309">
        <f t="shared" si="85"/>
        <v>0</v>
      </c>
      <c r="T302" s="1309">
        <f t="shared" si="85"/>
        <v>0</v>
      </c>
      <c r="U302" s="1309">
        <f t="shared" si="85"/>
        <v>33.24</v>
      </c>
      <c r="V302" s="1309">
        <f t="shared" si="85"/>
        <v>183.14400000000001</v>
      </c>
      <c r="W302" s="1309">
        <f t="shared" si="85"/>
        <v>0</v>
      </c>
      <c r="X302" s="1309">
        <f t="shared" si="85"/>
        <v>0</v>
      </c>
      <c r="Y302" s="1309">
        <f t="shared" si="85"/>
        <v>0</v>
      </c>
      <c r="Z302" s="1309">
        <f t="shared" si="85"/>
        <v>0</v>
      </c>
      <c r="AA302" s="1309">
        <f t="shared" si="85"/>
        <v>0</v>
      </c>
      <c r="AB302" s="1309">
        <f t="shared" si="85"/>
        <v>0</v>
      </c>
      <c r="AC302" s="1309">
        <f t="shared" si="85"/>
        <v>0</v>
      </c>
      <c r="AD302" s="1309">
        <f t="shared" si="85"/>
        <v>0</v>
      </c>
      <c r="AE302" s="1309">
        <f t="shared" si="85"/>
        <v>33.24</v>
      </c>
      <c r="AF302" s="1309">
        <f t="shared" si="85"/>
        <v>137.11500000000001</v>
      </c>
      <c r="AG302" s="1309">
        <f t="shared" si="85"/>
        <v>0</v>
      </c>
      <c r="AH302" s="1309">
        <f t="shared" si="85"/>
        <v>1412.0448000000001</v>
      </c>
    </row>
    <row r="303" spans="1:36" s="1304" customFormat="1" ht="26.25" thickBot="1" x14ac:dyDescent="0.25">
      <c r="A303" s="1303"/>
      <c r="C303" s="1305" t="str">
        <f>'TRAD-Children YEAR(1)'!B120</f>
        <v>Nb de cdt - Estimation période SANS SS</v>
      </c>
      <c r="D303" s="1312">
        <f t="shared" ref="D303:U303" si="86">D301*D288</f>
        <v>0</v>
      </c>
      <c r="E303" s="1312">
        <f t="shared" si="86"/>
        <v>0</v>
      </c>
      <c r="F303" s="1312">
        <f t="shared" si="86"/>
        <v>0</v>
      </c>
      <c r="G303" s="1312">
        <f t="shared" si="86"/>
        <v>0</v>
      </c>
      <c r="H303" s="1312">
        <f t="shared" si="86"/>
        <v>0</v>
      </c>
      <c r="I303" s="1312">
        <f t="shared" si="86"/>
        <v>66.48</v>
      </c>
      <c r="J303" s="1312">
        <f t="shared" si="86"/>
        <v>205.7902</v>
      </c>
      <c r="K303" s="1313">
        <f t="shared" si="86"/>
        <v>1850.7360000000003</v>
      </c>
      <c r="L303" s="1314">
        <f t="shared" si="86"/>
        <v>0</v>
      </c>
      <c r="M303" s="1312">
        <f t="shared" si="86"/>
        <v>6182.64</v>
      </c>
      <c r="N303" s="1312">
        <f t="shared" si="86"/>
        <v>0</v>
      </c>
      <c r="O303" s="1312">
        <f t="shared" si="86"/>
        <v>1955.4600000000003</v>
      </c>
      <c r="P303" s="1312">
        <f t="shared" si="86"/>
        <v>0</v>
      </c>
      <c r="Q303" s="1312">
        <f t="shared" si="86"/>
        <v>0</v>
      </c>
      <c r="R303" s="1312">
        <f t="shared" ref="R303" si="87">R301*R288</f>
        <v>0</v>
      </c>
      <c r="S303" s="1312">
        <f t="shared" si="86"/>
        <v>0</v>
      </c>
      <c r="T303" s="1312">
        <f t="shared" si="86"/>
        <v>0</v>
      </c>
      <c r="U303" s="1312">
        <f t="shared" si="86"/>
        <v>0</v>
      </c>
      <c r="V303" s="1312">
        <f t="shared" ref="V303:AH303" si="88">V301*V288</f>
        <v>248.05919999999998</v>
      </c>
      <c r="W303" s="1312">
        <f t="shared" ref="W303:Y303" si="89">W301*W288</f>
        <v>0</v>
      </c>
      <c r="X303" s="1312">
        <f t="shared" ref="X303" si="90">X301*X288</f>
        <v>0</v>
      </c>
      <c r="Y303" s="1312">
        <f t="shared" si="89"/>
        <v>0</v>
      </c>
      <c r="Z303" s="1312">
        <f t="shared" si="88"/>
        <v>0</v>
      </c>
      <c r="AA303" s="1312">
        <f t="shared" si="88"/>
        <v>0</v>
      </c>
      <c r="AB303" s="1312">
        <f t="shared" si="88"/>
        <v>0</v>
      </c>
      <c r="AC303" s="1312">
        <f t="shared" si="88"/>
        <v>0</v>
      </c>
      <c r="AD303" s="1312">
        <f t="shared" si="88"/>
        <v>0</v>
      </c>
      <c r="AE303" s="1312">
        <f t="shared" ref="AE303" si="91">AE301*AE288</f>
        <v>53.184000000000005</v>
      </c>
      <c r="AF303" s="1312">
        <f t="shared" si="88"/>
        <v>109.69199999999998</v>
      </c>
      <c r="AG303" s="1312">
        <f t="shared" si="88"/>
        <v>0</v>
      </c>
      <c r="AH303" s="1312">
        <f t="shared" si="88"/>
        <v>1414.1386800000002</v>
      </c>
    </row>
    <row r="304" spans="1:36" s="1304" customFormat="1" ht="26.25" thickBot="1" x14ac:dyDescent="0.25">
      <c r="A304" s="1303"/>
      <c r="C304" s="1305" t="str">
        <f>'TRAD-Children YEAR(1)'!B121</f>
        <v>Nb de cdt - Estimation période AVEC SS</v>
      </c>
      <c r="D304" s="1315">
        <f t="shared" ref="D304:U304" si="92">D302*D288</f>
        <v>0</v>
      </c>
      <c r="E304" s="1315">
        <f t="shared" si="92"/>
        <v>0</v>
      </c>
      <c r="F304" s="1315">
        <f t="shared" si="92"/>
        <v>0</v>
      </c>
      <c r="G304" s="1315">
        <f t="shared" si="92"/>
        <v>0</v>
      </c>
      <c r="H304" s="1315">
        <f t="shared" si="92"/>
        <v>0</v>
      </c>
      <c r="I304" s="1315">
        <f t="shared" si="92"/>
        <v>83.100000000000009</v>
      </c>
      <c r="J304" s="1315">
        <f t="shared" si="92"/>
        <v>270.7355</v>
      </c>
      <c r="K304" s="1316">
        <f t="shared" si="92"/>
        <v>2785.9200000000005</v>
      </c>
      <c r="L304" s="1317">
        <f t="shared" si="92"/>
        <v>0</v>
      </c>
      <c r="M304" s="1315">
        <f t="shared" si="92"/>
        <v>7728.3</v>
      </c>
      <c r="N304" s="1315">
        <f t="shared" si="92"/>
        <v>0</v>
      </c>
      <c r="O304" s="1315">
        <f t="shared" si="92"/>
        <v>2883.7500000000005</v>
      </c>
      <c r="P304" s="1315">
        <f t="shared" si="92"/>
        <v>0</v>
      </c>
      <c r="Q304" s="1315">
        <f t="shared" si="92"/>
        <v>0</v>
      </c>
      <c r="R304" s="1315">
        <f t="shared" ref="R304" si="93">R302*R288</f>
        <v>0</v>
      </c>
      <c r="S304" s="1315">
        <f t="shared" si="92"/>
        <v>0</v>
      </c>
      <c r="T304" s="1315">
        <f t="shared" si="92"/>
        <v>0</v>
      </c>
      <c r="U304" s="1315">
        <f t="shared" si="92"/>
        <v>0</v>
      </c>
      <c r="V304" s="1315">
        <f t="shared" ref="V304:AH304" si="94">V302*V288</f>
        <v>366.28800000000001</v>
      </c>
      <c r="W304" s="1315">
        <f t="shared" ref="W304:Y304" si="95">W302*W288</f>
        <v>0</v>
      </c>
      <c r="X304" s="1315">
        <f t="shared" ref="X304" si="96">X302*X288</f>
        <v>0</v>
      </c>
      <c r="Y304" s="1315">
        <f t="shared" si="95"/>
        <v>0</v>
      </c>
      <c r="Z304" s="1315">
        <f t="shared" si="94"/>
        <v>0</v>
      </c>
      <c r="AA304" s="1315">
        <f t="shared" si="94"/>
        <v>0</v>
      </c>
      <c r="AB304" s="1315">
        <f t="shared" si="94"/>
        <v>0</v>
      </c>
      <c r="AC304" s="1315">
        <f t="shared" si="94"/>
        <v>0</v>
      </c>
      <c r="AD304" s="1315">
        <f t="shared" si="94"/>
        <v>0</v>
      </c>
      <c r="AE304" s="1315">
        <f t="shared" ref="AE304" si="97">AE302*AE288</f>
        <v>66.48</v>
      </c>
      <c r="AF304" s="1315">
        <f t="shared" si="94"/>
        <v>137.11500000000001</v>
      </c>
      <c r="AG304" s="1315">
        <f t="shared" si="94"/>
        <v>0</v>
      </c>
      <c r="AH304" s="1315">
        <f t="shared" si="94"/>
        <v>2118.0672000000004</v>
      </c>
    </row>
    <row r="305" spans="1:36" s="1279" customFormat="1" x14ac:dyDescent="0.2">
      <c r="A305" s="1282"/>
    </row>
    <row r="306" spans="1:36" s="1279" customFormat="1" ht="13.5" thickBot="1" x14ac:dyDescent="0.25">
      <c r="A306" s="1282"/>
    </row>
    <row r="307" spans="1:36" s="1279" customFormat="1" ht="13.5" thickBot="1" x14ac:dyDescent="0.25">
      <c r="A307" s="1282"/>
      <c r="B307" s="1283" t="str">
        <f>'TRAD-Children YEAR(1)'!B125</f>
        <v>Tranche 15 -19,9 kg</v>
      </c>
      <c r="C307" s="1284"/>
      <c r="D307" s="1285"/>
      <c r="E307" s="1285"/>
      <c r="F307" s="1285"/>
      <c r="G307" s="1285"/>
      <c r="H307" s="1285"/>
      <c r="I307" s="1286"/>
    </row>
    <row r="308" spans="1:36" s="1279" customFormat="1" ht="13.5" thickBot="1" x14ac:dyDescent="0.25">
      <c r="A308" s="1282"/>
      <c r="B308" s="1323"/>
      <c r="C308" s="1324"/>
      <c r="D308" s="1325"/>
      <c r="E308" s="1325"/>
      <c r="F308" s="1325"/>
      <c r="G308" s="1325"/>
      <c r="H308" s="1325"/>
      <c r="I308" s="1325"/>
    </row>
    <row r="309" spans="1:36" s="1279" customFormat="1" ht="26.25" thickBot="1" x14ac:dyDescent="0.25">
      <c r="A309" s="1282"/>
      <c r="D309" s="1287" t="str">
        <f>'TRAD-Children YEAR(1)'!B90</f>
        <v>Solutions buvables</v>
      </c>
      <c r="E309" s="1288"/>
      <c r="F309" s="1288"/>
      <c r="G309" s="1288"/>
      <c r="H309" s="1288"/>
      <c r="I309" s="1288"/>
      <c r="J309" s="1284"/>
      <c r="K309" s="1284"/>
      <c r="L309" s="1289" t="str">
        <f>'TRAD-Children YEAR(1)'!B91</f>
        <v>Comprimés</v>
      </c>
      <c r="M309" s="1284"/>
      <c r="N309" s="1284"/>
      <c r="O309" s="1284"/>
      <c r="P309" s="1284"/>
      <c r="Q309" s="1284"/>
      <c r="R309" s="1284"/>
      <c r="S309" s="1284"/>
      <c r="T309" s="1284"/>
      <c r="U309" s="1284"/>
      <c r="V309" s="1284"/>
      <c r="W309" s="1945"/>
      <c r="X309" s="1945"/>
      <c r="Y309" s="1945"/>
      <c r="Z309" s="1284"/>
      <c r="AA309" s="1284"/>
      <c r="AB309" s="1284"/>
      <c r="AC309" s="1284"/>
      <c r="AD309" s="1284"/>
      <c r="AE309" s="1284"/>
      <c r="AF309" s="1284"/>
      <c r="AG309" s="1284"/>
      <c r="AH309" s="1284"/>
    </row>
    <row r="310" spans="1:36" s="1292" customFormat="1" ht="38.25" x14ac:dyDescent="0.2">
      <c r="A310" s="1291"/>
      <c r="C310" s="1332" t="str">
        <f>'TRAD-Children YEAR(1)'!B113</f>
        <v>Nb de boites / mois pour l'ensemble des patients</v>
      </c>
      <c r="D310" s="1975" t="str">
        <f t="array" ref="D310:AH311">'Data &amp; hypothesis Children'!$C$116:$AG$117</f>
        <v>AZT</v>
      </c>
      <c r="E310" s="1975" t="str">
        <v>D4T</v>
      </c>
      <c r="F310" s="1975" t="str">
        <v>3TC</v>
      </c>
      <c r="G310" s="1975" t="str">
        <v>ABC</v>
      </c>
      <c r="H310" s="1975" t="str">
        <v>DDI</v>
      </c>
      <c r="I310" s="1975" t="str">
        <v>NVP</v>
      </c>
      <c r="J310" s="1975" t="str">
        <v>EFV</v>
      </c>
      <c r="K310" s="1976" t="str">
        <v>LPV/r</v>
      </c>
      <c r="L310" s="1423" t="str">
        <v>AZT+ 3TC+ NVP adulte</v>
      </c>
      <c r="M310" s="1424" t="str">
        <v>AZT+ 3TC+ NVP bébé</v>
      </c>
      <c r="N310" s="1424" t="str">
        <v>AZT+ 3TC adulte</v>
      </c>
      <c r="O310" s="1424" t="str">
        <v>AZT+ 3TC bébé</v>
      </c>
      <c r="P310" s="1424" t="str">
        <v>D4T+ 3TC+ NVP adulte</v>
      </c>
      <c r="Q310" s="1424" t="str">
        <v>D4T+ 3TC+ NVP bébé</v>
      </c>
      <c r="R310" s="1424" t="str">
        <v>D4T+ 3TC bébé</v>
      </c>
      <c r="S310" s="1424" t="str">
        <v>AZT+ 3TC+ ABC adulte</v>
      </c>
      <c r="T310" s="1424" t="str">
        <v>AZT+ 3TC+ ABC bébé</v>
      </c>
      <c r="U310" s="1424" t="str">
        <v>ABC+ 3TC adulte</v>
      </c>
      <c r="V310" s="1424" t="str">
        <v>ABC+ 3TC bébé</v>
      </c>
      <c r="W310" s="1977" t="str">
        <v>TDF+ FTC/3TC+ EFV adulte</v>
      </c>
      <c r="X310" s="1977" t="str">
        <v>TDF+ FTC/3TC adulte</v>
      </c>
      <c r="Y310" s="1977" t="str">
        <v>TDF adulte</v>
      </c>
      <c r="Z310" s="1964" t="str">
        <v>3TC adulte</v>
      </c>
      <c r="AA310" s="1424" t="str">
        <v>ABC adulte</v>
      </c>
      <c r="AB310" s="1424" t="str">
        <v>ABC bébé</v>
      </c>
      <c r="AC310" s="1424" t="str">
        <v>DDI adulte</v>
      </c>
      <c r="AD310" s="1964" t="str">
        <v>NVP adulte</v>
      </c>
      <c r="AE310" s="1965" t="str">
        <v>NVP bébé</v>
      </c>
      <c r="AF310" s="1964" t="str">
        <v>EFV enfant</v>
      </c>
      <c r="AG310" s="1424" t="str">
        <v>LPV/r adulte</v>
      </c>
      <c r="AH310" s="1425" t="str">
        <v>LPV/r enfant</v>
      </c>
    </row>
    <row r="311" spans="1:36" s="1292" customFormat="1" ht="77.25" thickBot="1" x14ac:dyDescent="0.25">
      <c r="A311" s="1291"/>
      <c r="C311" s="1332" t="str">
        <f>'TRAD-Children YEAR(1)'!B114</f>
        <v>Dosage</v>
      </c>
      <c r="D311" s="1975" t="str">
        <v>10 mg/mL</v>
      </c>
      <c r="E311" s="1975" t="str">
        <v>10 mg/mL</v>
      </c>
      <c r="F311" s="1975" t="str">
        <v>10 mg/mL</v>
      </c>
      <c r="G311" s="1975" t="str">
        <v>20 mg/mL</v>
      </c>
      <c r="H311" s="1975" t="str">
        <v>2 g</v>
      </c>
      <c r="I311" s="1975" t="str">
        <v>10 mg/mL</v>
      </c>
      <c r="J311" s="1975" t="str">
        <v>30 mg/mL</v>
      </c>
      <c r="K311" s="1976" t="str">
        <v>80/20 mg/mL</v>
      </c>
      <c r="L311" s="1423" t="str">
        <v>300/150/200 mg</v>
      </c>
      <c r="M311" s="1424" t="str">
        <v>60/30/50 mg</v>
      </c>
      <c r="N311" s="1424" t="str">
        <v>300/150 mg</v>
      </c>
      <c r="O311" s="1424" t="str">
        <v>60/30 mg</v>
      </c>
      <c r="P311" s="1424" t="str">
        <v>30/150/200 mg</v>
      </c>
      <c r="Q311" s="1424" t="str">
        <v>6/30/50 mg</v>
      </c>
      <c r="R311" s="1424" t="str">
        <v>6/30 mg</v>
      </c>
      <c r="S311" s="1424" t="str">
        <v>300/150/300 mg</v>
      </c>
      <c r="T311" s="1424" t="str">
        <v>60/30/60 mg</v>
      </c>
      <c r="U311" s="1424" t="str">
        <v>600/300 mg</v>
      </c>
      <c r="V311" s="1424" t="str">
        <v>60/30 mg</v>
      </c>
      <c r="W311" s="1424" t="str">
        <v>300/200/600 mg</v>
      </c>
      <c r="X311" s="1424" t="str">
        <v>300/200 mg</v>
      </c>
      <c r="Y311" s="1424" t="str">
        <v>300 mg</v>
      </c>
      <c r="Z311" s="1424" t="str">
        <v>150 mg</v>
      </c>
      <c r="AA311" s="1424" t="str">
        <v>300 mg</v>
      </c>
      <c r="AB311" s="1424" t="str">
        <v>60 mg</v>
      </c>
      <c r="AC311" s="1424" t="str">
        <v>250 mg</v>
      </c>
      <c r="AD311" s="1424" t="str">
        <v>200 mg</v>
      </c>
      <c r="AE311" s="1424" t="str">
        <v>50 mg</v>
      </c>
      <c r="AF311" s="1424" t="str">
        <v>200 mg</v>
      </c>
      <c r="AG311" s="1424" t="str">
        <v>200/50 mg</v>
      </c>
      <c r="AH311" s="1425" t="str">
        <v>100/25 mg</v>
      </c>
      <c r="AI311" s="1320" t="str">
        <f>'TRAD-Children YEAR(1)'!B126</f>
        <v>Répartition des patients mois / tranches de poids</v>
      </c>
    </row>
    <row r="312" spans="1:36" s="1279" customFormat="1" ht="26.25" thickBot="1" x14ac:dyDescent="0.25">
      <c r="A312" s="1282"/>
      <c r="C312" s="1332" t="str">
        <f>'TRAD-Children YEAR(1)'!B115</f>
        <v>Nb de cdt/mois pour la tranche</v>
      </c>
      <c r="D312" s="1404">
        <f t="array" ref="D312:AH312">TRANSPOSE($F$224:$F$254)</f>
        <v>3.75</v>
      </c>
      <c r="E312" s="1404">
        <v>3.75</v>
      </c>
      <c r="F312" s="1404">
        <v>1.875</v>
      </c>
      <c r="G312" s="1404">
        <v>1.875</v>
      </c>
      <c r="H312" s="1404">
        <v>3</v>
      </c>
      <c r="I312" s="1404">
        <v>3</v>
      </c>
      <c r="J312" s="1404">
        <v>2.1666666666666665</v>
      </c>
      <c r="K312" s="1405">
        <v>2.5</v>
      </c>
      <c r="L312" s="1406">
        <v>1</v>
      </c>
      <c r="M312" s="1407">
        <v>2.5</v>
      </c>
      <c r="N312" s="1407">
        <v>1</v>
      </c>
      <c r="O312" s="1407">
        <v>2.5</v>
      </c>
      <c r="P312" s="1407">
        <v>1</v>
      </c>
      <c r="Q312" s="1407">
        <v>2.5</v>
      </c>
      <c r="R312" s="1407">
        <v>2.5</v>
      </c>
      <c r="S312" s="1407">
        <v>1</v>
      </c>
      <c r="T312" s="1407">
        <v>2.5</v>
      </c>
      <c r="U312" s="1407">
        <v>1</v>
      </c>
      <c r="V312" s="1407">
        <v>2.5</v>
      </c>
      <c r="W312" s="1407">
        <v>0</v>
      </c>
      <c r="X312" s="1407">
        <v>0</v>
      </c>
      <c r="Y312" s="1407">
        <v>0</v>
      </c>
      <c r="Z312" s="1407">
        <v>0.5</v>
      </c>
      <c r="AA312" s="1407">
        <v>0.5</v>
      </c>
      <c r="AB312" s="1407">
        <v>2.5</v>
      </c>
      <c r="AC312" s="1407">
        <v>0</v>
      </c>
      <c r="AD312" s="1407">
        <v>0.75</v>
      </c>
      <c r="AE312" s="1407">
        <v>2.5</v>
      </c>
      <c r="AF312" s="1407">
        <v>1.5</v>
      </c>
      <c r="AG312" s="1407">
        <v>0.5</v>
      </c>
      <c r="AH312" s="1407">
        <v>2</v>
      </c>
      <c r="AI312" s="1338" t="s">
        <v>659</v>
      </c>
      <c r="AJ312" s="1281"/>
    </row>
    <row r="313" spans="1:36" s="1279" customFormat="1" ht="63.75" x14ac:dyDescent="0.2">
      <c r="A313" s="1282"/>
      <c r="B313" s="1293" t="str">
        <f>'TRAD-Children YEAR(1)'!B6</f>
        <v>Schéma thérapeutique</v>
      </c>
      <c r="C313" s="1332" t="str">
        <f>'TRAD-Children YEAR(1)'!B116</f>
        <v>Premières lignes</v>
      </c>
      <c r="D313" s="1297"/>
      <c r="E313" s="1297"/>
      <c r="F313" s="1297"/>
      <c r="G313" s="1297"/>
      <c r="H313" s="1297"/>
      <c r="I313" s="1297"/>
      <c r="J313" s="1297"/>
      <c r="K313" s="1298"/>
      <c r="L313" s="1299"/>
      <c r="M313" s="1297"/>
      <c r="N313" s="1297"/>
      <c r="O313" s="1297"/>
      <c r="P313" s="1297"/>
      <c r="Q313" s="1297"/>
      <c r="R313" s="1297"/>
      <c r="S313" s="1297"/>
      <c r="T313" s="1297"/>
      <c r="U313" s="1297"/>
      <c r="V313" s="1297"/>
      <c r="W313" s="1297"/>
      <c r="X313" s="1297"/>
      <c r="Y313" s="1297"/>
      <c r="Z313" s="1297"/>
      <c r="AA313" s="1297"/>
      <c r="AB313" s="1297"/>
      <c r="AC313" s="1297"/>
      <c r="AD313" s="1297"/>
      <c r="AE313" s="1297"/>
      <c r="AF313" s="1297"/>
      <c r="AG313" s="1297"/>
      <c r="AH313" s="1297"/>
      <c r="AI313" s="1318" t="str">
        <f>'TRAD-Children YEAR(1)'!B122</f>
        <v>nb de patients mois période quantifiée</v>
      </c>
      <c r="AJ313" s="1318" t="str">
        <f>'TRAD-Children YEAR(1)'!B123</f>
        <v>nb de patients mois avec période de sécurité</v>
      </c>
    </row>
    <row r="314" spans="1:36" s="1279" customFormat="1" ht="15" x14ac:dyDescent="0.25">
      <c r="A314" s="1282"/>
      <c r="C314" s="1319" t="str">
        <f t="array" ref="C314:C319">'Data &amp; hypothesis Children'!$C$26:$C$31</f>
        <v>D4T+3TC+NVP</v>
      </c>
      <c r="D314" s="1175">
        <f>'Data &amp; hypothesis Children'!C155</f>
        <v>0</v>
      </c>
      <c r="E314" s="1175">
        <f>'Data &amp; hypothesis Children'!D155</f>
        <v>0</v>
      </c>
      <c r="F314" s="1175">
        <f>'Data &amp; hypothesis Children'!E155</f>
        <v>0</v>
      </c>
      <c r="G314" s="1175">
        <f>'Data &amp; hypothesis Children'!F155</f>
        <v>0</v>
      </c>
      <c r="H314" s="1175">
        <f>'Data &amp; hypothesis Children'!G155</f>
        <v>0</v>
      </c>
      <c r="I314" s="1175">
        <f>'Data &amp; hypothesis Children'!H155</f>
        <v>0</v>
      </c>
      <c r="J314" s="1175">
        <f>'Data &amp; hypothesis Children'!I155</f>
        <v>0</v>
      </c>
      <c r="K314" s="1413">
        <f>'Data &amp; hypothesis Children'!J155</f>
        <v>0</v>
      </c>
      <c r="L314" s="1414">
        <f>'Data &amp; hypothesis Children'!K155</f>
        <v>0</v>
      </c>
      <c r="M314" s="1175">
        <f>'Data &amp; hypothesis Children'!L155</f>
        <v>0</v>
      </c>
      <c r="N314" s="1175">
        <f>'Data &amp; hypothesis Children'!M155</f>
        <v>0</v>
      </c>
      <c r="O314" s="1175">
        <f>'Data &amp; hypothesis Children'!N155</f>
        <v>0</v>
      </c>
      <c r="P314" s="1175">
        <f>'Data &amp; hypothesis Children'!O155</f>
        <v>0</v>
      </c>
      <c r="Q314" s="1175" t="str">
        <f>'Data &amp; hypothesis Children'!P155</f>
        <v>X</v>
      </c>
      <c r="R314" s="1175">
        <f>'Data &amp; hypothesis Children'!Q155</f>
        <v>0</v>
      </c>
      <c r="S314" s="1175">
        <f>'Data &amp; hypothesis Children'!R155</f>
        <v>0</v>
      </c>
      <c r="T314" s="1175">
        <f>'Data &amp; hypothesis Children'!S155</f>
        <v>0</v>
      </c>
      <c r="U314" s="1175">
        <f>'Data &amp; hypothesis Children'!T155</f>
        <v>0</v>
      </c>
      <c r="V314" s="1175">
        <f>'Data &amp; hypothesis Children'!U155</f>
        <v>0</v>
      </c>
      <c r="W314" s="1175">
        <f>'Data &amp; hypothesis Children'!V155</f>
        <v>0</v>
      </c>
      <c r="X314" s="1175">
        <f>'Data &amp; hypothesis Children'!W155</f>
        <v>0</v>
      </c>
      <c r="Y314" s="1175">
        <f>'Data &amp; hypothesis Children'!X155</f>
        <v>0</v>
      </c>
      <c r="Z314" s="1175">
        <f>'Data &amp; hypothesis Children'!Y155</f>
        <v>0</v>
      </c>
      <c r="AA314" s="1175">
        <f>'Data &amp; hypothesis Children'!Z155</f>
        <v>0</v>
      </c>
      <c r="AB314" s="1175">
        <f>'Data &amp; hypothesis Children'!AA155</f>
        <v>0</v>
      </c>
      <c r="AC314" s="1175">
        <f>'Data &amp; hypothesis Children'!AB155</f>
        <v>0</v>
      </c>
      <c r="AD314" s="1175">
        <f>'Data &amp; hypothesis Children'!AC155</f>
        <v>0</v>
      </c>
      <c r="AE314" s="1175">
        <f>'Data &amp; hypothesis Children'!AD155</f>
        <v>0</v>
      </c>
      <c r="AF314" s="1175">
        <f>'Data &amp; hypothesis Children'!AE155</f>
        <v>0</v>
      </c>
      <c r="AG314" s="1175">
        <f>'Data &amp; hypothesis Children'!AF155</f>
        <v>0</v>
      </c>
      <c r="AH314" s="1415">
        <f>'Data &amp; hypothesis Children'!AG155</f>
        <v>0</v>
      </c>
      <c r="AI314" s="1339">
        <f t="shared" ref="AI314:AI319" si="98">H69</f>
        <v>0</v>
      </c>
      <c r="AJ314" s="1340">
        <f t="shared" ref="AJ314:AJ319" si="99">H85</f>
        <v>0</v>
      </c>
    </row>
    <row r="315" spans="1:36" s="1279" customFormat="1" ht="15" x14ac:dyDescent="0.25">
      <c r="A315" s="1282"/>
      <c r="C315" s="1319" t="str">
        <v>AZT+3TC+NVP</v>
      </c>
      <c r="D315" s="1175">
        <f>'Data &amp; hypothesis Children'!C156</f>
        <v>0</v>
      </c>
      <c r="E315" s="1175">
        <f>'Data &amp; hypothesis Children'!D156</f>
        <v>0</v>
      </c>
      <c r="F315" s="1175">
        <f>'Data &amp; hypothesis Children'!E156</f>
        <v>0</v>
      </c>
      <c r="G315" s="1175">
        <f>'Data &amp; hypothesis Children'!F156</f>
        <v>0</v>
      </c>
      <c r="H315" s="1175">
        <f>'Data &amp; hypothesis Children'!G156</f>
        <v>0</v>
      </c>
      <c r="I315" s="1175">
        <f>'Data &amp; hypothesis Children'!H156</f>
        <v>0</v>
      </c>
      <c r="J315" s="1175">
        <f>'Data &amp; hypothesis Children'!I156</f>
        <v>0</v>
      </c>
      <c r="K315" s="1413">
        <f>'Data &amp; hypothesis Children'!J156</f>
        <v>0</v>
      </c>
      <c r="L315" s="1414">
        <f>'Data &amp; hypothesis Children'!K156</f>
        <v>0</v>
      </c>
      <c r="M315" s="1175" t="str">
        <f>'Data &amp; hypothesis Children'!L156</f>
        <v>X</v>
      </c>
      <c r="N315" s="1175">
        <f>'Data &amp; hypothesis Children'!M156</f>
        <v>0</v>
      </c>
      <c r="O315" s="1175">
        <f>'Data &amp; hypothesis Children'!N156</f>
        <v>0</v>
      </c>
      <c r="P315" s="1175">
        <f>'Data &amp; hypothesis Children'!O156</f>
        <v>0</v>
      </c>
      <c r="Q315" s="1175">
        <f>'Data &amp; hypothesis Children'!P156</f>
        <v>0</v>
      </c>
      <c r="R315" s="1175">
        <f>'Data &amp; hypothesis Children'!Q156</f>
        <v>0</v>
      </c>
      <c r="S315" s="1175">
        <f>'Data &amp; hypothesis Children'!R156</f>
        <v>0</v>
      </c>
      <c r="T315" s="1175">
        <f>'Data &amp; hypothesis Children'!S156</f>
        <v>0</v>
      </c>
      <c r="U315" s="1175">
        <f>'Data &amp; hypothesis Children'!T156</f>
        <v>0</v>
      </c>
      <c r="V315" s="1175">
        <f>'Data &amp; hypothesis Children'!U156</f>
        <v>0</v>
      </c>
      <c r="W315" s="1175">
        <f>'Data &amp; hypothesis Children'!V156</f>
        <v>0</v>
      </c>
      <c r="X315" s="1175">
        <f>'Data &amp; hypothesis Children'!W156</f>
        <v>0</v>
      </c>
      <c r="Y315" s="1175">
        <f>'Data &amp; hypothesis Children'!X156</f>
        <v>0</v>
      </c>
      <c r="Z315" s="1175">
        <f>'Data &amp; hypothesis Children'!Y156</f>
        <v>0</v>
      </c>
      <c r="AA315" s="1175">
        <f>'Data &amp; hypothesis Children'!Z156</f>
        <v>0</v>
      </c>
      <c r="AB315" s="1175">
        <f>'Data &amp; hypothesis Children'!AA156</f>
        <v>0</v>
      </c>
      <c r="AC315" s="1175">
        <f>'Data &amp; hypothesis Children'!AB156</f>
        <v>0</v>
      </c>
      <c r="AD315" s="1175">
        <f>'Data &amp; hypothesis Children'!AC156</f>
        <v>0</v>
      </c>
      <c r="AE315" s="1175">
        <f>'Data &amp; hypothesis Children'!AD156</f>
        <v>0</v>
      </c>
      <c r="AF315" s="1175">
        <f>'Data &amp; hypothesis Children'!AE156</f>
        <v>0</v>
      </c>
      <c r="AG315" s="1175">
        <f>'Data &amp; hypothesis Children'!AF156</f>
        <v>0</v>
      </c>
      <c r="AH315" s="1415">
        <f>'Data &amp; hypothesis Children'!AG156</f>
        <v>0</v>
      </c>
      <c r="AI315" s="1339">
        <f t="shared" si="98"/>
        <v>803.74320000000012</v>
      </c>
      <c r="AJ315" s="1340">
        <f t="shared" si="99"/>
        <v>1004.6790000000001</v>
      </c>
    </row>
    <row r="316" spans="1:36" s="1279" customFormat="1" ht="15" x14ac:dyDescent="0.25">
      <c r="A316" s="1282"/>
      <c r="C316" s="1319" t="str">
        <v>AZT+3TC+EFV</v>
      </c>
      <c r="D316" s="1175">
        <f>'Data &amp; hypothesis Children'!C157</f>
        <v>0</v>
      </c>
      <c r="E316" s="1175">
        <f>'Data &amp; hypothesis Children'!D157</f>
        <v>0</v>
      </c>
      <c r="F316" s="1175">
        <f>'Data &amp; hypothesis Children'!E157</f>
        <v>0</v>
      </c>
      <c r="G316" s="1175">
        <f>'Data &amp; hypothesis Children'!F157</f>
        <v>0</v>
      </c>
      <c r="H316" s="1175">
        <f>'Data &amp; hypothesis Children'!G157</f>
        <v>0</v>
      </c>
      <c r="I316" s="1175">
        <f>'Data &amp; hypothesis Children'!H157</f>
        <v>0</v>
      </c>
      <c r="J316" s="1175">
        <f>'Data &amp; hypothesis Children'!I157</f>
        <v>0</v>
      </c>
      <c r="K316" s="1413">
        <f>'Data &amp; hypothesis Children'!J157</f>
        <v>0</v>
      </c>
      <c r="L316" s="1414">
        <f>'Data &amp; hypothesis Children'!K157</f>
        <v>0</v>
      </c>
      <c r="M316" s="1175">
        <f>'Data &amp; hypothesis Children'!L157</f>
        <v>0</v>
      </c>
      <c r="N316" s="1175">
        <f>'Data &amp; hypothesis Children'!M157</f>
        <v>0</v>
      </c>
      <c r="O316" s="1175" t="str">
        <f>'Data &amp; hypothesis Children'!N157</f>
        <v>X</v>
      </c>
      <c r="P316" s="1175">
        <f>'Data &amp; hypothesis Children'!O157</f>
        <v>0</v>
      </c>
      <c r="Q316" s="1175">
        <f>'Data &amp; hypothesis Children'!P157</f>
        <v>0</v>
      </c>
      <c r="R316" s="1175">
        <f>'Data &amp; hypothesis Children'!Q157</f>
        <v>0</v>
      </c>
      <c r="S316" s="1175">
        <f>'Data &amp; hypothesis Children'!R157</f>
        <v>0</v>
      </c>
      <c r="T316" s="1175">
        <f>'Data &amp; hypothesis Children'!S157</f>
        <v>0</v>
      </c>
      <c r="U316" s="1175">
        <f>'Data &amp; hypothesis Children'!T157</f>
        <v>0</v>
      </c>
      <c r="V316" s="1175">
        <f>'Data &amp; hypothesis Children'!U157</f>
        <v>0</v>
      </c>
      <c r="W316" s="1175">
        <f>'Data &amp; hypothesis Children'!V157</f>
        <v>0</v>
      </c>
      <c r="X316" s="1175">
        <f>'Data &amp; hypothesis Children'!W157</f>
        <v>0</v>
      </c>
      <c r="Y316" s="1175">
        <f>'Data &amp; hypothesis Children'!X157</f>
        <v>0</v>
      </c>
      <c r="Z316" s="1175">
        <f>'Data &amp; hypothesis Children'!Y157</f>
        <v>0</v>
      </c>
      <c r="AA316" s="1175">
        <f>'Data &amp; hypothesis Children'!Z157</f>
        <v>0</v>
      </c>
      <c r="AB316" s="1175">
        <f>'Data &amp; hypothesis Children'!AA157</f>
        <v>0</v>
      </c>
      <c r="AC316" s="1175">
        <f>'Data &amp; hypothesis Children'!AB157</f>
        <v>0</v>
      </c>
      <c r="AD316" s="1175">
        <f>'Data &amp; hypothesis Children'!AC157</f>
        <v>0</v>
      </c>
      <c r="AE316" s="1175">
        <f>'Data &amp; hypothesis Children'!AD157</f>
        <v>0</v>
      </c>
      <c r="AF316" s="1175" t="str">
        <f>'Data &amp; hypothesis Children'!AE157</f>
        <v>X</v>
      </c>
      <c r="AG316" s="1175">
        <f>'Data &amp; hypothesis Children'!AF157</f>
        <v>0</v>
      </c>
      <c r="AH316" s="1415">
        <f>'Data &amp; hypothesis Children'!AG157</f>
        <v>0</v>
      </c>
      <c r="AI316" s="1339">
        <f t="shared" si="98"/>
        <v>19.013279999999998</v>
      </c>
      <c r="AJ316" s="1340">
        <f t="shared" si="99"/>
        <v>23.7666</v>
      </c>
    </row>
    <row r="317" spans="1:36" s="1279" customFormat="1" ht="15" x14ac:dyDescent="0.25">
      <c r="A317" s="1282"/>
      <c r="C317" s="1319" t="str">
        <v>LPV/r+3TC+ABC</v>
      </c>
      <c r="D317" s="1175">
        <f>'Data &amp; hypothesis Children'!C158</f>
        <v>0</v>
      </c>
      <c r="E317" s="1175">
        <f>'Data &amp; hypothesis Children'!D158</f>
        <v>0</v>
      </c>
      <c r="F317" s="1175">
        <f>'Data &amp; hypothesis Children'!E158</f>
        <v>0</v>
      </c>
      <c r="G317" s="1175">
        <f>'Data &amp; hypothesis Children'!F158</f>
        <v>0</v>
      </c>
      <c r="H317" s="1175">
        <f>'Data &amp; hypothesis Children'!G158</f>
        <v>0</v>
      </c>
      <c r="I317" s="1175">
        <f>'Data &amp; hypothesis Children'!H158</f>
        <v>0</v>
      </c>
      <c r="J317" s="1175">
        <f>'Data &amp; hypothesis Children'!I158</f>
        <v>0</v>
      </c>
      <c r="K317" s="1413">
        <f>'Data &amp; hypothesis Children'!J158</f>
        <v>0</v>
      </c>
      <c r="L317" s="1414">
        <f>'Data &amp; hypothesis Children'!K158</f>
        <v>0</v>
      </c>
      <c r="M317" s="1175">
        <f>'Data &amp; hypothesis Children'!L158</f>
        <v>0</v>
      </c>
      <c r="N317" s="1175">
        <f>'Data &amp; hypothesis Children'!M158</f>
        <v>0</v>
      </c>
      <c r="O317" s="1175">
        <f>'Data &amp; hypothesis Children'!N158</f>
        <v>0</v>
      </c>
      <c r="P317" s="1175">
        <f>'Data &amp; hypothesis Children'!O158</f>
        <v>0</v>
      </c>
      <c r="Q317" s="1175">
        <f>'Data &amp; hypothesis Children'!P158</f>
        <v>0</v>
      </c>
      <c r="R317" s="1175">
        <f>'Data &amp; hypothesis Children'!Q158</f>
        <v>0</v>
      </c>
      <c r="S317" s="1175">
        <f>'Data &amp; hypothesis Children'!R158</f>
        <v>0</v>
      </c>
      <c r="T317" s="1175">
        <f>'Data &amp; hypothesis Children'!S158</f>
        <v>0</v>
      </c>
      <c r="U317" s="1175">
        <f>'Data &amp; hypothesis Children'!T158</f>
        <v>0</v>
      </c>
      <c r="V317" s="1175">
        <f>'Data &amp; hypothesis Children'!U158</f>
        <v>0</v>
      </c>
      <c r="W317" s="1175">
        <f>'Data &amp; hypothesis Children'!V158</f>
        <v>0</v>
      </c>
      <c r="X317" s="1175">
        <f>'Data &amp; hypothesis Children'!W158</f>
        <v>0</v>
      </c>
      <c r="Y317" s="1175">
        <f>'Data &amp; hypothesis Children'!X158</f>
        <v>0</v>
      </c>
      <c r="Z317" s="1175">
        <f>'Data &amp; hypothesis Children'!Y158</f>
        <v>0</v>
      </c>
      <c r="AA317" s="1175">
        <f>'Data &amp; hypothesis Children'!Z158</f>
        <v>0</v>
      </c>
      <c r="AB317" s="1175">
        <f>'Data &amp; hypothesis Children'!AA158</f>
        <v>0</v>
      </c>
      <c r="AC317" s="1175">
        <f>'Data &amp; hypothesis Children'!AB158</f>
        <v>0</v>
      </c>
      <c r="AD317" s="1175">
        <f>'Data &amp; hypothesis Children'!AC158</f>
        <v>0</v>
      </c>
      <c r="AE317" s="1175">
        <f>'Data &amp; hypothesis Children'!AD158</f>
        <v>0</v>
      </c>
      <c r="AF317" s="1175">
        <f>'Data &amp; hypothesis Children'!AE158</f>
        <v>0</v>
      </c>
      <c r="AG317" s="1175">
        <f>'Data &amp; hypothesis Children'!AF158</f>
        <v>0</v>
      </c>
      <c r="AH317" s="1415">
        <f>'Data &amp; hypothesis Children'!AG158</f>
        <v>0</v>
      </c>
      <c r="AI317" s="1339">
        <f t="shared" si="98"/>
        <v>14.905800000000001</v>
      </c>
      <c r="AJ317" s="1340">
        <f t="shared" si="99"/>
        <v>22.932000000000006</v>
      </c>
    </row>
    <row r="318" spans="1:36" s="1279" customFormat="1" ht="15" x14ac:dyDescent="0.25">
      <c r="A318" s="1282"/>
      <c r="C318" s="1319" t="str">
        <v>ABC+3TC+NVP</v>
      </c>
      <c r="D318" s="1175">
        <f>'Data &amp; hypothesis Children'!C159</f>
        <v>0</v>
      </c>
      <c r="E318" s="1175">
        <f>'Data &amp; hypothesis Children'!D159</f>
        <v>0</v>
      </c>
      <c r="F318" s="1175">
        <f>'Data &amp; hypothesis Children'!E159</f>
        <v>0</v>
      </c>
      <c r="G318" s="1175">
        <f>'Data &amp; hypothesis Children'!F159</f>
        <v>0</v>
      </c>
      <c r="H318" s="1175">
        <f>'Data &amp; hypothesis Children'!G159</f>
        <v>0</v>
      </c>
      <c r="I318" s="1175">
        <f>'Data &amp; hypothesis Children'!H159</f>
        <v>0</v>
      </c>
      <c r="J318" s="1175">
        <f>'Data &amp; hypothesis Children'!I159</f>
        <v>0</v>
      </c>
      <c r="K318" s="1413">
        <f>'Data &amp; hypothesis Children'!J159</f>
        <v>0</v>
      </c>
      <c r="L318" s="1414">
        <f>'Data &amp; hypothesis Children'!K159</f>
        <v>0</v>
      </c>
      <c r="M318" s="1175">
        <f>'Data &amp; hypothesis Children'!L159</f>
        <v>0</v>
      </c>
      <c r="N318" s="1175">
        <f>'Data &amp; hypothesis Children'!M159</f>
        <v>0</v>
      </c>
      <c r="O318" s="1175">
        <f>'Data &amp; hypothesis Children'!N159</f>
        <v>0</v>
      </c>
      <c r="P318" s="1175">
        <f>'Data &amp; hypothesis Children'!O159</f>
        <v>0</v>
      </c>
      <c r="Q318" s="1175">
        <f>'Data &amp; hypothesis Children'!P159</f>
        <v>0</v>
      </c>
      <c r="R318" s="1175">
        <f>'Data &amp; hypothesis Children'!Q159</f>
        <v>0</v>
      </c>
      <c r="S318" s="1175">
        <f>'Data &amp; hypothesis Children'!R159</f>
        <v>0</v>
      </c>
      <c r="T318" s="1175">
        <f>'Data &amp; hypothesis Children'!S159</f>
        <v>0</v>
      </c>
      <c r="U318" s="1175">
        <f>'Data &amp; hypothesis Children'!T159</f>
        <v>0</v>
      </c>
      <c r="V318" s="1175" t="str">
        <f>'Data &amp; hypothesis Children'!U159</f>
        <v>X</v>
      </c>
      <c r="W318" s="1175">
        <f>'Data &amp; hypothesis Children'!V159</f>
        <v>0</v>
      </c>
      <c r="X318" s="1175">
        <f>'Data &amp; hypothesis Children'!W159</f>
        <v>0</v>
      </c>
      <c r="Y318" s="1175">
        <f>'Data &amp; hypothesis Children'!X159</f>
        <v>0</v>
      </c>
      <c r="Z318" s="1175">
        <f>'Data &amp; hypothesis Children'!Y159</f>
        <v>0</v>
      </c>
      <c r="AA318" s="1175">
        <f>'Data &amp; hypothesis Children'!Z159</f>
        <v>0</v>
      </c>
      <c r="AB318" s="1175">
        <f>'Data &amp; hypothesis Children'!AA159</f>
        <v>0</v>
      </c>
      <c r="AC318" s="1175">
        <f>'Data &amp; hypothesis Children'!AB159</f>
        <v>0</v>
      </c>
      <c r="AD318" s="1175">
        <f>'Data &amp; hypothesis Children'!AC159</f>
        <v>0</v>
      </c>
      <c r="AE318" s="1175" t="str">
        <f>'Data &amp; hypothesis Children'!AD159</f>
        <v>X</v>
      </c>
      <c r="AF318" s="1175">
        <f>'Data &amp; hypothesis Children'!AE159</f>
        <v>0</v>
      </c>
      <c r="AG318" s="1175">
        <f>'Data &amp; hypothesis Children'!AF159</f>
        <v>0</v>
      </c>
      <c r="AH318" s="1415">
        <f>'Data &amp; hypothesis Children'!AG159</f>
        <v>0</v>
      </c>
      <c r="AI318" s="1339">
        <f t="shared" si="98"/>
        <v>6.913920000000001</v>
      </c>
      <c r="AJ318" s="1340">
        <f t="shared" si="99"/>
        <v>8.6424000000000003</v>
      </c>
    </row>
    <row r="319" spans="1:36" s="1279" customFormat="1" ht="15" x14ac:dyDescent="0.25">
      <c r="A319" s="1282"/>
      <c r="C319" s="1319" t="str">
        <v>AZT+3TC+LPV/r</v>
      </c>
      <c r="D319" s="1175">
        <f>'Data &amp; hypothesis Children'!C160</f>
        <v>0</v>
      </c>
      <c r="E319" s="1175">
        <f>'Data &amp; hypothesis Children'!D160</f>
        <v>0</v>
      </c>
      <c r="F319" s="1175">
        <f>'Data &amp; hypothesis Children'!E160</f>
        <v>0</v>
      </c>
      <c r="G319" s="1175">
        <f>'Data &amp; hypothesis Children'!F160</f>
        <v>0</v>
      </c>
      <c r="H319" s="1175">
        <f>'Data &amp; hypothesis Children'!G160</f>
        <v>0</v>
      </c>
      <c r="I319" s="1175">
        <f>'Data &amp; hypothesis Children'!H160</f>
        <v>0</v>
      </c>
      <c r="J319" s="1175">
        <f>'Data &amp; hypothesis Children'!I160</f>
        <v>0</v>
      </c>
      <c r="K319" s="1413">
        <f>'Data &amp; hypothesis Children'!J160</f>
        <v>0</v>
      </c>
      <c r="L319" s="1414">
        <f>'Data &amp; hypothesis Children'!K160</f>
        <v>0</v>
      </c>
      <c r="M319" s="1175">
        <f>'Data &amp; hypothesis Children'!L160</f>
        <v>0</v>
      </c>
      <c r="N319" s="1175">
        <f>'Data &amp; hypothesis Children'!M160</f>
        <v>0</v>
      </c>
      <c r="O319" s="1175" t="str">
        <f>'Data &amp; hypothesis Children'!N160</f>
        <v>X</v>
      </c>
      <c r="P319" s="1175">
        <f>'Data &amp; hypothesis Children'!O160</f>
        <v>0</v>
      </c>
      <c r="Q319" s="1175">
        <f>'Data &amp; hypothesis Children'!P160</f>
        <v>0</v>
      </c>
      <c r="R319" s="1175">
        <f>'Data &amp; hypothesis Children'!Q160</f>
        <v>0</v>
      </c>
      <c r="S319" s="1175">
        <f>'Data &amp; hypothesis Children'!R160</f>
        <v>0</v>
      </c>
      <c r="T319" s="1175">
        <f>'Data &amp; hypothesis Children'!S160</f>
        <v>0</v>
      </c>
      <c r="U319" s="1175">
        <f>'Data &amp; hypothesis Children'!T160</f>
        <v>0</v>
      </c>
      <c r="V319" s="1175">
        <f>'Data &amp; hypothesis Children'!U160</f>
        <v>0</v>
      </c>
      <c r="W319" s="1175">
        <f>'Data &amp; hypothesis Children'!V160</f>
        <v>0</v>
      </c>
      <c r="X319" s="1175">
        <f>'Data &amp; hypothesis Children'!W160</f>
        <v>0</v>
      </c>
      <c r="Y319" s="1175">
        <f>'Data &amp; hypothesis Children'!X160</f>
        <v>0</v>
      </c>
      <c r="Z319" s="1175">
        <f>'Data &amp; hypothesis Children'!Y160</f>
        <v>0</v>
      </c>
      <c r="AA319" s="1175">
        <f>'Data &amp; hypothesis Children'!Z160</f>
        <v>0</v>
      </c>
      <c r="AB319" s="1175">
        <f>'Data &amp; hypothesis Children'!AA160</f>
        <v>0</v>
      </c>
      <c r="AC319" s="1175">
        <f>'Data &amp; hypothesis Children'!AB160</f>
        <v>0</v>
      </c>
      <c r="AD319" s="1175">
        <f>'Data &amp; hypothesis Children'!AC160</f>
        <v>0</v>
      </c>
      <c r="AE319" s="1175">
        <f>'Data &amp; hypothesis Children'!AD160</f>
        <v>0</v>
      </c>
      <c r="AF319" s="1175">
        <f>'Data &amp; hypothesis Children'!AE160</f>
        <v>0</v>
      </c>
      <c r="AG319" s="1175">
        <f>'Data &amp; hypothesis Children'!AF160</f>
        <v>0</v>
      </c>
      <c r="AH319" s="1415" t="str">
        <f>'Data &amp; hypothesis Children'!AG160</f>
        <v>X</v>
      </c>
      <c r="AI319" s="1339">
        <f t="shared" si="98"/>
        <v>225.68988000000004</v>
      </c>
      <c r="AJ319" s="1340">
        <f t="shared" si="99"/>
        <v>339.23760000000004</v>
      </c>
    </row>
    <row r="320" spans="1:36" s="1279" customFormat="1" x14ac:dyDescent="0.2">
      <c r="A320" s="1282"/>
      <c r="C320" s="1296" t="str">
        <f>'TRAD-Children YEAR(1)'!$B$117</f>
        <v>Deuxièmes lignes</v>
      </c>
      <c r="D320" s="1410"/>
      <c r="E320" s="1410"/>
      <c r="F320" s="1410"/>
      <c r="G320" s="1410"/>
      <c r="H320" s="1410"/>
      <c r="I320" s="1410"/>
      <c r="J320" s="1410"/>
      <c r="K320" s="1411"/>
      <c r="L320" s="1412"/>
      <c r="M320" s="1410"/>
      <c r="N320" s="1410"/>
      <c r="O320" s="1410"/>
      <c r="P320" s="1410"/>
      <c r="Q320" s="1410"/>
      <c r="R320" s="1410"/>
      <c r="S320" s="1410"/>
      <c r="T320" s="1410"/>
      <c r="U320" s="1410"/>
      <c r="V320" s="1410"/>
      <c r="W320" s="1410"/>
      <c r="X320" s="1410"/>
      <c r="Y320" s="1410"/>
      <c r="Z320" s="1410"/>
      <c r="AA320" s="1410"/>
      <c r="AB320" s="1410"/>
      <c r="AC320" s="1410"/>
      <c r="AD320" s="1410"/>
      <c r="AE320" s="1410"/>
      <c r="AF320" s="1410"/>
      <c r="AG320" s="1410"/>
      <c r="AH320" s="1416"/>
      <c r="AI320" s="1339"/>
      <c r="AJ320" s="1340"/>
    </row>
    <row r="321" spans="1:36" s="1279" customFormat="1" ht="15" x14ac:dyDescent="0.25">
      <c r="A321" s="1282"/>
      <c r="C321" s="1301" t="str">
        <f t="array" ref="C321:C324">'Data &amp; hypothesis Children'!$C$32:$C$35</f>
        <v>ABC+3TC+EFV</v>
      </c>
      <c r="D321" s="1175">
        <f>'Data &amp; hypothesis Children'!C162</f>
        <v>0</v>
      </c>
      <c r="E321" s="1175">
        <f>'Data &amp; hypothesis Children'!D162</f>
        <v>0</v>
      </c>
      <c r="F321" s="1175">
        <f>'Data &amp; hypothesis Children'!E162</f>
        <v>0</v>
      </c>
      <c r="G321" s="1175">
        <f>'Data &amp; hypothesis Children'!F162</f>
        <v>0</v>
      </c>
      <c r="H321" s="1175">
        <f>'Data &amp; hypothesis Children'!G162</f>
        <v>0</v>
      </c>
      <c r="I321" s="1175">
        <f>'Data &amp; hypothesis Children'!H162</f>
        <v>0</v>
      </c>
      <c r="J321" s="1175" t="str">
        <f>'Data &amp; hypothesis Children'!I162</f>
        <v>X</v>
      </c>
      <c r="K321" s="1413">
        <f>'Data &amp; hypothesis Children'!J162</f>
        <v>0</v>
      </c>
      <c r="L321" s="1414">
        <f>'Data &amp; hypothesis Children'!K162</f>
        <v>0</v>
      </c>
      <c r="M321" s="1175">
        <f>'Data &amp; hypothesis Children'!L162</f>
        <v>0</v>
      </c>
      <c r="N321" s="1175">
        <f>'Data &amp; hypothesis Children'!M162</f>
        <v>0</v>
      </c>
      <c r="O321" s="1175">
        <f>'Data &amp; hypothesis Children'!N162</f>
        <v>0</v>
      </c>
      <c r="P321" s="1175">
        <f>'Data &amp; hypothesis Children'!O162</f>
        <v>0</v>
      </c>
      <c r="Q321" s="1175">
        <f>'Data &amp; hypothesis Children'!P162</f>
        <v>0</v>
      </c>
      <c r="R321" s="1175">
        <f>'Data &amp; hypothesis Children'!Q162</f>
        <v>0</v>
      </c>
      <c r="S321" s="1175">
        <f>'Data &amp; hypothesis Children'!R162</f>
        <v>0</v>
      </c>
      <c r="T321" s="1175">
        <f>'Data &amp; hypothesis Children'!S162</f>
        <v>0</v>
      </c>
      <c r="U321" s="1175">
        <f>'Data &amp; hypothesis Children'!T162</f>
        <v>0</v>
      </c>
      <c r="V321" s="1175" t="str">
        <f>'Data &amp; hypothesis Children'!U162</f>
        <v>X</v>
      </c>
      <c r="W321" s="1175">
        <f>'Data &amp; hypothesis Children'!V162</f>
        <v>0</v>
      </c>
      <c r="X321" s="1175">
        <f>'Data &amp; hypothesis Children'!W162</f>
        <v>0</v>
      </c>
      <c r="Y321" s="1175">
        <f>'Data &amp; hypothesis Children'!X162</f>
        <v>0</v>
      </c>
      <c r="Z321" s="1175">
        <f>'Data &amp; hypothesis Children'!Y162</f>
        <v>0</v>
      </c>
      <c r="AA321" s="1175">
        <f>'Data &amp; hypothesis Children'!Z162</f>
        <v>0</v>
      </c>
      <c r="AB321" s="1175">
        <f>'Data &amp; hypothesis Children'!AA162</f>
        <v>0</v>
      </c>
      <c r="AC321" s="1175">
        <f>'Data &amp; hypothesis Children'!AB162</f>
        <v>0</v>
      </c>
      <c r="AD321" s="1175">
        <f>'Data &amp; hypothesis Children'!AC162</f>
        <v>0</v>
      </c>
      <c r="AE321" s="1175">
        <f>'Data &amp; hypothesis Children'!AD162</f>
        <v>0</v>
      </c>
      <c r="AF321" s="1175" t="str">
        <f>'Data &amp; hypothesis Children'!AE162</f>
        <v>X</v>
      </c>
      <c r="AG321" s="1175">
        <f>'Data &amp; hypothesis Children'!AF162</f>
        <v>0</v>
      </c>
      <c r="AH321" s="1415">
        <f>'Data &amp; hypothesis Children'!AG162</f>
        <v>0</v>
      </c>
      <c r="AI321" s="1339">
        <f>H75</f>
        <v>17.341895999999998</v>
      </c>
      <c r="AJ321" s="1340">
        <f>H91</f>
        <v>24.685439999999996</v>
      </c>
    </row>
    <row r="322" spans="1:36" s="1279" customFormat="1" ht="15" x14ac:dyDescent="0.25">
      <c r="A322" s="1282"/>
      <c r="C322" s="1301" t="str">
        <v>TDF+3TC+LPV/r</v>
      </c>
      <c r="D322" s="1175">
        <f>'Data &amp; hypothesis Children'!C163</f>
        <v>0</v>
      </c>
      <c r="E322" s="1175">
        <f>'Data &amp; hypothesis Children'!D163</f>
        <v>0</v>
      </c>
      <c r="F322" s="1175">
        <f>'Data &amp; hypothesis Children'!E163</f>
        <v>0</v>
      </c>
      <c r="G322" s="1175">
        <f>'Data &amp; hypothesis Children'!F163</f>
        <v>0</v>
      </c>
      <c r="H322" s="1175">
        <f>'Data &amp; hypothesis Children'!G163</f>
        <v>0</v>
      </c>
      <c r="I322" s="1175">
        <f>'Data &amp; hypothesis Children'!H163</f>
        <v>0</v>
      </c>
      <c r="J322" s="1175" t="str">
        <f>'Data &amp; hypothesis Children'!I163</f>
        <v>X</v>
      </c>
      <c r="K322" s="1413">
        <f>'Data &amp; hypothesis Children'!J163</f>
        <v>0</v>
      </c>
      <c r="L322" s="1414">
        <f>'Data &amp; hypothesis Children'!K163</f>
        <v>0</v>
      </c>
      <c r="M322" s="1175">
        <f>'Data &amp; hypothesis Children'!L163</f>
        <v>0</v>
      </c>
      <c r="N322" s="1175">
        <f>'Data &amp; hypothesis Children'!M163</f>
        <v>0</v>
      </c>
      <c r="O322" s="1175" t="str">
        <f>'Data &amp; hypothesis Children'!N163</f>
        <v>X</v>
      </c>
      <c r="P322" s="1175">
        <f>'Data &amp; hypothesis Children'!O163</f>
        <v>0</v>
      </c>
      <c r="Q322" s="1175">
        <f>'Data &amp; hypothesis Children'!P163</f>
        <v>0</v>
      </c>
      <c r="R322" s="1175">
        <f>'Data &amp; hypothesis Children'!Q163</f>
        <v>0</v>
      </c>
      <c r="S322" s="1175">
        <f>'Data &amp; hypothesis Children'!R163</f>
        <v>0</v>
      </c>
      <c r="T322" s="1175">
        <f>'Data &amp; hypothesis Children'!S163</f>
        <v>0</v>
      </c>
      <c r="U322" s="1175">
        <f>'Data &amp; hypothesis Children'!T163</f>
        <v>0</v>
      </c>
      <c r="V322" s="1175">
        <f>'Data &amp; hypothesis Children'!U163</f>
        <v>0</v>
      </c>
      <c r="W322" s="1175">
        <f>'Data &amp; hypothesis Children'!V163</f>
        <v>0</v>
      </c>
      <c r="X322" s="1175">
        <f>'Data &amp; hypothesis Children'!W163</f>
        <v>0</v>
      </c>
      <c r="Y322" s="1175">
        <f>'Data &amp; hypothesis Children'!X163</f>
        <v>0</v>
      </c>
      <c r="Z322" s="1175">
        <f>'Data &amp; hypothesis Children'!Y163</f>
        <v>0</v>
      </c>
      <c r="AA322" s="1175">
        <f>'Data &amp; hypothesis Children'!Z163</f>
        <v>0</v>
      </c>
      <c r="AB322" s="1175">
        <f>'Data &amp; hypothesis Children'!AA163</f>
        <v>0</v>
      </c>
      <c r="AC322" s="1175">
        <f>'Data &amp; hypothesis Children'!AB163</f>
        <v>0</v>
      </c>
      <c r="AD322" s="1175">
        <f>'Data &amp; hypothesis Children'!AC163</f>
        <v>0</v>
      </c>
      <c r="AE322" s="1175">
        <f>'Data &amp; hypothesis Children'!AD163</f>
        <v>0</v>
      </c>
      <c r="AF322" s="1175">
        <f>'Data &amp; hypothesis Children'!AE163</f>
        <v>0</v>
      </c>
      <c r="AG322" s="1175">
        <f>'Data &amp; hypothesis Children'!AF163</f>
        <v>0</v>
      </c>
      <c r="AH322" s="1415" t="str">
        <f>'Data &amp; hypothesis Children'!AG163</f>
        <v>X</v>
      </c>
      <c r="AI322" s="1339">
        <f t="shared" ref="AI322:AI323" si="100">H76</f>
        <v>2.0855951999999998</v>
      </c>
      <c r="AJ322" s="1340">
        <f t="shared" ref="AJ322:AJ323" si="101">H92</f>
        <v>3.2086079999999995</v>
      </c>
    </row>
    <row r="323" spans="1:36" s="1279" customFormat="1" ht="15" x14ac:dyDescent="0.25">
      <c r="A323" s="1282"/>
      <c r="C323" s="1301" t="str">
        <v>AZT+3TC+EFV</v>
      </c>
      <c r="D323" s="1175">
        <f>'Data &amp; hypothesis Children'!C164</f>
        <v>0</v>
      </c>
      <c r="E323" s="1175">
        <f>'Data &amp; hypothesis Children'!D164</f>
        <v>0</v>
      </c>
      <c r="F323" s="1175">
        <f>'Data &amp; hypothesis Children'!E164</f>
        <v>0</v>
      </c>
      <c r="G323" s="1175">
        <f>'Data &amp; hypothesis Children'!F164</f>
        <v>0</v>
      </c>
      <c r="H323" s="1175">
        <f>'Data &amp; hypothesis Children'!G164</f>
        <v>0</v>
      </c>
      <c r="I323" s="1175">
        <f>'Data &amp; hypothesis Children'!H164</f>
        <v>0</v>
      </c>
      <c r="J323" s="1175">
        <f>'Data &amp; hypothesis Children'!I164</f>
        <v>0</v>
      </c>
      <c r="K323" s="1413">
        <f>'Data &amp; hypothesis Children'!J164</f>
        <v>0</v>
      </c>
      <c r="L323" s="1414">
        <f>'Data &amp; hypothesis Children'!K164</f>
        <v>0</v>
      </c>
      <c r="M323" s="1175">
        <f>'Data &amp; hypothesis Children'!L164</f>
        <v>0</v>
      </c>
      <c r="N323" s="1175">
        <f>'Data &amp; hypothesis Children'!M164</f>
        <v>0</v>
      </c>
      <c r="O323" s="1175">
        <f>'Data &amp; hypothesis Children'!N164</f>
        <v>0</v>
      </c>
      <c r="P323" s="1175">
        <f>'Data &amp; hypothesis Children'!O164</f>
        <v>0</v>
      </c>
      <c r="Q323" s="1175">
        <f>'Data &amp; hypothesis Children'!P164</f>
        <v>0</v>
      </c>
      <c r="R323" s="1175">
        <f>'Data &amp; hypothesis Children'!Q164</f>
        <v>0</v>
      </c>
      <c r="S323" s="1175">
        <f>'Data &amp; hypothesis Children'!R164</f>
        <v>0</v>
      </c>
      <c r="T323" s="1175">
        <f>'Data &amp; hypothesis Children'!S164</f>
        <v>0</v>
      </c>
      <c r="U323" s="1175">
        <f>'Data &amp; hypothesis Children'!T164</f>
        <v>0</v>
      </c>
      <c r="V323" s="1175">
        <f>'Data &amp; hypothesis Children'!U164</f>
        <v>0</v>
      </c>
      <c r="W323" s="1175">
        <f>'Data &amp; hypothesis Children'!V164</f>
        <v>0</v>
      </c>
      <c r="X323" s="1175">
        <f>'Data &amp; hypothesis Children'!W164</f>
        <v>0</v>
      </c>
      <c r="Y323" s="1175">
        <f>'Data &amp; hypothesis Children'!X164</f>
        <v>0</v>
      </c>
      <c r="Z323" s="1175">
        <f>'Data &amp; hypothesis Children'!Y164</f>
        <v>0</v>
      </c>
      <c r="AA323" s="1175">
        <f>'Data &amp; hypothesis Children'!Z164</f>
        <v>0</v>
      </c>
      <c r="AB323" s="1175">
        <f>'Data &amp; hypothesis Children'!AA164</f>
        <v>0</v>
      </c>
      <c r="AC323" s="1175">
        <f>'Data &amp; hypothesis Children'!AB164</f>
        <v>0</v>
      </c>
      <c r="AD323" s="1175">
        <f>'Data &amp; hypothesis Children'!AC164</f>
        <v>0</v>
      </c>
      <c r="AE323" s="1175">
        <f>'Data &amp; hypothesis Children'!AD164</f>
        <v>0</v>
      </c>
      <c r="AF323" s="1175">
        <f>'Data &amp; hypothesis Children'!AE164</f>
        <v>0</v>
      </c>
      <c r="AG323" s="1175">
        <f>'Data &amp; hypothesis Children'!AF164</f>
        <v>0</v>
      </c>
      <c r="AH323" s="1415">
        <f>'Data &amp; hypothesis Children'!AG164</f>
        <v>0</v>
      </c>
      <c r="AI323" s="1339">
        <f t="shared" si="100"/>
        <v>0.52139879999999994</v>
      </c>
      <c r="AJ323" s="1340">
        <f t="shared" si="101"/>
        <v>0.80215199999999987</v>
      </c>
    </row>
    <row r="324" spans="1:36" s="1279" customFormat="1" ht="15.75" thickBot="1" x14ac:dyDescent="0.3">
      <c r="A324" s="1282"/>
      <c r="C324" s="1301">
        <v>0</v>
      </c>
      <c r="D324" s="1175">
        <f>'Data &amp; hypothesis Children'!C165</f>
        <v>0</v>
      </c>
      <c r="E324" s="1175">
        <f>'Data &amp; hypothesis Children'!D165</f>
        <v>0</v>
      </c>
      <c r="F324" s="1175">
        <f>'Data &amp; hypothesis Children'!E165</f>
        <v>0</v>
      </c>
      <c r="G324" s="1175">
        <f>'Data &amp; hypothesis Children'!F165</f>
        <v>0</v>
      </c>
      <c r="H324" s="1175">
        <f>'Data &amp; hypothesis Children'!G165</f>
        <v>0</v>
      </c>
      <c r="I324" s="1175">
        <f>'Data &amp; hypothesis Children'!H165</f>
        <v>0</v>
      </c>
      <c r="J324" s="1175">
        <f>'Data &amp; hypothesis Children'!I165</f>
        <v>0</v>
      </c>
      <c r="K324" s="1413">
        <f>'Data &amp; hypothesis Children'!J165</f>
        <v>0</v>
      </c>
      <c r="L324" s="1417">
        <f>'Data &amp; hypothesis Children'!K165</f>
        <v>0</v>
      </c>
      <c r="M324" s="1418">
        <f>'Data &amp; hypothesis Children'!L165</f>
        <v>0</v>
      </c>
      <c r="N324" s="1418">
        <f>'Data &amp; hypothesis Children'!M165</f>
        <v>0</v>
      </c>
      <c r="O324" s="1418">
        <f>'Data &amp; hypothesis Children'!N165</f>
        <v>0</v>
      </c>
      <c r="P324" s="1418">
        <f>'Data &amp; hypothesis Children'!O165</f>
        <v>0</v>
      </c>
      <c r="Q324" s="1418">
        <f>'Data &amp; hypothesis Children'!P165</f>
        <v>0</v>
      </c>
      <c r="R324" s="1418">
        <f>'Data &amp; hypothesis Children'!Q165</f>
        <v>0</v>
      </c>
      <c r="S324" s="1418">
        <f>'Data &amp; hypothesis Children'!R165</f>
        <v>0</v>
      </c>
      <c r="T324" s="1418">
        <f>'Data &amp; hypothesis Children'!S165</f>
        <v>0</v>
      </c>
      <c r="U324" s="1418">
        <f>'Data &amp; hypothesis Children'!T165</f>
        <v>0</v>
      </c>
      <c r="V324" s="1418">
        <f>'Data &amp; hypothesis Children'!U165</f>
        <v>0</v>
      </c>
      <c r="W324" s="1418">
        <f>'Data &amp; hypothesis Children'!V165</f>
        <v>0</v>
      </c>
      <c r="X324" s="1418">
        <f>'Data &amp; hypothesis Children'!W165</f>
        <v>0</v>
      </c>
      <c r="Y324" s="1418">
        <f>'Data &amp; hypothesis Children'!X165</f>
        <v>0</v>
      </c>
      <c r="Z324" s="1418">
        <f>'Data &amp; hypothesis Children'!Y165</f>
        <v>0</v>
      </c>
      <c r="AA324" s="1418">
        <f>'Data &amp; hypothesis Children'!Z165</f>
        <v>0</v>
      </c>
      <c r="AB324" s="1418">
        <f>'Data &amp; hypothesis Children'!AA165</f>
        <v>0</v>
      </c>
      <c r="AC324" s="1418">
        <f>'Data &amp; hypothesis Children'!AB165</f>
        <v>0</v>
      </c>
      <c r="AD324" s="1418">
        <f>'Data &amp; hypothesis Children'!AC165</f>
        <v>0</v>
      </c>
      <c r="AE324" s="1418">
        <f>'Data &amp; hypothesis Children'!AD165</f>
        <v>0</v>
      </c>
      <c r="AF324" s="1418">
        <f>'Data &amp; hypothesis Children'!AE165</f>
        <v>0</v>
      </c>
      <c r="AG324" s="1418">
        <f>'Data &amp; hypothesis Children'!AF165</f>
        <v>0</v>
      </c>
      <c r="AH324" s="1419">
        <f>'Data &amp; hypothesis Children'!AG165</f>
        <v>0</v>
      </c>
      <c r="AI324" s="1339">
        <f>H78</f>
        <v>0</v>
      </c>
      <c r="AJ324" s="1340">
        <f>H94</f>
        <v>0</v>
      </c>
    </row>
    <row r="325" spans="1:36" s="1304" customFormat="1" ht="26.25" thickBot="1" x14ac:dyDescent="0.25">
      <c r="A325" s="1303"/>
      <c r="C325" s="1305" t="str">
        <f>'TRAD-Children YEAR(1)'!B118</f>
        <v>Nb de patients-mois / produit - SANS SS</v>
      </c>
      <c r="D325" s="1306">
        <f t="shared" ref="D325:AE325" si="102">SUMIF(D314:D324, "X", $AI314:$AI324)</f>
        <v>0</v>
      </c>
      <c r="E325" s="1306">
        <f t="shared" si="102"/>
        <v>0</v>
      </c>
      <c r="F325" s="1306">
        <f t="shared" si="102"/>
        <v>0</v>
      </c>
      <c r="G325" s="1306">
        <f t="shared" si="102"/>
        <v>0</v>
      </c>
      <c r="H325" s="1306">
        <f t="shared" si="102"/>
        <v>0</v>
      </c>
      <c r="I325" s="1306">
        <f t="shared" si="102"/>
        <v>0</v>
      </c>
      <c r="J325" s="1306">
        <f t="shared" si="102"/>
        <v>19.427491199999999</v>
      </c>
      <c r="K325" s="1307">
        <f t="shared" si="102"/>
        <v>0</v>
      </c>
      <c r="L325" s="1308">
        <f t="shared" si="102"/>
        <v>0</v>
      </c>
      <c r="M325" s="1306">
        <f t="shared" si="102"/>
        <v>803.74320000000012</v>
      </c>
      <c r="N325" s="1306">
        <f t="shared" si="102"/>
        <v>0</v>
      </c>
      <c r="O325" s="1306">
        <f t="shared" si="102"/>
        <v>246.78875520000005</v>
      </c>
      <c r="P325" s="1306">
        <f t="shared" si="102"/>
        <v>0</v>
      </c>
      <c r="Q325" s="1306">
        <f t="shared" si="102"/>
        <v>0</v>
      </c>
      <c r="R325" s="1306">
        <f t="shared" si="102"/>
        <v>0</v>
      </c>
      <c r="S325" s="1306">
        <f t="shared" si="102"/>
        <v>0</v>
      </c>
      <c r="T325" s="1306">
        <f t="shared" si="102"/>
        <v>0</v>
      </c>
      <c r="U325" s="1306">
        <f t="shared" si="102"/>
        <v>0</v>
      </c>
      <c r="V325" s="1306">
        <f t="shared" si="102"/>
        <v>24.255815999999999</v>
      </c>
      <c r="W325" s="1306">
        <f t="shared" si="102"/>
        <v>0</v>
      </c>
      <c r="X325" s="1306">
        <f t="shared" si="102"/>
        <v>0</v>
      </c>
      <c r="Y325" s="1306">
        <f t="shared" si="102"/>
        <v>0</v>
      </c>
      <c r="Z325" s="1306">
        <f t="shared" si="102"/>
        <v>0</v>
      </c>
      <c r="AA325" s="1306">
        <f t="shared" si="102"/>
        <v>0</v>
      </c>
      <c r="AB325" s="1306">
        <f t="shared" si="102"/>
        <v>0</v>
      </c>
      <c r="AC325" s="1306">
        <f t="shared" si="102"/>
        <v>0</v>
      </c>
      <c r="AD325" s="1306">
        <f t="shared" si="102"/>
        <v>0</v>
      </c>
      <c r="AE325" s="1306">
        <f t="shared" si="102"/>
        <v>6.913920000000001</v>
      </c>
      <c r="AF325" s="1306">
        <f t="shared" ref="AF325" si="103">SUMIF(AF314:AF324, "X", $AI314:$AI324)</f>
        <v>36.355176</v>
      </c>
      <c r="AG325" s="1306">
        <f>SUMIF(AG314:AG324, "X", $AI314:$AI324)</f>
        <v>0</v>
      </c>
      <c r="AH325" s="1306">
        <f>SUMIF(AH314:$AH$324, "X", $AI314:$AI324)</f>
        <v>227.77547520000005</v>
      </c>
    </row>
    <row r="326" spans="1:36" s="1304" customFormat="1" ht="26.25" thickBot="1" x14ac:dyDescent="0.25">
      <c r="A326" s="1303"/>
      <c r="C326" s="1305" t="str">
        <f>'TRAD-Children YEAR(1)'!B119</f>
        <v>Nb de patients-mois / produit - AVEC SS</v>
      </c>
      <c r="D326" s="1309">
        <f t="shared" ref="D326:AG326" si="104">SUMIF(D314:D324, "X", $AJ314:$AJ324)</f>
        <v>0</v>
      </c>
      <c r="E326" s="1309">
        <f t="shared" si="104"/>
        <v>0</v>
      </c>
      <c r="F326" s="1309">
        <f t="shared" si="104"/>
        <v>0</v>
      </c>
      <c r="G326" s="1309">
        <f t="shared" si="104"/>
        <v>0</v>
      </c>
      <c r="H326" s="1309">
        <f t="shared" si="104"/>
        <v>0</v>
      </c>
      <c r="I326" s="1309">
        <f t="shared" si="104"/>
        <v>0</v>
      </c>
      <c r="J326" s="1309">
        <f t="shared" si="104"/>
        <v>27.894047999999994</v>
      </c>
      <c r="K326" s="1310">
        <f t="shared" si="104"/>
        <v>0</v>
      </c>
      <c r="L326" s="1311">
        <f t="shared" si="104"/>
        <v>0</v>
      </c>
      <c r="M326" s="1309">
        <f t="shared" si="104"/>
        <v>1004.6790000000001</v>
      </c>
      <c r="N326" s="1309">
        <f t="shared" si="104"/>
        <v>0</v>
      </c>
      <c r="O326" s="1309">
        <f t="shared" si="104"/>
        <v>366.21280800000005</v>
      </c>
      <c r="P326" s="1309">
        <f t="shared" si="104"/>
        <v>0</v>
      </c>
      <c r="Q326" s="1309">
        <f t="shared" si="104"/>
        <v>0</v>
      </c>
      <c r="R326" s="1309">
        <f t="shared" si="104"/>
        <v>0</v>
      </c>
      <c r="S326" s="1309">
        <f t="shared" si="104"/>
        <v>0</v>
      </c>
      <c r="T326" s="1309">
        <f t="shared" si="104"/>
        <v>0</v>
      </c>
      <c r="U326" s="1309">
        <f t="shared" si="104"/>
        <v>0</v>
      </c>
      <c r="V326" s="1309">
        <f t="shared" si="104"/>
        <v>33.327839999999995</v>
      </c>
      <c r="W326" s="1309">
        <f t="shared" si="104"/>
        <v>0</v>
      </c>
      <c r="X326" s="1309">
        <f t="shared" si="104"/>
        <v>0</v>
      </c>
      <c r="Y326" s="1309">
        <f t="shared" si="104"/>
        <v>0</v>
      </c>
      <c r="Z326" s="1309">
        <f t="shared" si="104"/>
        <v>0</v>
      </c>
      <c r="AA326" s="1309">
        <f t="shared" si="104"/>
        <v>0</v>
      </c>
      <c r="AB326" s="1309">
        <f t="shared" si="104"/>
        <v>0</v>
      </c>
      <c r="AC326" s="1309">
        <f t="shared" si="104"/>
        <v>0</v>
      </c>
      <c r="AD326" s="1309">
        <f t="shared" si="104"/>
        <v>0</v>
      </c>
      <c r="AE326" s="1309">
        <f t="shared" si="104"/>
        <v>8.6424000000000003</v>
      </c>
      <c r="AF326" s="1309">
        <f t="shared" si="104"/>
        <v>48.452039999999997</v>
      </c>
      <c r="AG326" s="1309">
        <f t="shared" si="104"/>
        <v>0</v>
      </c>
      <c r="AH326" s="1309">
        <f>SUMIF(AH314:$AH$324, "X", $AJ314:$AJ324)</f>
        <v>342.44620800000007</v>
      </c>
    </row>
    <row r="327" spans="1:36" s="1304" customFormat="1" ht="26.25" thickBot="1" x14ac:dyDescent="0.25">
      <c r="A327" s="1303"/>
      <c r="C327" s="1305" t="str">
        <f>'TRAD-Children YEAR(1)'!B120</f>
        <v>Nb de cdt - Estimation période SANS SS</v>
      </c>
      <c r="D327" s="1312">
        <f t="shared" ref="D327:AH327" si="105">D325*D312</f>
        <v>0</v>
      </c>
      <c r="E327" s="1312">
        <f t="shared" si="105"/>
        <v>0</v>
      </c>
      <c r="F327" s="1312">
        <f t="shared" si="105"/>
        <v>0</v>
      </c>
      <c r="G327" s="1312">
        <f t="shared" si="105"/>
        <v>0</v>
      </c>
      <c r="H327" s="1312">
        <f t="shared" si="105"/>
        <v>0</v>
      </c>
      <c r="I327" s="1312">
        <f t="shared" si="105"/>
        <v>0</v>
      </c>
      <c r="J327" s="1312">
        <f t="shared" si="105"/>
        <v>42.092897599999993</v>
      </c>
      <c r="K327" s="1313">
        <f t="shared" si="105"/>
        <v>0</v>
      </c>
      <c r="L327" s="1314">
        <f t="shared" si="105"/>
        <v>0</v>
      </c>
      <c r="M327" s="1312">
        <f t="shared" si="105"/>
        <v>2009.3580000000002</v>
      </c>
      <c r="N327" s="1312">
        <f t="shared" si="105"/>
        <v>0</v>
      </c>
      <c r="O327" s="1312">
        <f t="shared" si="105"/>
        <v>616.97188800000015</v>
      </c>
      <c r="P327" s="1312">
        <f t="shared" si="105"/>
        <v>0</v>
      </c>
      <c r="Q327" s="1312">
        <f t="shared" si="105"/>
        <v>0</v>
      </c>
      <c r="R327" s="1312">
        <f t="shared" ref="R327" si="106">R325*R312</f>
        <v>0</v>
      </c>
      <c r="S327" s="1312">
        <f t="shared" si="105"/>
        <v>0</v>
      </c>
      <c r="T327" s="1312">
        <f t="shared" si="105"/>
        <v>0</v>
      </c>
      <c r="U327" s="1312">
        <f t="shared" si="105"/>
        <v>0</v>
      </c>
      <c r="V327" s="1312">
        <f t="shared" si="105"/>
        <v>60.639539999999997</v>
      </c>
      <c r="W327" s="1312">
        <f t="shared" ref="W327:Y327" si="107">W325*W312</f>
        <v>0</v>
      </c>
      <c r="X327" s="1312">
        <f t="shared" ref="X327" si="108">X325*X312</f>
        <v>0</v>
      </c>
      <c r="Y327" s="1312">
        <f t="shared" si="107"/>
        <v>0</v>
      </c>
      <c r="Z327" s="1312">
        <f t="shared" ref="Z327:AF327" si="109">Z325*Z312</f>
        <v>0</v>
      </c>
      <c r="AA327" s="1312">
        <f t="shared" si="109"/>
        <v>0</v>
      </c>
      <c r="AB327" s="1312">
        <f t="shared" si="109"/>
        <v>0</v>
      </c>
      <c r="AC327" s="1312">
        <f t="shared" si="109"/>
        <v>0</v>
      </c>
      <c r="AD327" s="1312">
        <f t="shared" si="109"/>
        <v>0</v>
      </c>
      <c r="AE327" s="1312">
        <f t="shared" ref="AE327" si="110">AE325*AE312</f>
        <v>17.284800000000004</v>
      </c>
      <c r="AF327" s="1312">
        <f t="shared" si="109"/>
        <v>54.532764</v>
      </c>
      <c r="AG327" s="1312">
        <f t="shared" si="105"/>
        <v>0</v>
      </c>
      <c r="AH327" s="1312">
        <f t="shared" si="105"/>
        <v>455.55095040000009</v>
      </c>
    </row>
    <row r="328" spans="1:36" s="1304" customFormat="1" ht="26.25" thickBot="1" x14ac:dyDescent="0.25">
      <c r="A328" s="1303"/>
      <c r="C328" s="1305" t="str">
        <f>'TRAD-Children YEAR(1)'!B121</f>
        <v>Nb de cdt - Estimation période AVEC SS</v>
      </c>
      <c r="D328" s="1315">
        <f t="shared" ref="D328:AH328" si="111">D326*D312</f>
        <v>0</v>
      </c>
      <c r="E328" s="1315">
        <f t="shared" si="111"/>
        <v>0</v>
      </c>
      <c r="F328" s="1315">
        <f t="shared" si="111"/>
        <v>0</v>
      </c>
      <c r="G328" s="1315">
        <f t="shared" si="111"/>
        <v>0</v>
      </c>
      <c r="H328" s="1315">
        <f t="shared" si="111"/>
        <v>0</v>
      </c>
      <c r="I328" s="1315">
        <f t="shared" si="111"/>
        <v>0</v>
      </c>
      <c r="J328" s="1315">
        <f t="shared" si="111"/>
        <v>60.437103999999984</v>
      </c>
      <c r="K328" s="1316">
        <f t="shared" si="111"/>
        <v>0</v>
      </c>
      <c r="L328" s="1317">
        <f t="shared" si="111"/>
        <v>0</v>
      </c>
      <c r="M328" s="1315">
        <f t="shared" si="111"/>
        <v>2511.6975000000002</v>
      </c>
      <c r="N328" s="1315">
        <f t="shared" si="111"/>
        <v>0</v>
      </c>
      <c r="O328" s="1315">
        <f t="shared" si="111"/>
        <v>915.5320200000001</v>
      </c>
      <c r="P328" s="1315">
        <f t="shared" si="111"/>
        <v>0</v>
      </c>
      <c r="Q328" s="1315">
        <f t="shared" si="111"/>
        <v>0</v>
      </c>
      <c r="R328" s="1315">
        <f t="shared" ref="R328" si="112">R326*R312</f>
        <v>0</v>
      </c>
      <c r="S328" s="1315">
        <f t="shared" si="111"/>
        <v>0</v>
      </c>
      <c r="T328" s="1315">
        <f t="shared" si="111"/>
        <v>0</v>
      </c>
      <c r="U328" s="1315">
        <f t="shared" si="111"/>
        <v>0</v>
      </c>
      <c r="V328" s="1315">
        <f t="shared" si="111"/>
        <v>83.31959999999998</v>
      </c>
      <c r="W328" s="1315">
        <f t="shared" ref="W328:Y328" si="113">W326*W312</f>
        <v>0</v>
      </c>
      <c r="X328" s="1315">
        <f t="shared" ref="X328" si="114">X326*X312</f>
        <v>0</v>
      </c>
      <c r="Y328" s="1315">
        <f t="shared" si="113"/>
        <v>0</v>
      </c>
      <c r="Z328" s="1315">
        <f t="shared" ref="Z328:AF328" si="115">Z326*Z312</f>
        <v>0</v>
      </c>
      <c r="AA328" s="1315">
        <f t="shared" si="115"/>
        <v>0</v>
      </c>
      <c r="AB328" s="1315">
        <f t="shared" si="115"/>
        <v>0</v>
      </c>
      <c r="AC328" s="1315">
        <f t="shared" si="115"/>
        <v>0</v>
      </c>
      <c r="AD328" s="1315">
        <f t="shared" si="115"/>
        <v>0</v>
      </c>
      <c r="AE328" s="1315">
        <f t="shared" ref="AE328" si="116">AE326*AE312</f>
        <v>21.606000000000002</v>
      </c>
      <c r="AF328" s="1315">
        <f t="shared" si="115"/>
        <v>72.678059999999988</v>
      </c>
      <c r="AG328" s="1315">
        <f t="shared" si="111"/>
        <v>0</v>
      </c>
      <c r="AH328" s="1315">
        <f t="shared" si="111"/>
        <v>684.89241600000014</v>
      </c>
    </row>
    <row r="329" spans="1:36" s="1279" customFormat="1" x14ac:dyDescent="0.2">
      <c r="A329" s="1282"/>
    </row>
    <row r="330" spans="1:36" s="1279" customFormat="1" ht="13.5" thickBot="1" x14ac:dyDescent="0.25">
      <c r="A330" s="1282"/>
    </row>
    <row r="331" spans="1:36" s="1279" customFormat="1" ht="13.5" thickBot="1" x14ac:dyDescent="0.25">
      <c r="A331" s="1282"/>
      <c r="B331" s="1283" t="str">
        <f>'TRAD-Children YEAR(1)'!B127</f>
        <v>Tranche 20 - 24,9 kg</v>
      </c>
      <c r="C331" s="1284"/>
      <c r="D331" s="1285"/>
      <c r="E331" s="1285"/>
      <c r="F331" s="1285"/>
      <c r="G331" s="1285"/>
      <c r="H331" s="1285"/>
      <c r="I331" s="1286"/>
    </row>
    <row r="332" spans="1:36" s="1279" customFormat="1" ht="13.5" thickBot="1" x14ac:dyDescent="0.25">
      <c r="A332" s="1282"/>
      <c r="B332" s="1323"/>
      <c r="C332" s="1324"/>
      <c r="D332" s="1325"/>
      <c r="E332" s="1325"/>
      <c r="F332" s="1325"/>
      <c r="G332" s="1325"/>
      <c r="H332" s="1325"/>
      <c r="I332" s="1325"/>
    </row>
    <row r="333" spans="1:36" s="1279" customFormat="1" ht="26.25" thickBot="1" x14ac:dyDescent="0.25">
      <c r="A333" s="1282"/>
      <c r="D333" s="1287" t="str">
        <f>'TRAD-Children YEAR(1)'!B90</f>
        <v>Solutions buvables</v>
      </c>
      <c r="E333" s="1288"/>
      <c r="F333" s="1288"/>
      <c r="G333" s="1288"/>
      <c r="H333" s="1288"/>
      <c r="I333" s="1288"/>
      <c r="J333" s="1284"/>
      <c r="K333" s="1284"/>
      <c r="L333" s="1289" t="str">
        <f>'TRAD-Children YEAR(1)'!B91</f>
        <v>Comprimés</v>
      </c>
      <c r="M333" s="1284"/>
      <c r="N333" s="1284"/>
      <c r="O333" s="1284"/>
      <c r="P333" s="1284"/>
      <c r="Q333" s="1284"/>
      <c r="R333" s="1284"/>
      <c r="S333" s="1284"/>
      <c r="T333" s="1284"/>
      <c r="U333" s="1284"/>
      <c r="V333" s="1284"/>
      <c r="W333" s="1945"/>
      <c r="X333" s="1945"/>
      <c r="Y333" s="1945"/>
      <c r="Z333" s="1284"/>
      <c r="AA333" s="1284"/>
      <c r="AB333" s="1284"/>
      <c r="AC333" s="1284"/>
      <c r="AD333" s="1284"/>
      <c r="AE333" s="1284"/>
      <c r="AF333" s="1284"/>
      <c r="AG333" s="1284"/>
      <c r="AH333" s="1284"/>
    </row>
    <row r="334" spans="1:36" s="1292" customFormat="1" ht="38.25" x14ac:dyDescent="0.2">
      <c r="A334" s="1291"/>
      <c r="C334" s="1332" t="str">
        <f>'TRAD-Children YEAR(1)'!B113</f>
        <v>Nb de boites / mois pour l'ensemble des patients</v>
      </c>
      <c r="D334" s="1975" t="str">
        <f t="array" ref="D334:AH335">'Data &amp; hypothesis Children'!$C$116:$AG$117</f>
        <v>AZT</v>
      </c>
      <c r="E334" s="1975" t="str">
        <v>D4T</v>
      </c>
      <c r="F334" s="1975" t="str">
        <v>3TC</v>
      </c>
      <c r="G334" s="1975" t="str">
        <v>ABC</v>
      </c>
      <c r="H334" s="1975" t="str">
        <v>DDI</v>
      </c>
      <c r="I334" s="1975" t="str">
        <v>NVP</v>
      </c>
      <c r="J334" s="1975" t="str">
        <v>EFV</v>
      </c>
      <c r="K334" s="1976" t="str">
        <v>LPV/r</v>
      </c>
      <c r="L334" s="1423" t="str">
        <v>AZT+ 3TC+ NVP adulte</v>
      </c>
      <c r="M334" s="1424" t="str">
        <v>AZT+ 3TC+ NVP bébé</v>
      </c>
      <c r="N334" s="1424" t="str">
        <v>AZT+ 3TC adulte</v>
      </c>
      <c r="O334" s="1424" t="str">
        <v>AZT+ 3TC bébé</v>
      </c>
      <c r="P334" s="1424" t="str">
        <v>D4T+ 3TC+ NVP adulte</v>
      </c>
      <c r="Q334" s="1424" t="str">
        <v>D4T+ 3TC+ NVP bébé</v>
      </c>
      <c r="R334" s="1424" t="str">
        <v>D4T+ 3TC bébé</v>
      </c>
      <c r="S334" s="1424" t="str">
        <v>AZT+ 3TC+ ABC adulte</v>
      </c>
      <c r="T334" s="1424" t="str">
        <v>AZT+ 3TC+ ABC bébé</v>
      </c>
      <c r="U334" s="1424" t="str">
        <v>ABC+ 3TC adulte</v>
      </c>
      <c r="V334" s="1424" t="str">
        <v>ABC+ 3TC bébé</v>
      </c>
      <c r="W334" s="1977" t="str">
        <v>TDF+ FTC/3TC+ EFV adulte</v>
      </c>
      <c r="X334" s="1977" t="str">
        <v>TDF+ FTC/3TC adulte</v>
      </c>
      <c r="Y334" s="1977" t="str">
        <v>TDF adulte</v>
      </c>
      <c r="Z334" s="1964" t="str">
        <v>3TC adulte</v>
      </c>
      <c r="AA334" s="1424" t="str">
        <v>ABC adulte</v>
      </c>
      <c r="AB334" s="1424" t="str">
        <v>ABC bébé</v>
      </c>
      <c r="AC334" s="1424" t="str">
        <v>DDI adulte</v>
      </c>
      <c r="AD334" s="1964" t="str">
        <v>NVP adulte</v>
      </c>
      <c r="AE334" s="1965" t="str">
        <v>NVP bébé</v>
      </c>
      <c r="AF334" s="1964" t="str">
        <v>EFV enfant</v>
      </c>
      <c r="AG334" s="1424" t="str">
        <v>LPV/r adulte</v>
      </c>
      <c r="AH334" s="1425" t="str">
        <v>LPV/r enfant</v>
      </c>
    </row>
    <row r="335" spans="1:36" s="1292" customFormat="1" ht="77.25" thickBot="1" x14ac:dyDescent="0.25">
      <c r="A335" s="1291"/>
      <c r="C335" s="1332" t="str">
        <f>'TRAD-Children YEAR(1)'!B114</f>
        <v>Dosage</v>
      </c>
      <c r="D335" s="1975" t="str">
        <v>10 mg/mL</v>
      </c>
      <c r="E335" s="1975" t="str">
        <v>10 mg/mL</v>
      </c>
      <c r="F335" s="1975" t="str">
        <v>10 mg/mL</v>
      </c>
      <c r="G335" s="1975" t="str">
        <v>20 mg/mL</v>
      </c>
      <c r="H335" s="1975" t="str">
        <v>2 g</v>
      </c>
      <c r="I335" s="1975" t="str">
        <v>10 mg/mL</v>
      </c>
      <c r="J335" s="1975" t="str">
        <v>30 mg/mL</v>
      </c>
      <c r="K335" s="1976" t="str">
        <v>80/20 mg/mL</v>
      </c>
      <c r="L335" s="1423" t="str">
        <v>300/150/200 mg</v>
      </c>
      <c r="M335" s="1424" t="str">
        <v>60/30/50 mg</v>
      </c>
      <c r="N335" s="1424" t="str">
        <v>300/150 mg</v>
      </c>
      <c r="O335" s="1424" t="str">
        <v>60/30 mg</v>
      </c>
      <c r="P335" s="1424" t="str">
        <v>30/150/200 mg</v>
      </c>
      <c r="Q335" s="1424" t="str">
        <v>6/30/50 mg</v>
      </c>
      <c r="R335" s="1424" t="str">
        <v>6/30 mg</v>
      </c>
      <c r="S335" s="1424" t="str">
        <v>300/150/300 mg</v>
      </c>
      <c r="T335" s="1424" t="str">
        <v>60/30/60 mg</v>
      </c>
      <c r="U335" s="1424" t="str">
        <v>600/300 mg</v>
      </c>
      <c r="V335" s="1424" t="str">
        <v>60/30 mg</v>
      </c>
      <c r="W335" s="1424" t="str">
        <v>300/200/600 mg</v>
      </c>
      <c r="X335" s="1424" t="str">
        <v>300/200 mg</v>
      </c>
      <c r="Y335" s="1424" t="str">
        <v>300 mg</v>
      </c>
      <c r="Z335" s="1424" t="str">
        <v>150 mg</v>
      </c>
      <c r="AA335" s="1424" t="str">
        <v>300 mg</v>
      </c>
      <c r="AB335" s="1424" t="str">
        <v>60 mg</v>
      </c>
      <c r="AC335" s="1424" t="str">
        <v>250 mg</v>
      </c>
      <c r="AD335" s="1424" t="str">
        <v>200 mg</v>
      </c>
      <c r="AE335" s="1424" t="str">
        <v>50 mg</v>
      </c>
      <c r="AF335" s="1424" t="str">
        <v>200 mg</v>
      </c>
      <c r="AG335" s="1424" t="str">
        <v>200/50 mg</v>
      </c>
      <c r="AH335" s="1425" t="str">
        <v>100/25 mg</v>
      </c>
      <c r="AI335" s="1320" t="str">
        <f>'TRAD-Children YEAR(1)'!B126</f>
        <v>Répartition des patients mois / tranches de poids</v>
      </c>
    </row>
    <row r="336" spans="1:36" s="1279" customFormat="1" ht="26.25" thickBot="1" x14ac:dyDescent="0.25">
      <c r="A336" s="1282"/>
      <c r="C336" s="1332" t="str">
        <f>'TRAD-Children YEAR(1)'!B115</f>
        <v>Nb de cdt/mois pour la tranche</v>
      </c>
      <c r="D336" s="1404">
        <f t="array" ref="D336:AH336">TRANSPOSE($G$224:$G$254)</f>
        <v>0</v>
      </c>
      <c r="E336" s="1404">
        <v>0</v>
      </c>
      <c r="F336" s="1404">
        <v>0</v>
      </c>
      <c r="G336" s="1404">
        <v>0</v>
      </c>
      <c r="H336" s="1404">
        <v>0</v>
      </c>
      <c r="I336" s="1404">
        <v>0</v>
      </c>
      <c r="J336" s="1404">
        <v>2.5</v>
      </c>
      <c r="K336" s="1405">
        <v>3</v>
      </c>
      <c r="L336" s="1406">
        <v>1</v>
      </c>
      <c r="M336" s="1407">
        <v>3</v>
      </c>
      <c r="N336" s="1407">
        <v>1</v>
      </c>
      <c r="O336" s="1407">
        <v>3</v>
      </c>
      <c r="P336" s="1407">
        <v>1</v>
      </c>
      <c r="Q336" s="1407">
        <v>3</v>
      </c>
      <c r="R336" s="1407">
        <v>3</v>
      </c>
      <c r="S336" s="1407">
        <v>1</v>
      </c>
      <c r="T336" s="1407">
        <v>3</v>
      </c>
      <c r="U336" s="1407">
        <v>1</v>
      </c>
      <c r="V336" s="1407">
        <v>3</v>
      </c>
      <c r="W336" s="1407">
        <v>1</v>
      </c>
      <c r="X336" s="1407">
        <v>1</v>
      </c>
      <c r="Y336" s="1407">
        <v>1</v>
      </c>
      <c r="Z336" s="1407">
        <v>1</v>
      </c>
      <c r="AA336" s="1407">
        <v>1</v>
      </c>
      <c r="AB336" s="1407">
        <v>3</v>
      </c>
      <c r="AC336" s="1407">
        <v>1</v>
      </c>
      <c r="AD336" s="1407">
        <v>1</v>
      </c>
      <c r="AE336" s="1407">
        <v>3</v>
      </c>
      <c r="AF336" s="1407">
        <v>1.5</v>
      </c>
      <c r="AG336" s="1407">
        <v>0.5</v>
      </c>
      <c r="AH336" s="1407">
        <v>2</v>
      </c>
      <c r="AI336" s="1338" t="s">
        <v>661</v>
      </c>
      <c r="AJ336" s="1281"/>
    </row>
    <row r="337" spans="1:36" s="1279" customFormat="1" ht="63.75" x14ac:dyDescent="0.2">
      <c r="A337" s="1282"/>
      <c r="B337" s="1293" t="str">
        <f>'TRAD-Children YEAR(1)'!B6</f>
        <v>Schéma thérapeutique</v>
      </c>
      <c r="C337" s="1332" t="str">
        <f>'TRAD-Children YEAR(1)'!B116</f>
        <v>Premières lignes</v>
      </c>
      <c r="D337" s="1297"/>
      <c r="E337" s="1297"/>
      <c r="F337" s="1297"/>
      <c r="G337" s="1297"/>
      <c r="H337" s="1297"/>
      <c r="I337" s="1297"/>
      <c r="J337" s="1297"/>
      <c r="K337" s="1298"/>
      <c r="L337" s="1299"/>
      <c r="M337" s="1297"/>
      <c r="N337" s="1297"/>
      <c r="O337" s="1297"/>
      <c r="P337" s="1297"/>
      <c r="Q337" s="1297"/>
      <c r="R337" s="1297"/>
      <c r="S337" s="1297"/>
      <c r="T337" s="1297"/>
      <c r="U337" s="1297"/>
      <c r="V337" s="1297"/>
      <c r="W337" s="1297"/>
      <c r="X337" s="1297"/>
      <c r="Y337" s="1297"/>
      <c r="Z337" s="1297"/>
      <c r="AA337" s="1297"/>
      <c r="AB337" s="1297"/>
      <c r="AC337" s="1297"/>
      <c r="AD337" s="1297"/>
      <c r="AE337" s="1297"/>
      <c r="AF337" s="1297"/>
      <c r="AG337" s="1297"/>
      <c r="AH337" s="1297"/>
      <c r="AI337" s="1318" t="str">
        <f>'TRAD-Children YEAR(1)'!B122</f>
        <v>nb de patients mois période quantifiée</v>
      </c>
      <c r="AJ337" s="1318" t="str">
        <f>'TRAD-Children YEAR(1)'!B123</f>
        <v>nb de patients mois avec période de sécurité</v>
      </c>
    </row>
    <row r="338" spans="1:36" s="1279" customFormat="1" ht="15" x14ac:dyDescent="0.25">
      <c r="A338" s="1282"/>
      <c r="C338" s="1319" t="str">
        <f t="array" ref="C338:C343">'Data &amp; hypothesis Children'!$C$26:$C$31</f>
        <v>D4T+3TC+NVP</v>
      </c>
      <c r="D338" s="1175">
        <f>'Data &amp; hypothesis Children'!C173</f>
        <v>0</v>
      </c>
      <c r="E338" s="1175">
        <f>'Data &amp; hypothesis Children'!D173</f>
        <v>0</v>
      </c>
      <c r="F338" s="1175">
        <f>'Data &amp; hypothesis Children'!E173</f>
        <v>0</v>
      </c>
      <c r="G338" s="1175">
        <f>'Data &amp; hypothesis Children'!F173</f>
        <v>0</v>
      </c>
      <c r="H338" s="1175">
        <f>'Data &amp; hypothesis Children'!G173</f>
        <v>0</v>
      </c>
      <c r="I338" s="1175">
        <f>'Data &amp; hypothesis Children'!H173</f>
        <v>0</v>
      </c>
      <c r="J338" s="1175">
        <f>'Data &amp; hypothesis Children'!I173</f>
        <v>0</v>
      </c>
      <c r="K338" s="1413">
        <f>'Data &amp; hypothesis Children'!J173</f>
        <v>0</v>
      </c>
      <c r="L338" s="1414">
        <f>'Data &amp; hypothesis Children'!K173</f>
        <v>0</v>
      </c>
      <c r="M338" s="1175">
        <f>'Data &amp; hypothesis Children'!L173</f>
        <v>0</v>
      </c>
      <c r="N338" s="1175">
        <f>'Data &amp; hypothesis Children'!M173</f>
        <v>0</v>
      </c>
      <c r="O338" s="1175">
        <f>'Data &amp; hypothesis Children'!N173</f>
        <v>0</v>
      </c>
      <c r="P338" s="1175">
        <f>'Data &amp; hypothesis Children'!O173</f>
        <v>0</v>
      </c>
      <c r="Q338" s="1175">
        <f>'Data &amp; hypothesis Children'!P173</f>
        <v>0</v>
      </c>
      <c r="R338" s="1175">
        <f>'Data &amp; hypothesis Children'!Q173</f>
        <v>0</v>
      </c>
      <c r="S338" s="1175">
        <f>'Data &amp; hypothesis Children'!R173</f>
        <v>0</v>
      </c>
      <c r="T338" s="1175">
        <f>'Data &amp; hypothesis Children'!S173</f>
        <v>0</v>
      </c>
      <c r="U338" s="1175">
        <f>'Data &amp; hypothesis Children'!T173</f>
        <v>0</v>
      </c>
      <c r="V338" s="1175">
        <f>'Data &amp; hypothesis Children'!U173</f>
        <v>0</v>
      </c>
      <c r="W338" s="1175">
        <f>'Data &amp; hypothesis Children'!V173</f>
        <v>0</v>
      </c>
      <c r="X338" s="1175">
        <f>'Data &amp; hypothesis Children'!W173</f>
        <v>0</v>
      </c>
      <c r="Y338" s="1175">
        <f>'Data &amp; hypothesis Children'!X173</f>
        <v>0</v>
      </c>
      <c r="Z338" s="1175">
        <f>'Data &amp; hypothesis Children'!Y173</f>
        <v>0</v>
      </c>
      <c r="AA338" s="1175">
        <f>'Data &amp; hypothesis Children'!Z173</f>
        <v>0</v>
      </c>
      <c r="AB338" s="1175">
        <f>'Data &amp; hypothesis Children'!AA173</f>
        <v>0</v>
      </c>
      <c r="AC338" s="1175">
        <f>'Data &amp; hypothesis Children'!AB173</f>
        <v>0</v>
      </c>
      <c r="AD338" s="1175">
        <f>'Data &amp; hypothesis Children'!AC173</f>
        <v>0</v>
      </c>
      <c r="AE338" s="1175">
        <f>'Data &amp; hypothesis Children'!AD173</f>
        <v>0</v>
      </c>
      <c r="AF338" s="1175">
        <f>'Data &amp; hypothesis Children'!AE173</f>
        <v>0</v>
      </c>
      <c r="AG338" s="1175">
        <f>'Data &amp; hypothesis Children'!AF173</f>
        <v>0</v>
      </c>
      <c r="AH338" s="1415">
        <f>'Data &amp; hypothesis Children'!AG173</f>
        <v>0</v>
      </c>
      <c r="AI338" s="1339">
        <f t="shared" ref="AI338:AI343" si="117">I69</f>
        <v>0</v>
      </c>
      <c r="AJ338" s="1340">
        <f t="shared" ref="AJ338:AJ343" si="118">I85</f>
        <v>0</v>
      </c>
    </row>
    <row r="339" spans="1:36" s="1279" customFormat="1" ht="15" x14ac:dyDescent="0.25">
      <c r="A339" s="1282"/>
      <c r="C339" s="1319" t="str">
        <v>AZT+3TC+NVP</v>
      </c>
      <c r="D339" s="1175">
        <f>'Data &amp; hypothesis Children'!C174</f>
        <v>0</v>
      </c>
      <c r="E339" s="1175">
        <f>'Data &amp; hypothesis Children'!D174</f>
        <v>0</v>
      </c>
      <c r="F339" s="1175">
        <f>'Data &amp; hypothesis Children'!E174</f>
        <v>0</v>
      </c>
      <c r="G339" s="1175">
        <f>'Data &amp; hypothesis Children'!F174</f>
        <v>0</v>
      </c>
      <c r="H339" s="1175">
        <f>'Data &amp; hypothesis Children'!G174</f>
        <v>0</v>
      </c>
      <c r="I339" s="1175">
        <f>'Data &amp; hypothesis Children'!H174</f>
        <v>0</v>
      </c>
      <c r="J339" s="1175">
        <f>'Data &amp; hypothesis Children'!I174</f>
        <v>0</v>
      </c>
      <c r="K339" s="1413">
        <f>'Data &amp; hypothesis Children'!J174</f>
        <v>0</v>
      </c>
      <c r="L339" s="1414">
        <f>'Data &amp; hypothesis Children'!K174</f>
        <v>0</v>
      </c>
      <c r="M339" s="1175" t="str">
        <f>'Data &amp; hypothesis Children'!L174</f>
        <v>X</v>
      </c>
      <c r="N339" s="1175">
        <f>'Data &amp; hypothesis Children'!M174</f>
        <v>0</v>
      </c>
      <c r="O339" s="1175">
        <f>'Data &amp; hypothesis Children'!N174</f>
        <v>0</v>
      </c>
      <c r="P339" s="1175">
        <f>'Data &amp; hypothesis Children'!O174</f>
        <v>0</v>
      </c>
      <c r="Q339" s="1175">
        <f>'Data &amp; hypothesis Children'!P174</f>
        <v>0</v>
      </c>
      <c r="R339" s="1175">
        <f>'Data &amp; hypothesis Children'!Q174</f>
        <v>0</v>
      </c>
      <c r="S339" s="1175">
        <f>'Data &amp; hypothesis Children'!R174</f>
        <v>0</v>
      </c>
      <c r="T339" s="1175">
        <f>'Data &amp; hypothesis Children'!S174</f>
        <v>0</v>
      </c>
      <c r="U339" s="1175">
        <f>'Data &amp; hypothesis Children'!T174</f>
        <v>0</v>
      </c>
      <c r="V339" s="1175">
        <f>'Data &amp; hypothesis Children'!U174</f>
        <v>0</v>
      </c>
      <c r="W339" s="1175">
        <f>'Data &amp; hypothesis Children'!V174</f>
        <v>0</v>
      </c>
      <c r="X339" s="1175">
        <f>'Data &amp; hypothesis Children'!W174</f>
        <v>0</v>
      </c>
      <c r="Y339" s="1175">
        <f>'Data &amp; hypothesis Children'!X174</f>
        <v>0</v>
      </c>
      <c r="Z339" s="1175">
        <f>'Data &amp; hypothesis Children'!Y174</f>
        <v>0</v>
      </c>
      <c r="AA339" s="1175">
        <f>'Data &amp; hypothesis Children'!Z174</f>
        <v>0</v>
      </c>
      <c r="AB339" s="1175">
        <f>'Data &amp; hypothesis Children'!AA174</f>
        <v>0</v>
      </c>
      <c r="AC339" s="1175">
        <f>'Data &amp; hypothesis Children'!AB174</f>
        <v>0</v>
      </c>
      <c r="AD339" s="1175">
        <f>'Data &amp; hypothesis Children'!AC174</f>
        <v>0</v>
      </c>
      <c r="AE339" s="1175">
        <f>'Data &amp; hypothesis Children'!AD174</f>
        <v>0</v>
      </c>
      <c r="AF339" s="1175">
        <f>'Data &amp; hypothesis Children'!AE174</f>
        <v>0</v>
      </c>
      <c r="AG339" s="1175">
        <f>'Data &amp; hypothesis Children'!AF174</f>
        <v>0</v>
      </c>
      <c r="AH339" s="1415">
        <f>'Data &amp; hypothesis Children'!AG174</f>
        <v>0</v>
      </c>
      <c r="AI339" s="1339">
        <f t="shared" si="117"/>
        <v>741.91679999999997</v>
      </c>
      <c r="AJ339" s="1340">
        <f t="shared" si="118"/>
        <v>927.39599999999996</v>
      </c>
    </row>
    <row r="340" spans="1:36" s="1279" customFormat="1" ht="15" x14ac:dyDescent="0.25">
      <c r="A340" s="1282"/>
      <c r="C340" s="1319" t="str">
        <v>AZT+3TC+EFV</v>
      </c>
      <c r="D340" s="1175">
        <f>'Data &amp; hypothesis Children'!C175</f>
        <v>0</v>
      </c>
      <c r="E340" s="1175">
        <f>'Data &amp; hypothesis Children'!D175</f>
        <v>0</v>
      </c>
      <c r="F340" s="1175">
        <f>'Data &amp; hypothesis Children'!E175</f>
        <v>0</v>
      </c>
      <c r="G340" s="1175">
        <f>'Data &amp; hypothesis Children'!F175</f>
        <v>0</v>
      </c>
      <c r="H340" s="1175">
        <f>'Data &amp; hypothesis Children'!G175</f>
        <v>0</v>
      </c>
      <c r="I340" s="1175">
        <f>'Data &amp; hypothesis Children'!H175</f>
        <v>0</v>
      </c>
      <c r="J340" s="1175">
        <f>'Data &amp; hypothesis Children'!I175</f>
        <v>0</v>
      </c>
      <c r="K340" s="1413">
        <f>'Data &amp; hypothesis Children'!J175</f>
        <v>0</v>
      </c>
      <c r="L340" s="1414">
        <f>'Data &amp; hypothesis Children'!K175</f>
        <v>0</v>
      </c>
      <c r="M340" s="1175">
        <f>'Data &amp; hypothesis Children'!L175</f>
        <v>0</v>
      </c>
      <c r="N340" s="1175">
        <f>'Data &amp; hypothesis Children'!M175</f>
        <v>0</v>
      </c>
      <c r="O340" s="1175" t="str">
        <f>'Data &amp; hypothesis Children'!N175</f>
        <v>X</v>
      </c>
      <c r="P340" s="1175">
        <f>'Data &amp; hypothesis Children'!O175</f>
        <v>0</v>
      </c>
      <c r="Q340" s="1175">
        <f>'Data &amp; hypothesis Children'!P175</f>
        <v>0</v>
      </c>
      <c r="R340" s="1175">
        <f>'Data &amp; hypothesis Children'!Q175</f>
        <v>0</v>
      </c>
      <c r="S340" s="1175">
        <f>'Data &amp; hypothesis Children'!R175</f>
        <v>0</v>
      </c>
      <c r="T340" s="1175">
        <f>'Data &amp; hypothesis Children'!S175</f>
        <v>0</v>
      </c>
      <c r="U340" s="1175">
        <f>'Data &amp; hypothesis Children'!T175</f>
        <v>0</v>
      </c>
      <c r="V340" s="1175">
        <f>'Data &amp; hypothesis Children'!U175</f>
        <v>0</v>
      </c>
      <c r="W340" s="1175">
        <f>'Data &amp; hypothesis Children'!V175</f>
        <v>0</v>
      </c>
      <c r="X340" s="1175">
        <f>'Data &amp; hypothesis Children'!W175</f>
        <v>0</v>
      </c>
      <c r="Y340" s="1175">
        <f>'Data &amp; hypothesis Children'!X175</f>
        <v>0</v>
      </c>
      <c r="Z340" s="1175">
        <f>'Data &amp; hypothesis Children'!Y175</f>
        <v>0</v>
      </c>
      <c r="AA340" s="1175">
        <f>'Data &amp; hypothesis Children'!Z175</f>
        <v>0</v>
      </c>
      <c r="AB340" s="1175">
        <f>'Data &amp; hypothesis Children'!AA175</f>
        <v>0</v>
      </c>
      <c r="AC340" s="1175">
        <f>'Data &amp; hypothesis Children'!AB175</f>
        <v>0</v>
      </c>
      <c r="AD340" s="1175">
        <f>'Data &amp; hypothesis Children'!AC175</f>
        <v>0</v>
      </c>
      <c r="AE340" s="1175">
        <f>'Data &amp; hypothesis Children'!AD175</f>
        <v>0</v>
      </c>
      <c r="AF340" s="1175" t="str">
        <f>'Data &amp; hypothesis Children'!AE175</f>
        <v>X</v>
      </c>
      <c r="AG340" s="1175">
        <f>'Data &amp; hypothesis Children'!AF175</f>
        <v>0</v>
      </c>
      <c r="AH340" s="1415">
        <f>'Data &amp; hypothesis Children'!AG175</f>
        <v>0</v>
      </c>
      <c r="AI340" s="1339">
        <f t="shared" si="117"/>
        <v>17.550719999999995</v>
      </c>
      <c r="AJ340" s="1340">
        <f t="shared" si="118"/>
        <v>21.938399999999998</v>
      </c>
    </row>
    <row r="341" spans="1:36" s="1279" customFormat="1" ht="15" x14ac:dyDescent="0.25">
      <c r="A341" s="1282"/>
      <c r="C341" s="1319" t="str">
        <v>LPV/r+3TC+ABC</v>
      </c>
      <c r="D341" s="1175">
        <f>'Data &amp; hypothesis Children'!C176</f>
        <v>0</v>
      </c>
      <c r="E341" s="1175">
        <f>'Data &amp; hypothesis Children'!D176</f>
        <v>0</v>
      </c>
      <c r="F341" s="1175">
        <f>'Data &amp; hypothesis Children'!E176</f>
        <v>0</v>
      </c>
      <c r="G341" s="1175">
        <f>'Data &amp; hypothesis Children'!F176</f>
        <v>0</v>
      </c>
      <c r="H341" s="1175">
        <f>'Data &amp; hypothesis Children'!G176</f>
        <v>0</v>
      </c>
      <c r="I341" s="1175">
        <f>'Data &amp; hypothesis Children'!H176</f>
        <v>0</v>
      </c>
      <c r="J341" s="1175">
        <f>'Data &amp; hypothesis Children'!I176</f>
        <v>0</v>
      </c>
      <c r="K341" s="1413">
        <f>'Data &amp; hypothesis Children'!J176</f>
        <v>0</v>
      </c>
      <c r="L341" s="1414">
        <f>'Data &amp; hypothesis Children'!K176</f>
        <v>0</v>
      </c>
      <c r="M341" s="1175">
        <f>'Data &amp; hypothesis Children'!L176</f>
        <v>0</v>
      </c>
      <c r="N341" s="1175">
        <f>'Data &amp; hypothesis Children'!M176</f>
        <v>0</v>
      </c>
      <c r="O341" s="1175">
        <f>'Data &amp; hypothesis Children'!N176</f>
        <v>0</v>
      </c>
      <c r="P341" s="1175">
        <f>'Data &amp; hypothesis Children'!O176</f>
        <v>0</v>
      </c>
      <c r="Q341" s="1175">
        <f>'Data &amp; hypothesis Children'!P176</f>
        <v>0</v>
      </c>
      <c r="R341" s="1175">
        <f>'Data &amp; hypothesis Children'!Q176</f>
        <v>0</v>
      </c>
      <c r="S341" s="1175">
        <f>'Data &amp; hypothesis Children'!R176</f>
        <v>0</v>
      </c>
      <c r="T341" s="1175">
        <f>'Data &amp; hypothesis Children'!S176</f>
        <v>0</v>
      </c>
      <c r="U341" s="1175">
        <f>'Data &amp; hypothesis Children'!T176</f>
        <v>0</v>
      </c>
      <c r="V341" s="1175">
        <f>'Data &amp; hypothesis Children'!U176</f>
        <v>0</v>
      </c>
      <c r="W341" s="1175">
        <f>'Data &amp; hypothesis Children'!V176</f>
        <v>0</v>
      </c>
      <c r="X341" s="1175">
        <f>'Data &amp; hypothesis Children'!W176</f>
        <v>0</v>
      </c>
      <c r="Y341" s="1175">
        <f>'Data &amp; hypothesis Children'!X176</f>
        <v>0</v>
      </c>
      <c r="Z341" s="1175">
        <f>'Data &amp; hypothesis Children'!Y176</f>
        <v>0</v>
      </c>
      <c r="AA341" s="1175">
        <f>'Data &amp; hypothesis Children'!Z176</f>
        <v>0</v>
      </c>
      <c r="AB341" s="1175">
        <f>'Data &amp; hypothesis Children'!AA176</f>
        <v>0</v>
      </c>
      <c r="AC341" s="1175">
        <f>'Data &amp; hypothesis Children'!AB176</f>
        <v>0</v>
      </c>
      <c r="AD341" s="1175">
        <f>'Data &amp; hypothesis Children'!AC176</f>
        <v>0</v>
      </c>
      <c r="AE341" s="1175">
        <f>'Data &amp; hypothesis Children'!AD176</f>
        <v>0</v>
      </c>
      <c r="AF341" s="1175">
        <f>'Data &amp; hypothesis Children'!AE176</f>
        <v>0</v>
      </c>
      <c r="AG341" s="1175">
        <f>'Data &amp; hypothesis Children'!AF176</f>
        <v>0</v>
      </c>
      <c r="AH341" s="1415">
        <f>'Data &amp; hypothesis Children'!AG176</f>
        <v>0</v>
      </c>
      <c r="AI341" s="1339">
        <f t="shared" si="117"/>
        <v>13.759200000000002</v>
      </c>
      <c r="AJ341" s="1340">
        <f t="shared" si="118"/>
        <v>21.168000000000003</v>
      </c>
    </row>
    <row r="342" spans="1:36" s="1279" customFormat="1" ht="15" x14ac:dyDescent="0.25">
      <c r="A342" s="1282"/>
      <c r="C342" s="1319" t="str">
        <v>ABC+3TC+NVP</v>
      </c>
      <c r="D342" s="1175">
        <f>'Data &amp; hypothesis Children'!C177</f>
        <v>0</v>
      </c>
      <c r="E342" s="1175">
        <f>'Data &amp; hypothesis Children'!D177</f>
        <v>0</v>
      </c>
      <c r="F342" s="1175">
        <f>'Data &amp; hypothesis Children'!E177</f>
        <v>0</v>
      </c>
      <c r="G342" s="1175">
        <f>'Data &amp; hypothesis Children'!F177</f>
        <v>0</v>
      </c>
      <c r="H342" s="1175">
        <f>'Data &amp; hypothesis Children'!G177</f>
        <v>0</v>
      </c>
      <c r="I342" s="1175">
        <f>'Data &amp; hypothesis Children'!H177</f>
        <v>0</v>
      </c>
      <c r="J342" s="1175">
        <f>'Data &amp; hypothesis Children'!I177</f>
        <v>0</v>
      </c>
      <c r="K342" s="1413">
        <f>'Data &amp; hypothesis Children'!J177</f>
        <v>0</v>
      </c>
      <c r="L342" s="1414">
        <f>'Data &amp; hypothesis Children'!K177</f>
        <v>0</v>
      </c>
      <c r="M342" s="1175">
        <f>'Data &amp; hypothesis Children'!L177</f>
        <v>0</v>
      </c>
      <c r="N342" s="1175">
        <f>'Data &amp; hypothesis Children'!M177</f>
        <v>0</v>
      </c>
      <c r="O342" s="1175">
        <f>'Data &amp; hypothesis Children'!N177</f>
        <v>0</v>
      </c>
      <c r="P342" s="1175">
        <f>'Data &amp; hypothesis Children'!O177</f>
        <v>0</v>
      </c>
      <c r="Q342" s="1175">
        <f>'Data &amp; hypothesis Children'!P177</f>
        <v>0</v>
      </c>
      <c r="R342" s="1175">
        <f>'Data &amp; hypothesis Children'!Q177</f>
        <v>0</v>
      </c>
      <c r="S342" s="1175">
        <f>'Data &amp; hypothesis Children'!R177</f>
        <v>0</v>
      </c>
      <c r="T342" s="1175">
        <f>'Data &amp; hypothesis Children'!S177</f>
        <v>0</v>
      </c>
      <c r="U342" s="1175">
        <f>'Data &amp; hypothesis Children'!T177</f>
        <v>0</v>
      </c>
      <c r="V342" s="1175" t="str">
        <f>'Data &amp; hypothesis Children'!U177</f>
        <v>X</v>
      </c>
      <c r="W342" s="1175">
        <f>'Data &amp; hypothesis Children'!V177</f>
        <v>0</v>
      </c>
      <c r="X342" s="1175">
        <f>'Data &amp; hypothesis Children'!W177</f>
        <v>0</v>
      </c>
      <c r="Y342" s="1175">
        <f>'Data &amp; hypothesis Children'!X177</f>
        <v>0</v>
      </c>
      <c r="Z342" s="1175">
        <f>'Data &amp; hypothesis Children'!Y177</f>
        <v>0</v>
      </c>
      <c r="AA342" s="1175">
        <f>'Data &amp; hypothesis Children'!Z177</f>
        <v>0</v>
      </c>
      <c r="AB342" s="1175">
        <f>'Data &amp; hypothesis Children'!AA177</f>
        <v>0</v>
      </c>
      <c r="AC342" s="1175">
        <f>'Data &amp; hypothesis Children'!AB177</f>
        <v>0</v>
      </c>
      <c r="AD342" s="1175">
        <f>'Data &amp; hypothesis Children'!AC177</f>
        <v>0</v>
      </c>
      <c r="AE342" s="1175" t="str">
        <f>'Data &amp; hypothesis Children'!AD177</f>
        <v>X</v>
      </c>
      <c r="AF342" s="1175">
        <f>'Data &amp; hypothesis Children'!AE177</f>
        <v>0</v>
      </c>
      <c r="AG342" s="1175">
        <f>'Data &amp; hypothesis Children'!AF177</f>
        <v>0</v>
      </c>
      <c r="AH342" s="1415">
        <f>'Data &amp; hypothesis Children'!AG177</f>
        <v>0</v>
      </c>
      <c r="AI342" s="1339">
        <f t="shared" si="117"/>
        <v>6.3820800000000002</v>
      </c>
      <c r="AJ342" s="1340">
        <f t="shared" si="118"/>
        <v>7.9775999999999998</v>
      </c>
    </row>
    <row r="343" spans="1:36" s="1279" customFormat="1" ht="15" x14ac:dyDescent="0.25">
      <c r="A343" s="1282"/>
      <c r="C343" s="1319" t="str">
        <v>AZT+3TC+LPV/r</v>
      </c>
      <c r="D343" s="1175">
        <f>'Data &amp; hypothesis Children'!C178</f>
        <v>0</v>
      </c>
      <c r="E343" s="1175">
        <f>'Data &amp; hypothesis Children'!D178</f>
        <v>0</v>
      </c>
      <c r="F343" s="1175">
        <f>'Data &amp; hypothesis Children'!E178</f>
        <v>0</v>
      </c>
      <c r="G343" s="1175">
        <f>'Data &amp; hypothesis Children'!F178</f>
        <v>0</v>
      </c>
      <c r="H343" s="1175">
        <f>'Data &amp; hypothesis Children'!G178</f>
        <v>0</v>
      </c>
      <c r="I343" s="1175">
        <f>'Data &amp; hypothesis Children'!H178</f>
        <v>0</v>
      </c>
      <c r="J343" s="1175">
        <f>'Data &amp; hypothesis Children'!I178</f>
        <v>0</v>
      </c>
      <c r="K343" s="1413">
        <f>'Data &amp; hypothesis Children'!J178</f>
        <v>0</v>
      </c>
      <c r="L343" s="1414">
        <f>'Data &amp; hypothesis Children'!K178</f>
        <v>0</v>
      </c>
      <c r="M343" s="1175">
        <f>'Data &amp; hypothesis Children'!L178</f>
        <v>0</v>
      </c>
      <c r="N343" s="1175">
        <f>'Data &amp; hypothesis Children'!M178</f>
        <v>0</v>
      </c>
      <c r="O343" s="1175" t="str">
        <f>'Data &amp; hypothesis Children'!N178</f>
        <v>X</v>
      </c>
      <c r="P343" s="1175">
        <f>'Data &amp; hypothesis Children'!O178</f>
        <v>0</v>
      </c>
      <c r="Q343" s="1175">
        <f>'Data &amp; hypothesis Children'!P178</f>
        <v>0</v>
      </c>
      <c r="R343" s="1175">
        <f>'Data &amp; hypothesis Children'!Q178</f>
        <v>0</v>
      </c>
      <c r="S343" s="1175">
        <f>'Data &amp; hypothesis Children'!R178</f>
        <v>0</v>
      </c>
      <c r="T343" s="1175">
        <f>'Data &amp; hypothesis Children'!S178</f>
        <v>0</v>
      </c>
      <c r="U343" s="1175">
        <f>'Data &amp; hypothesis Children'!T178</f>
        <v>0</v>
      </c>
      <c r="V343" s="1175">
        <f>'Data &amp; hypothesis Children'!U178</f>
        <v>0</v>
      </c>
      <c r="W343" s="1175">
        <f>'Data &amp; hypothesis Children'!V178</f>
        <v>0</v>
      </c>
      <c r="X343" s="1175">
        <f>'Data &amp; hypothesis Children'!W178</f>
        <v>0</v>
      </c>
      <c r="Y343" s="1175">
        <f>'Data &amp; hypothesis Children'!X178</f>
        <v>0</v>
      </c>
      <c r="Z343" s="1175">
        <f>'Data &amp; hypothesis Children'!Y178</f>
        <v>0</v>
      </c>
      <c r="AA343" s="1175">
        <f>'Data &amp; hypothesis Children'!Z178</f>
        <v>0</v>
      </c>
      <c r="AB343" s="1175">
        <f>'Data &amp; hypothesis Children'!AA178</f>
        <v>0</v>
      </c>
      <c r="AC343" s="1175">
        <f>'Data &amp; hypothesis Children'!AB178</f>
        <v>0</v>
      </c>
      <c r="AD343" s="1175">
        <f>'Data &amp; hypothesis Children'!AC178</f>
        <v>0</v>
      </c>
      <c r="AE343" s="1175">
        <f>'Data &amp; hypothesis Children'!AD178</f>
        <v>0</v>
      </c>
      <c r="AF343" s="1175">
        <f>'Data &amp; hypothesis Children'!AE178</f>
        <v>0</v>
      </c>
      <c r="AG343" s="1175">
        <f>'Data &amp; hypothesis Children'!AF178</f>
        <v>0</v>
      </c>
      <c r="AH343" s="1415" t="str">
        <f>'Data &amp; hypothesis Children'!AG178</f>
        <v>X</v>
      </c>
      <c r="AI343" s="1339">
        <f t="shared" si="117"/>
        <v>208.32912000000002</v>
      </c>
      <c r="AJ343" s="1340">
        <f t="shared" si="118"/>
        <v>313.14240000000007</v>
      </c>
    </row>
    <row r="344" spans="1:36" s="1279" customFormat="1" x14ac:dyDescent="0.2">
      <c r="A344" s="1282"/>
      <c r="C344" s="1296" t="str">
        <f>'TRAD-Children YEAR(1)'!$B$117</f>
        <v>Deuxièmes lignes</v>
      </c>
      <c r="D344" s="1410"/>
      <c r="E344" s="1410"/>
      <c r="F344" s="1410"/>
      <c r="G344" s="1410"/>
      <c r="H344" s="1410"/>
      <c r="I344" s="1410"/>
      <c r="J344" s="1410"/>
      <c r="K344" s="1411"/>
      <c r="L344" s="1412"/>
      <c r="M344" s="1410"/>
      <c r="N344" s="1410"/>
      <c r="O344" s="1410"/>
      <c r="P344" s="1410"/>
      <c r="Q344" s="1410"/>
      <c r="R344" s="1410"/>
      <c r="S344" s="1410"/>
      <c r="T344" s="1410"/>
      <c r="U344" s="1410"/>
      <c r="V344" s="1410"/>
      <c r="W344" s="1410"/>
      <c r="X344" s="1410"/>
      <c r="Y344" s="1410"/>
      <c r="Z344" s="1410"/>
      <c r="AA344" s="1410"/>
      <c r="AB344" s="1410"/>
      <c r="AC344" s="1410"/>
      <c r="AD344" s="1410"/>
      <c r="AE344" s="1410"/>
      <c r="AF344" s="1410"/>
      <c r="AG344" s="1410"/>
      <c r="AH344" s="1416"/>
      <c r="AI344" s="1339"/>
      <c r="AJ344" s="1340"/>
    </row>
    <row r="345" spans="1:36" s="1279" customFormat="1" ht="15" x14ac:dyDescent="0.25">
      <c r="A345" s="1282"/>
      <c r="C345" s="1301" t="str">
        <f t="array" ref="C345:C348">'Data &amp; hypothesis Children'!$C$32:$C$35</f>
        <v>ABC+3TC+EFV</v>
      </c>
      <c r="D345" s="1175">
        <f>'Data &amp; hypothesis Children'!C180</f>
        <v>0</v>
      </c>
      <c r="E345" s="1175">
        <f>'Data &amp; hypothesis Children'!D180</f>
        <v>0</v>
      </c>
      <c r="F345" s="1175">
        <f>'Data &amp; hypothesis Children'!E180</f>
        <v>0</v>
      </c>
      <c r="G345" s="1175">
        <f>'Data &amp; hypothesis Children'!F180</f>
        <v>0</v>
      </c>
      <c r="H345" s="1175">
        <f>'Data &amp; hypothesis Children'!G180</f>
        <v>0</v>
      </c>
      <c r="I345" s="1175">
        <f>'Data &amp; hypothesis Children'!H180</f>
        <v>0</v>
      </c>
      <c r="J345" s="1175">
        <f>'Data &amp; hypothesis Children'!I180</f>
        <v>0</v>
      </c>
      <c r="K345" s="1413">
        <f>'Data &amp; hypothesis Children'!J180</f>
        <v>0</v>
      </c>
      <c r="L345" s="1414">
        <f>'Data &amp; hypothesis Children'!K180</f>
        <v>0</v>
      </c>
      <c r="M345" s="1175">
        <f>'Data &amp; hypothesis Children'!L180</f>
        <v>0</v>
      </c>
      <c r="N345" s="1175">
        <f>'Data &amp; hypothesis Children'!M180</f>
        <v>0</v>
      </c>
      <c r="O345" s="1175">
        <f>'Data &amp; hypothesis Children'!N180</f>
        <v>0</v>
      </c>
      <c r="P345" s="1175">
        <f>'Data &amp; hypothesis Children'!O180</f>
        <v>0</v>
      </c>
      <c r="Q345" s="1175">
        <f>'Data &amp; hypothesis Children'!P180</f>
        <v>0</v>
      </c>
      <c r="R345" s="1175">
        <f>'Data &amp; hypothesis Children'!Q180</f>
        <v>0</v>
      </c>
      <c r="S345" s="1175">
        <f>'Data &amp; hypothesis Children'!R180</f>
        <v>0</v>
      </c>
      <c r="T345" s="1175">
        <f>'Data &amp; hypothesis Children'!S180</f>
        <v>0</v>
      </c>
      <c r="U345" s="1175">
        <f>'Data &amp; hypothesis Children'!T180</f>
        <v>0</v>
      </c>
      <c r="V345" s="1175" t="str">
        <f>'Data &amp; hypothesis Children'!U180</f>
        <v>X</v>
      </c>
      <c r="W345" s="1175">
        <f>'Data &amp; hypothesis Children'!V180</f>
        <v>0</v>
      </c>
      <c r="X345" s="1175">
        <f>'Data &amp; hypothesis Children'!W180</f>
        <v>0</v>
      </c>
      <c r="Y345" s="1175">
        <f>'Data &amp; hypothesis Children'!X180</f>
        <v>0</v>
      </c>
      <c r="Z345" s="1175">
        <f>'Data &amp; hypothesis Children'!Y180</f>
        <v>0</v>
      </c>
      <c r="AA345" s="1175">
        <f>'Data &amp; hypothesis Children'!Z180</f>
        <v>0</v>
      </c>
      <c r="AB345" s="1175">
        <f>'Data &amp; hypothesis Children'!AA180</f>
        <v>0</v>
      </c>
      <c r="AC345" s="1175">
        <f>'Data &amp; hypothesis Children'!AB180</f>
        <v>0</v>
      </c>
      <c r="AD345" s="1175">
        <f>'Data &amp; hypothesis Children'!AC180</f>
        <v>0</v>
      </c>
      <c r="AE345" s="1175">
        <f>'Data &amp; hypothesis Children'!AD180</f>
        <v>0</v>
      </c>
      <c r="AF345" s="1175" t="str">
        <f>'Data &amp; hypothesis Children'!AE180</f>
        <v>X</v>
      </c>
      <c r="AG345" s="1175">
        <f>'Data &amp; hypothesis Children'!AF180</f>
        <v>0</v>
      </c>
      <c r="AH345" s="1415">
        <f>'Data &amp; hypothesis Children'!AG180</f>
        <v>0</v>
      </c>
      <c r="AI345" s="1339">
        <f>I75</f>
        <v>16.007903999999996</v>
      </c>
      <c r="AJ345" s="1340">
        <f>I91</f>
        <v>22.786559999999998</v>
      </c>
    </row>
    <row r="346" spans="1:36" s="1279" customFormat="1" ht="15" x14ac:dyDescent="0.25">
      <c r="A346" s="1282"/>
      <c r="C346" s="1301" t="str">
        <v>TDF+3TC+LPV/r</v>
      </c>
      <c r="D346" s="1175">
        <f>'Data &amp; hypothesis Children'!C181</f>
        <v>0</v>
      </c>
      <c r="E346" s="1175">
        <f>'Data &amp; hypothesis Children'!D181</f>
        <v>0</v>
      </c>
      <c r="F346" s="1175">
        <f>'Data &amp; hypothesis Children'!E181</f>
        <v>0</v>
      </c>
      <c r="G346" s="1175">
        <f>'Data &amp; hypothesis Children'!F181</f>
        <v>0</v>
      </c>
      <c r="H346" s="1175">
        <f>'Data &amp; hypothesis Children'!G181</f>
        <v>0</v>
      </c>
      <c r="I346" s="1175">
        <f>'Data &amp; hypothesis Children'!H181</f>
        <v>0</v>
      </c>
      <c r="J346" s="1175">
        <f>'Data &amp; hypothesis Children'!I181</f>
        <v>0</v>
      </c>
      <c r="K346" s="1413">
        <f>'Data &amp; hypothesis Children'!J181</f>
        <v>0</v>
      </c>
      <c r="L346" s="1414">
        <f>'Data &amp; hypothesis Children'!K181</f>
        <v>0</v>
      </c>
      <c r="M346" s="1175">
        <f>'Data &amp; hypothesis Children'!L181</f>
        <v>0</v>
      </c>
      <c r="N346" s="1175">
        <f>'Data &amp; hypothesis Children'!M181</f>
        <v>0</v>
      </c>
      <c r="O346" s="1175">
        <f>'Data &amp; hypothesis Children'!N181</f>
        <v>0</v>
      </c>
      <c r="P346" s="1175">
        <f>'Data &amp; hypothesis Children'!O181</f>
        <v>0</v>
      </c>
      <c r="Q346" s="1175">
        <f>'Data &amp; hypothesis Children'!P181</f>
        <v>0</v>
      </c>
      <c r="R346" s="1175">
        <f>'Data &amp; hypothesis Children'!Q181</f>
        <v>0</v>
      </c>
      <c r="S346" s="1175">
        <f>'Data &amp; hypothesis Children'!R181</f>
        <v>0</v>
      </c>
      <c r="T346" s="1175">
        <f>'Data &amp; hypothesis Children'!S181</f>
        <v>0</v>
      </c>
      <c r="U346" s="1175">
        <f>'Data &amp; hypothesis Children'!T181</f>
        <v>0</v>
      </c>
      <c r="V346" s="1175">
        <f>'Data &amp; hypothesis Children'!U181</f>
        <v>0</v>
      </c>
      <c r="W346" s="1175">
        <f>'Data &amp; hypothesis Children'!V181</f>
        <v>0</v>
      </c>
      <c r="X346" s="1175" t="str">
        <f>'Data &amp; hypothesis Children'!W181</f>
        <v>X</v>
      </c>
      <c r="Y346" s="1175">
        <f>'Data &amp; hypothesis Children'!X181</f>
        <v>0</v>
      </c>
      <c r="Z346" s="1175">
        <f>'Data &amp; hypothesis Children'!Y181</f>
        <v>0</v>
      </c>
      <c r="AA346" s="1175">
        <f>'Data &amp; hypothesis Children'!Z181</f>
        <v>0</v>
      </c>
      <c r="AB346" s="1175">
        <f>'Data &amp; hypothesis Children'!AA181</f>
        <v>0</v>
      </c>
      <c r="AC346" s="1175">
        <f>'Data &amp; hypothesis Children'!AB181</f>
        <v>0</v>
      </c>
      <c r="AD346" s="1175">
        <f>'Data &amp; hypothesis Children'!AC181</f>
        <v>0</v>
      </c>
      <c r="AE346" s="1175">
        <f>'Data &amp; hypothesis Children'!AD181</f>
        <v>0</v>
      </c>
      <c r="AF346" s="1175">
        <f>'Data &amp; hypothesis Children'!AE181</f>
        <v>0</v>
      </c>
      <c r="AG346" s="1175">
        <f>'Data &amp; hypothesis Children'!AF181</f>
        <v>0</v>
      </c>
      <c r="AH346" s="1415" t="str">
        <f>'Data &amp; hypothesis Children'!AG181</f>
        <v>X</v>
      </c>
      <c r="AI346" s="1339">
        <f t="shared" ref="AI346:AI347" si="119">I76</f>
        <v>1.9251647999999997</v>
      </c>
      <c r="AJ346" s="1340">
        <f t="shared" ref="AJ346:AJ347" si="120">I92</f>
        <v>2.9617919999999995</v>
      </c>
    </row>
    <row r="347" spans="1:36" s="1279" customFormat="1" ht="15" x14ac:dyDescent="0.25">
      <c r="A347" s="1282"/>
      <c r="C347" s="1301" t="str">
        <v>AZT+3TC+EFV</v>
      </c>
      <c r="D347" s="1175">
        <f>'Data &amp; hypothesis Children'!C182</f>
        <v>0</v>
      </c>
      <c r="E347" s="1175">
        <f>'Data &amp; hypothesis Children'!D182</f>
        <v>0</v>
      </c>
      <c r="F347" s="1175">
        <f>'Data &amp; hypothesis Children'!E182</f>
        <v>0</v>
      </c>
      <c r="G347" s="1175">
        <f>'Data &amp; hypothesis Children'!F182</f>
        <v>0</v>
      </c>
      <c r="H347" s="1175">
        <f>'Data &amp; hypothesis Children'!G182</f>
        <v>0</v>
      </c>
      <c r="I347" s="1175">
        <f>'Data &amp; hypothesis Children'!H182</f>
        <v>0</v>
      </c>
      <c r="J347" s="1175">
        <f>'Data &amp; hypothesis Children'!I182</f>
        <v>0</v>
      </c>
      <c r="K347" s="1413">
        <f>'Data &amp; hypothesis Children'!J182</f>
        <v>0</v>
      </c>
      <c r="L347" s="1414">
        <f>'Data &amp; hypothesis Children'!K182</f>
        <v>0</v>
      </c>
      <c r="M347" s="1175">
        <f>'Data &amp; hypothesis Children'!L182</f>
        <v>0</v>
      </c>
      <c r="N347" s="1175">
        <f>'Data &amp; hypothesis Children'!M182</f>
        <v>0</v>
      </c>
      <c r="O347" s="1175">
        <f>'Data &amp; hypothesis Children'!N182</f>
        <v>0</v>
      </c>
      <c r="P347" s="1175">
        <f>'Data &amp; hypothesis Children'!O182</f>
        <v>0</v>
      </c>
      <c r="Q347" s="1175">
        <f>'Data &amp; hypothesis Children'!P182</f>
        <v>0</v>
      </c>
      <c r="R347" s="1175">
        <f>'Data &amp; hypothesis Children'!Q182</f>
        <v>0</v>
      </c>
      <c r="S347" s="1175">
        <f>'Data &amp; hypothesis Children'!R182</f>
        <v>0</v>
      </c>
      <c r="T347" s="1175">
        <f>'Data &amp; hypothesis Children'!S182</f>
        <v>0</v>
      </c>
      <c r="U347" s="1175">
        <f>'Data &amp; hypothesis Children'!T182</f>
        <v>0</v>
      </c>
      <c r="V347" s="1175">
        <f>'Data &amp; hypothesis Children'!U182</f>
        <v>0</v>
      </c>
      <c r="W347" s="1175">
        <f>'Data &amp; hypothesis Children'!V182</f>
        <v>0</v>
      </c>
      <c r="X347" s="1175">
        <f>'Data &amp; hypothesis Children'!W182</f>
        <v>0</v>
      </c>
      <c r="Y347" s="1175">
        <f>'Data &amp; hypothesis Children'!X182</f>
        <v>0</v>
      </c>
      <c r="Z347" s="1175">
        <f>'Data &amp; hypothesis Children'!Y182</f>
        <v>0</v>
      </c>
      <c r="AA347" s="1175">
        <f>'Data &amp; hypothesis Children'!Z182</f>
        <v>0</v>
      </c>
      <c r="AB347" s="1175">
        <f>'Data &amp; hypothesis Children'!AA182</f>
        <v>0</v>
      </c>
      <c r="AC347" s="1175">
        <f>'Data &amp; hypothesis Children'!AB182</f>
        <v>0</v>
      </c>
      <c r="AD347" s="1175">
        <f>'Data &amp; hypothesis Children'!AC182</f>
        <v>0</v>
      </c>
      <c r="AE347" s="1175">
        <f>'Data &amp; hypothesis Children'!AD182</f>
        <v>0</v>
      </c>
      <c r="AF347" s="1175">
        <f>'Data &amp; hypothesis Children'!AE182</f>
        <v>0</v>
      </c>
      <c r="AG347" s="1175">
        <f>'Data &amp; hypothesis Children'!AF182</f>
        <v>0</v>
      </c>
      <c r="AH347" s="1415">
        <f>'Data &amp; hypothesis Children'!AG182</f>
        <v>0</v>
      </c>
      <c r="AI347" s="1339">
        <f t="shared" si="119"/>
        <v>0.48129119999999992</v>
      </c>
      <c r="AJ347" s="1340">
        <f t="shared" si="120"/>
        <v>0.74044799999999988</v>
      </c>
    </row>
    <row r="348" spans="1:36" s="1279" customFormat="1" ht="15.75" thickBot="1" x14ac:dyDescent="0.3">
      <c r="A348" s="1282"/>
      <c r="C348" s="1301">
        <v>0</v>
      </c>
      <c r="D348" s="1175">
        <f>'Data &amp; hypothesis Children'!C183</f>
        <v>0</v>
      </c>
      <c r="E348" s="1175">
        <f>'Data &amp; hypothesis Children'!D183</f>
        <v>0</v>
      </c>
      <c r="F348" s="1175">
        <f>'Data &amp; hypothesis Children'!E183</f>
        <v>0</v>
      </c>
      <c r="G348" s="1175">
        <f>'Data &amp; hypothesis Children'!F183</f>
        <v>0</v>
      </c>
      <c r="H348" s="1175">
        <f>'Data &amp; hypothesis Children'!G183</f>
        <v>0</v>
      </c>
      <c r="I348" s="1175">
        <f>'Data &amp; hypothesis Children'!H183</f>
        <v>0</v>
      </c>
      <c r="J348" s="1175">
        <f>'Data &amp; hypothesis Children'!I183</f>
        <v>0</v>
      </c>
      <c r="K348" s="1413">
        <f>'Data &amp; hypothesis Children'!J183</f>
        <v>0</v>
      </c>
      <c r="L348" s="1417">
        <f>'Data &amp; hypothesis Children'!K183</f>
        <v>0</v>
      </c>
      <c r="M348" s="1418">
        <f>'Data &amp; hypothesis Children'!L183</f>
        <v>0</v>
      </c>
      <c r="N348" s="1418">
        <f>'Data &amp; hypothesis Children'!M183</f>
        <v>0</v>
      </c>
      <c r="O348" s="1418">
        <f>'Data &amp; hypothesis Children'!N183</f>
        <v>0</v>
      </c>
      <c r="P348" s="1418">
        <f>'Data &amp; hypothesis Children'!O183</f>
        <v>0</v>
      </c>
      <c r="Q348" s="1418">
        <f>'Data &amp; hypothesis Children'!P183</f>
        <v>0</v>
      </c>
      <c r="R348" s="1418">
        <f>'Data &amp; hypothesis Children'!Q183</f>
        <v>0</v>
      </c>
      <c r="S348" s="1418">
        <f>'Data &amp; hypothesis Children'!R183</f>
        <v>0</v>
      </c>
      <c r="T348" s="1418">
        <f>'Data &amp; hypothesis Children'!S183</f>
        <v>0</v>
      </c>
      <c r="U348" s="1418">
        <f>'Data &amp; hypothesis Children'!T183</f>
        <v>0</v>
      </c>
      <c r="V348" s="1418">
        <f>'Data &amp; hypothesis Children'!U183</f>
        <v>0</v>
      </c>
      <c r="W348" s="1418">
        <f>'Data &amp; hypothesis Children'!V183</f>
        <v>0</v>
      </c>
      <c r="X348" s="1418">
        <f>'Data &amp; hypothesis Children'!W183</f>
        <v>0</v>
      </c>
      <c r="Y348" s="1418">
        <f>'Data &amp; hypothesis Children'!X183</f>
        <v>0</v>
      </c>
      <c r="Z348" s="1418">
        <f>'Data &amp; hypothesis Children'!Y183</f>
        <v>0</v>
      </c>
      <c r="AA348" s="1418">
        <f>'Data &amp; hypothesis Children'!Z183</f>
        <v>0</v>
      </c>
      <c r="AB348" s="1418">
        <f>'Data &amp; hypothesis Children'!AA183</f>
        <v>0</v>
      </c>
      <c r="AC348" s="1418">
        <f>'Data &amp; hypothesis Children'!AB183</f>
        <v>0</v>
      </c>
      <c r="AD348" s="1418">
        <f>'Data &amp; hypothesis Children'!AC183</f>
        <v>0</v>
      </c>
      <c r="AE348" s="1418">
        <f>'Data &amp; hypothesis Children'!AD183</f>
        <v>0</v>
      </c>
      <c r="AF348" s="1418">
        <f>'Data &amp; hypothesis Children'!AE183</f>
        <v>0</v>
      </c>
      <c r="AG348" s="1418">
        <f>'Data &amp; hypothesis Children'!AF183</f>
        <v>0</v>
      </c>
      <c r="AH348" s="1419">
        <f>'Data &amp; hypothesis Children'!AG183</f>
        <v>0</v>
      </c>
      <c r="AI348" s="1339">
        <f>I78</f>
        <v>0</v>
      </c>
      <c r="AJ348" s="1340">
        <f>I94</f>
        <v>0</v>
      </c>
    </row>
    <row r="349" spans="1:36" s="1304" customFormat="1" ht="26.25" thickBot="1" x14ac:dyDescent="0.25">
      <c r="A349" s="1303"/>
      <c r="C349" s="1305" t="str">
        <f>'TRAD-Children YEAR(1)'!B118</f>
        <v>Nb de patients-mois / produit - SANS SS</v>
      </c>
      <c r="D349" s="1306">
        <f t="shared" ref="D349:AE349" si="121">SUMIF(D338:D348, "X", $AI338:$AI348)</f>
        <v>0</v>
      </c>
      <c r="E349" s="1306">
        <f t="shared" si="121"/>
        <v>0</v>
      </c>
      <c r="F349" s="1306">
        <f t="shared" si="121"/>
        <v>0</v>
      </c>
      <c r="G349" s="1306">
        <f t="shared" si="121"/>
        <v>0</v>
      </c>
      <c r="H349" s="1306">
        <f t="shared" si="121"/>
        <v>0</v>
      </c>
      <c r="I349" s="1306">
        <f t="shared" si="121"/>
        <v>0</v>
      </c>
      <c r="J349" s="1306">
        <f t="shared" si="121"/>
        <v>0</v>
      </c>
      <c r="K349" s="1307">
        <f t="shared" si="121"/>
        <v>0</v>
      </c>
      <c r="L349" s="1308">
        <f t="shared" si="121"/>
        <v>0</v>
      </c>
      <c r="M349" s="1306">
        <f t="shared" si="121"/>
        <v>741.91679999999997</v>
      </c>
      <c r="N349" s="1306">
        <f t="shared" si="121"/>
        <v>0</v>
      </c>
      <c r="O349" s="1306">
        <f t="shared" si="121"/>
        <v>225.87984</v>
      </c>
      <c r="P349" s="1306">
        <f t="shared" si="121"/>
        <v>0</v>
      </c>
      <c r="Q349" s="1306">
        <f t="shared" si="121"/>
        <v>0</v>
      </c>
      <c r="R349" s="1306">
        <f t="shared" si="121"/>
        <v>0</v>
      </c>
      <c r="S349" s="1306">
        <f t="shared" si="121"/>
        <v>0</v>
      </c>
      <c r="T349" s="1306">
        <f t="shared" si="121"/>
        <v>0</v>
      </c>
      <c r="U349" s="1306">
        <f t="shared" si="121"/>
        <v>0</v>
      </c>
      <c r="V349" s="1306">
        <f t="shared" si="121"/>
        <v>22.389983999999998</v>
      </c>
      <c r="W349" s="1306">
        <f t="shared" si="121"/>
        <v>0</v>
      </c>
      <c r="X349" s="1306">
        <f t="shared" si="121"/>
        <v>1.9251647999999997</v>
      </c>
      <c r="Y349" s="1306">
        <f t="shared" si="121"/>
        <v>0</v>
      </c>
      <c r="Z349" s="1306">
        <f t="shared" si="121"/>
        <v>0</v>
      </c>
      <c r="AA349" s="1306">
        <f t="shared" si="121"/>
        <v>0</v>
      </c>
      <c r="AB349" s="1306">
        <f t="shared" si="121"/>
        <v>0</v>
      </c>
      <c r="AC349" s="1306">
        <f t="shared" si="121"/>
        <v>0</v>
      </c>
      <c r="AD349" s="1306">
        <f t="shared" si="121"/>
        <v>0</v>
      </c>
      <c r="AE349" s="1306">
        <f t="shared" si="121"/>
        <v>6.3820800000000002</v>
      </c>
      <c r="AF349" s="1306">
        <f t="shared" ref="AF349" si="122">SUMIF(AF338:AF348, "X", $AI338:$AI348)</f>
        <v>33.558623999999995</v>
      </c>
      <c r="AG349" s="1306">
        <f>SUMIF(AG338:AG348, "X", $AI338:$AI348)</f>
        <v>0</v>
      </c>
      <c r="AH349" s="1306">
        <f>SUMIF(AH338:$AH$348, "X", $AI338:$AI348)</f>
        <v>210.25428480000002</v>
      </c>
    </row>
    <row r="350" spans="1:36" s="1304" customFormat="1" ht="26.25" thickBot="1" x14ac:dyDescent="0.25">
      <c r="A350" s="1303"/>
      <c r="C350" s="1305" t="str">
        <f>'TRAD-Children YEAR(1)'!B119</f>
        <v>Nb de patients-mois / produit - AVEC SS</v>
      </c>
      <c r="D350" s="1309">
        <f t="shared" ref="D350:AG350" si="123">SUMIF(D338:D348, "X", $AJ338:$AJ348)</f>
        <v>0</v>
      </c>
      <c r="E350" s="1309">
        <f t="shared" si="123"/>
        <v>0</v>
      </c>
      <c r="F350" s="1309">
        <f t="shared" si="123"/>
        <v>0</v>
      </c>
      <c r="G350" s="1309">
        <f t="shared" si="123"/>
        <v>0</v>
      </c>
      <c r="H350" s="1309">
        <f t="shared" si="123"/>
        <v>0</v>
      </c>
      <c r="I350" s="1309">
        <f t="shared" si="123"/>
        <v>0</v>
      </c>
      <c r="J350" s="1309">
        <f t="shared" si="123"/>
        <v>0</v>
      </c>
      <c r="K350" s="1310">
        <f t="shared" si="123"/>
        <v>0</v>
      </c>
      <c r="L350" s="1311">
        <f t="shared" si="123"/>
        <v>0</v>
      </c>
      <c r="M350" s="1309">
        <f t="shared" si="123"/>
        <v>927.39599999999996</v>
      </c>
      <c r="N350" s="1309">
        <f t="shared" si="123"/>
        <v>0</v>
      </c>
      <c r="O350" s="1309">
        <f t="shared" si="123"/>
        <v>335.08080000000007</v>
      </c>
      <c r="P350" s="1309">
        <f t="shared" si="123"/>
        <v>0</v>
      </c>
      <c r="Q350" s="1309">
        <f t="shared" si="123"/>
        <v>0</v>
      </c>
      <c r="R350" s="1309">
        <f t="shared" si="123"/>
        <v>0</v>
      </c>
      <c r="S350" s="1309">
        <f t="shared" si="123"/>
        <v>0</v>
      </c>
      <c r="T350" s="1309">
        <f t="shared" si="123"/>
        <v>0</v>
      </c>
      <c r="U350" s="1309">
        <f t="shared" si="123"/>
        <v>0</v>
      </c>
      <c r="V350" s="1309">
        <f t="shared" si="123"/>
        <v>30.764159999999997</v>
      </c>
      <c r="W350" s="1309">
        <f t="shared" si="123"/>
        <v>0</v>
      </c>
      <c r="X350" s="1309">
        <f t="shared" si="123"/>
        <v>2.9617919999999995</v>
      </c>
      <c r="Y350" s="1309">
        <f t="shared" si="123"/>
        <v>0</v>
      </c>
      <c r="Z350" s="1309">
        <f t="shared" si="123"/>
        <v>0</v>
      </c>
      <c r="AA350" s="1309">
        <f t="shared" si="123"/>
        <v>0</v>
      </c>
      <c r="AB350" s="1309">
        <f t="shared" si="123"/>
        <v>0</v>
      </c>
      <c r="AC350" s="1309">
        <f t="shared" si="123"/>
        <v>0</v>
      </c>
      <c r="AD350" s="1309">
        <f t="shared" si="123"/>
        <v>0</v>
      </c>
      <c r="AE350" s="1309">
        <f t="shared" si="123"/>
        <v>7.9775999999999998</v>
      </c>
      <c r="AF350" s="1309">
        <f t="shared" si="123"/>
        <v>44.724959999999996</v>
      </c>
      <c r="AG350" s="1309">
        <f t="shared" si="123"/>
        <v>0</v>
      </c>
      <c r="AH350" s="1309">
        <f>SUMIF(AH338:$AH$348, "X", $AJ338:$AJ348)</f>
        <v>316.10419200000007</v>
      </c>
    </row>
    <row r="351" spans="1:36" s="1304" customFormat="1" ht="26.25" thickBot="1" x14ac:dyDescent="0.25">
      <c r="A351" s="1303"/>
      <c r="C351" s="1305" t="str">
        <f>'TRAD-Children YEAR(1)'!B120</f>
        <v>Nb de cdt - Estimation période SANS SS</v>
      </c>
      <c r="D351" s="1312">
        <f t="shared" ref="D351:AH351" si="124">D349*D336</f>
        <v>0</v>
      </c>
      <c r="E351" s="1312">
        <f t="shared" si="124"/>
        <v>0</v>
      </c>
      <c r="F351" s="1312">
        <f t="shared" si="124"/>
        <v>0</v>
      </c>
      <c r="G351" s="1312">
        <f t="shared" si="124"/>
        <v>0</v>
      </c>
      <c r="H351" s="1312">
        <f t="shared" si="124"/>
        <v>0</v>
      </c>
      <c r="I351" s="1312">
        <f t="shared" si="124"/>
        <v>0</v>
      </c>
      <c r="J351" s="1312">
        <f t="shared" si="124"/>
        <v>0</v>
      </c>
      <c r="K351" s="1313">
        <f t="shared" si="124"/>
        <v>0</v>
      </c>
      <c r="L351" s="1314">
        <f t="shared" si="124"/>
        <v>0</v>
      </c>
      <c r="M351" s="1312">
        <f t="shared" si="124"/>
        <v>2225.7503999999999</v>
      </c>
      <c r="N351" s="1312">
        <f t="shared" si="124"/>
        <v>0</v>
      </c>
      <c r="O351" s="1312">
        <f t="shared" si="124"/>
        <v>677.63951999999995</v>
      </c>
      <c r="P351" s="1312">
        <f t="shared" si="124"/>
        <v>0</v>
      </c>
      <c r="Q351" s="1312">
        <f t="shared" si="124"/>
        <v>0</v>
      </c>
      <c r="R351" s="1312">
        <f t="shared" ref="R351" si="125">R349*R336</f>
        <v>0</v>
      </c>
      <c r="S351" s="1312">
        <f t="shared" si="124"/>
        <v>0</v>
      </c>
      <c r="T351" s="1312">
        <f t="shared" si="124"/>
        <v>0</v>
      </c>
      <c r="U351" s="1312">
        <f t="shared" si="124"/>
        <v>0</v>
      </c>
      <c r="V351" s="1312">
        <f t="shared" si="124"/>
        <v>67.169951999999995</v>
      </c>
      <c r="W351" s="1312">
        <f t="shared" ref="W351:Y351" si="126">W349*W336</f>
        <v>0</v>
      </c>
      <c r="X351" s="1312">
        <f t="shared" ref="X351" si="127">X349*X336</f>
        <v>1.9251647999999997</v>
      </c>
      <c r="Y351" s="1312">
        <f t="shared" si="126"/>
        <v>0</v>
      </c>
      <c r="Z351" s="1312">
        <f t="shared" ref="Z351:AF351" si="128">Z349*Z336</f>
        <v>0</v>
      </c>
      <c r="AA351" s="1312">
        <f t="shared" si="128"/>
        <v>0</v>
      </c>
      <c r="AB351" s="1312">
        <f t="shared" si="128"/>
        <v>0</v>
      </c>
      <c r="AC351" s="1312">
        <f t="shared" si="128"/>
        <v>0</v>
      </c>
      <c r="AD351" s="1312">
        <f t="shared" si="128"/>
        <v>0</v>
      </c>
      <c r="AE351" s="1312">
        <f t="shared" ref="AE351" si="129">AE349*AE336</f>
        <v>19.146239999999999</v>
      </c>
      <c r="AF351" s="1312">
        <f t="shared" si="128"/>
        <v>50.337935999999992</v>
      </c>
      <c r="AG351" s="1312">
        <f t="shared" si="124"/>
        <v>0</v>
      </c>
      <c r="AH351" s="1312">
        <f t="shared" si="124"/>
        <v>420.50856960000004</v>
      </c>
    </row>
    <row r="352" spans="1:36" s="1304" customFormat="1" ht="26.25" thickBot="1" x14ac:dyDescent="0.25">
      <c r="A352" s="1303"/>
      <c r="C352" s="1305" t="str">
        <f>'TRAD-Children YEAR(1)'!B121</f>
        <v>Nb de cdt - Estimation période AVEC SS</v>
      </c>
      <c r="D352" s="1315">
        <f t="shared" ref="D352:AH352" si="130">D350*D336</f>
        <v>0</v>
      </c>
      <c r="E352" s="1315">
        <f t="shared" si="130"/>
        <v>0</v>
      </c>
      <c r="F352" s="1315">
        <f t="shared" si="130"/>
        <v>0</v>
      </c>
      <c r="G352" s="1315">
        <f t="shared" si="130"/>
        <v>0</v>
      </c>
      <c r="H352" s="1315">
        <f t="shared" si="130"/>
        <v>0</v>
      </c>
      <c r="I352" s="1315">
        <f t="shared" si="130"/>
        <v>0</v>
      </c>
      <c r="J352" s="1315">
        <f t="shared" si="130"/>
        <v>0</v>
      </c>
      <c r="K352" s="1316">
        <f t="shared" si="130"/>
        <v>0</v>
      </c>
      <c r="L352" s="1317">
        <f t="shared" si="130"/>
        <v>0</v>
      </c>
      <c r="M352" s="1315">
        <f t="shared" si="130"/>
        <v>2782.1880000000001</v>
      </c>
      <c r="N352" s="1315">
        <f t="shared" si="130"/>
        <v>0</v>
      </c>
      <c r="O352" s="1315">
        <f t="shared" si="130"/>
        <v>1005.2424000000002</v>
      </c>
      <c r="P352" s="1315">
        <f t="shared" si="130"/>
        <v>0</v>
      </c>
      <c r="Q352" s="1315">
        <f t="shared" si="130"/>
        <v>0</v>
      </c>
      <c r="R352" s="1315">
        <f t="shared" ref="R352" si="131">R350*R336</f>
        <v>0</v>
      </c>
      <c r="S352" s="1315">
        <f t="shared" si="130"/>
        <v>0</v>
      </c>
      <c r="T352" s="1315">
        <f t="shared" si="130"/>
        <v>0</v>
      </c>
      <c r="U352" s="1315">
        <f t="shared" si="130"/>
        <v>0</v>
      </c>
      <c r="V352" s="1315">
        <f t="shared" si="130"/>
        <v>92.292479999999983</v>
      </c>
      <c r="W352" s="1315">
        <f t="shared" ref="W352:Y352" si="132">W350*W336</f>
        <v>0</v>
      </c>
      <c r="X352" s="1315">
        <f t="shared" ref="X352" si="133">X350*X336</f>
        <v>2.9617919999999995</v>
      </c>
      <c r="Y352" s="1315">
        <f t="shared" si="132"/>
        <v>0</v>
      </c>
      <c r="Z352" s="1315">
        <f t="shared" ref="Z352:AF352" si="134">Z350*Z336</f>
        <v>0</v>
      </c>
      <c r="AA352" s="1315">
        <f t="shared" si="134"/>
        <v>0</v>
      </c>
      <c r="AB352" s="1315">
        <f t="shared" si="134"/>
        <v>0</v>
      </c>
      <c r="AC352" s="1315">
        <f t="shared" si="134"/>
        <v>0</v>
      </c>
      <c r="AD352" s="1315">
        <f t="shared" si="134"/>
        <v>0</v>
      </c>
      <c r="AE352" s="1315">
        <f t="shared" ref="AE352" si="135">AE350*AE336</f>
        <v>23.9328</v>
      </c>
      <c r="AF352" s="1315">
        <f t="shared" si="134"/>
        <v>67.087439999999987</v>
      </c>
      <c r="AG352" s="1315">
        <f t="shared" si="130"/>
        <v>0</v>
      </c>
      <c r="AH352" s="1315">
        <f t="shared" si="130"/>
        <v>632.20838400000014</v>
      </c>
    </row>
    <row r="353" spans="1:15" s="1279" customFormat="1" x14ac:dyDescent="0.2">
      <c r="A353" s="1282"/>
    </row>
    <row r="354" spans="1:15" x14ac:dyDescent="0.2">
      <c r="C354" s="528"/>
      <c r="F354" s="640"/>
      <c r="G354" s="640"/>
    </row>
    <row r="355" spans="1:15" s="263" customFormat="1" ht="16.5" thickBot="1" x14ac:dyDescent="0.3">
      <c r="A355" s="641" t="str">
        <f>'TRAD-Children YEAR(2)'!B12</f>
        <v>Quantification des besoins pour la prise en charge médicale pour la première année selon la répartition envisagée</v>
      </c>
      <c r="B355" s="641"/>
      <c r="C355" s="641"/>
      <c r="D355" s="641"/>
      <c r="E355" s="641"/>
      <c r="F355" s="641"/>
      <c r="G355" s="641"/>
      <c r="H355" s="641"/>
      <c r="I355" s="641"/>
      <c r="J355" s="641"/>
      <c r="K355" s="641"/>
      <c r="L355" s="641"/>
    </row>
    <row r="356" spans="1:15" x14ac:dyDescent="0.2">
      <c r="B356" s="528"/>
      <c r="E356" s="640"/>
      <c r="F356" s="640"/>
    </row>
    <row r="357" spans="1:15" ht="15" x14ac:dyDescent="0.2">
      <c r="B357" s="2143" t="str">
        <f>'TRAD-Children YEAR(2)'!B17</f>
        <v>Quantification des besoins en ARV pour la prise en charge pédiatrique sur la première année SANS stock de sécurité</v>
      </c>
      <c r="C357" s="2143"/>
      <c r="D357" s="2143"/>
      <c r="E357" s="2143"/>
      <c r="F357" s="2143"/>
      <c r="G357" s="2143"/>
      <c r="H357" s="2143"/>
      <c r="I357" s="2143"/>
      <c r="J357" s="2143"/>
      <c r="K357" s="2143"/>
      <c r="L357" s="2143"/>
      <c r="M357" s="2143"/>
    </row>
    <row r="358" spans="1:15" ht="13.5" thickBot="1" x14ac:dyDescent="0.25">
      <c r="B358" s="528"/>
      <c r="E358" s="640"/>
      <c r="F358" s="640"/>
    </row>
    <row r="359" spans="1:15" ht="13.5" thickBot="1" x14ac:dyDescent="0.25">
      <c r="B359" s="528"/>
      <c r="C359" s="528"/>
      <c r="D359" s="528"/>
      <c r="E359" s="2141" t="str">
        <f>'TRAD-Children YEAR(1)'!B86</f>
        <v>Poids envisagés</v>
      </c>
      <c r="F359" s="2142"/>
      <c r="G359" s="2142"/>
      <c r="H359" s="2192"/>
    </row>
    <row r="360" spans="1:15" ht="26.25" thickBot="1" x14ac:dyDescent="0.25">
      <c r="B360" s="642"/>
      <c r="C360" s="643" t="str">
        <f>'TRAD-Children YEAR(1)'!B113</f>
        <v>Nb de boites / mois pour l'ensemble des patients</v>
      </c>
      <c r="D360" s="369" t="str">
        <f>'TRAD-Children YEAR(1)'!B114</f>
        <v>Dosage</v>
      </c>
      <c r="E360" s="645" t="s">
        <v>206</v>
      </c>
      <c r="F360" s="646" t="s">
        <v>207</v>
      </c>
      <c r="G360" s="646" t="s">
        <v>208</v>
      </c>
      <c r="H360" s="647" t="s">
        <v>112</v>
      </c>
      <c r="I360" s="648" t="s">
        <v>129</v>
      </c>
      <c r="J360" s="649" t="s">
        <v>6</v>
      </c>
    </row>
    <row r="361" spans="1:15" x14ac:dyDescent="0.2">
      <c r="B361" s="650" t="str">
        <f>'TRAD-Children YEAR(1)'!B74</f>
        <v>sol buv</v>
      </c>
      <c r="C361" s="651" t="s">
        <v>39</v>
      </c>
      <c r="D361" s="651" t="s">
        <v>41</v>
      </c>
      <c r="E361" s="652">
        <f t="array" ref="E361:E391">TRANSPOSE($D$279:$AH$279)</f>
        <v>0</v>
      </c>
      <c r="F361" s="652">
        <f t="array" ref="F361:F391">TRANSPOSE($D$303:$AH$303)</f>
        <v>0</v>
      </c>
      <c r="G361" s="652">
        <f t="array" ref="G361:G391">TRANSPOSE($D$327:$AH$327)</f>
        <v>0</v>
      </c>
      <c r="H361" s="652">
        <f t="array" ref="H361:H391">TRANSPOSE($D$351:$AH$351)</f>
        <v>0</v>
      </c>
      <c r="I361" s="582">
        <f>G130</f>
        <v>0</v>
      </c>
      <c r="J361" s="653">
        <f>SUM(E361:I361)</f>
        <v>0</v>
      </c>
      <c r="L361" s="260">
        <v>279</v>
      </c>
      <c r="M361" s="260">
        <v>303</v>
      </c>
      <c r="N361" s="260">
        <v>327</v>
      </c>
      <c r="O361" s="260" t="s">
        <v>1591</v>
      </c>
    </row>
    <row r="362" spans="1:15" x14ac:dyDescent="0.2">
      <c r="B362" s="654"/>
      <c r="C362" s="655" t="s">
        <v>61</v>
      </c>
      <c r="D362" s="655" t="s">
        <v>41</v>
      </c>
      <c r="E362" s="656">
        <v>0</v>
      </c>
      <c r="F362" s="656">
        <v>0</v>
      </c>
      <c r="G362" s="656">
        <v>0</v>
      </c>
      <c r="H362" s="656">
        <v>0</v>
      </c>
      <c r="I362" s="585">
        <f>G129</f>
        <v>0</v>
      </c>
      <c r="J362" s="657">
        <f t="shared" ref="J362:J368" si="136">SUM(E362:I362)</f>
        <v>0</v>
      </c>
    </row>
    <row r="363" spans="1:15" x14ac:dyDescent="0.2">
      <c r="B363" s="654"/>
      <c r="C363" s="655" t="s">
        <v>15</v>
      </c>
      <c r="D363" s="655" t="s">
        <v>41</v>
      </c>
      <c r="E363" s="656">
        <v>0</v>
      </c>
      <c r="F363" s="656">
        <v>0</v>
      </c>
      <c r="G363" s="656">
        <v>0</v>
      </c>
      <c r="H363" s="656">
        <v>0</v>
      </c>
      <c r="I363" s="585">
        <f>G131</f>
        <v>0</v>
      </c>
      <c r="J363" s="657">
        <f t="shared" si="136"/>
        <v>0</v>
      </c>
    </row>
    <row r="364" spans="1:15" x14ac:dyDescent="0.2">
      <c r="B364" s="654"/>
      <c r="C364" s="655" t="s">
        <v>25</v>
      </c>
      <c r="D364" s="655" t="s">
        <v>44</v>
      </c>
      <c r="E364" s="656">
        <v>0</v>
      </c>
      <c r="F364" s="656">
        <v>0</v>
      </c>
      <c r="G364" s="656">
        <v>0</v>
      </c>
      <c r="H364" s="656">
        <v>0</v>
      </c>
      <c r="I364" s="585"/>
      <c r="J364" s="657">
        <f t="shared" si="136"/>
        <v>0</v>
      </c>
    </row>
    <row r="365" spans="1:15" x14ac:dyDescent="0.2">
      <c r="B365" s="654"/>
      <c r="C365" s="655" t="s">
        <v>28</v>
      </c>
      <c r="D365" s="655" t="s">
        <v>46</v>
      </c>
      <c r="E365" s="656">
        <v>0</v>
      </c>
      <c r="F365" s="656">
        <v>0</v>
      </c>
      <c r="G365" s="656">
        <v>0</v>
      </c>
      <c r="H365" s="656">
        <v>0</v>
      </c>
      <c r="I365" s="585"/>
      <c r="J365" s="657">
        <f t="shared" si="136"/>
        <v>0</v>
      </c>
    </row>
    <row r="366" spans="1:15" x14ac:dyDescent="0.2">
      <c r="B366" s="654"/>
      <c r="C366" s="655" t="s">
        <v>19</v>
      </c>
      <c r="D366" s="655" t="s">
        <v>41</v>
      </c>
      <c r="E366" s="656">
        <v>23.268000000000001</v>
      </c>
      <c r="F366" s="656">
        <v>66.48</v>
      </c>
      <c r="G366" s="656">
        <v>0</v>
      </c>
      <c r="H366" s="656">
        <v>0</v>
      </c>
      <c r="I366" s="585">
        <f>G132</f>
        <v>0</v>
      </c>
      <c r="J366" s="657">
        <f>SUM(E366:I366)</f>
        <v>89.748000000000005</v>
      </c>
    </row>
    <row r="367" spans="1:15" x14ac:dyDescent="0.2">
      <c r="B367" s="658"/>
      <c r="C367" s="659" t="s">
        <v>17</v>
      </c>
      <c r="D367" s="659" t="s">
        <v>259</v>
      </c>
      <c r="E367" s="660">
        <v>0</v>
      </c>
      <c r="F367" s="660">
        <v>205.7902</v>
      </c>
      <c r="G367" s="660">
        <v>42.092897599999993</v>
      </c>
      <c r="H367" s="660">
        <v>0</v>
      </c>
      <c r="I367" s="672"/>
      <c r="J367" s="661">
        <f>SUM(E367:I367)</f>
        <v>247.88309759999999</v>
      </c>
    </row>
    <row r="368" spans="1:15" ht="13.5" thickBot="1" x14ac:dyDescent="0.25">
      <c r="B368" s="662"/>
      <c r="C368" s="663" t="s">
        <v>33</v>
      </c>
      <c r="D368" s="663" t="s">
        <v>47</v>
      </c>
      <c r="E368" s="664">
        <v>651.02850000000012</v>
      </c>
      <c r="F368" s="664">
        <v>1850.7360000000003</v>
      </c>
      <c r="G368" s="664">
        <v>0</v>
      </c>
      <c r="H368" s="664">
        <v>0</v>
      </c>
      <c r="I368" s="673"/>
      <c r="J368" s="666">
        <f t="shared" si="136"/>
        <v>2501.7645000000002</v>
      </c>
    </row>
    <row r="369" spans="2:10" ht="25.5" x14ac:dyDescent="0.2">
      <c r="B369" s="650" t="str">
        <f>'TRAD-Children YEAR(1)'!B52</f>
        <v>cp</v>
      </c>
      <c r="C369" s="408" t="str">
        <f t="array" ref="C369:D391">'Data &amp; hypothesis Children'!$C$238:$D$260</f>
        <v>AZT+ 3TC+ NVP adulte</v>
      </c>
      <c r="D369" s="409" t="str">
        <v>300/150/200 mg</v>
      </c>
      <c r="E369" s="1358">
        <v>0</v>
      </c>
      <c r="F369" s="1358">
        <v>0</v>
      </c>
      <c r="G369" s="1358">
        <v>0</v>
      </c>
      <c r="H369" s="1358">
        <v>0</v>
      </c>
      <c r="I369" s="585"/>
      <c r="J369" s="657">
        <f>SUM(E369:I369)</f>
        <v>0</v>
      </c>
    </row>
    <row r="370" spans="2:10" x14ac:dyDescent="0.2">
      <c r="B370" s="667"/>
      <c r="C370" s="413" t="str">
        <v>AZT+ 3TC+ NVP bébé</v>
      </c>
      <c r="D370" s="414" t="str">
        <v>60/30/50 mg</v>
      </c>
      <c r="E370" s="656">
        <v>2318.4900000000002</v>
      </c>
      <c r="F370" s="656">
        <v>6182.64</v>
      </c>
      <c r="G370" s="656">
        <v>2009.3580000000002</v>
      </c>
      <c r="H370" s="656">
        <v>2225.7503999999999</v>
      </c>
      <c r="I370" s="585">
        <f>G135</f>
        <v>0</v>
      </c>
      <c r="J370" s="657">
        <f>SUM(E370:I370)</f>
        <v>12736.238400000002</v>
      </c>
    </row>
    <row r="371" spans="2:10" x14ac:dyDescent="0.2">
      <c r="B371" s="668"/>
      <c r="C371" s="413" t="str">
        <v>AZT+ 3TC adulte</v>
      </c>
      <c r="D371" s="414" t="str">
        <v>300/150 mg</v>
      </c>
      <c r="E371" s="656">
        <v>0</v>
      </c>
      <c r="F371" s="656">
        <v>0</v>
      </c>
      <c r="G371" s="656">
        <v>0</v>
      </c>
      <c r="H371" s="656">
        <v>0</v>
      </c>
      <c r="I371" s="585"/>
      <c r="J371" s="1327">
        <f>SUM(E371:I371)</f>
        <v>0</v>
      </c>
    </row>
    <row r="372" spans="2:10" x14ac:dyDescent="0.2">
      <c r="B372" s="668"/>
      <c r="C372" s="413" t="str">
        <v>AZT+ 3TC bébé</v>
      </c>
      <c r="D372" s="414" t="str">
        <v>60/30 mg</v>
      </c>
      <c r="E372" s="656">
        <v>651.02850000000012</v>
      </c>
      <c r="F372" s="656">
        <v>1955.4600000000003</v>
      </c>
      <c r="G372" s="656">
        <v>616.97188800000015</v>
      </c>
      <c r="H372" s="656">
        <v>677.63951999999995</v>
      </c>
      <c r="I372" s="585">
        <f>G136</f>
        <v>0</v>
      </c>
      <c r="J372" s="1327">
        <f>SUM(E372:I372)</f>
        <v>3901.0999080000001</v>
      </c>
    </row>
    <row r="373" spans="2:10" ht="25.5" x14ac:dyDescent="0.2">
      <c r="B373" s="668"/>
      <c r="C373" s="413" t="str">
        <v>D4T+ 3TC+ NVP adulte</v>
      </c>
      <c r="D373" s="414" t="str">
        <v>30/150/200 mg</v>
      </c>
      <c r="E373" s="656">
        <v>0</v>
      </c>
      <c r="F373" s="656">
        <v>0</v>
      </c>
      <c r="G373" s="656">
        <v>0</v>
      </c>
      <c r="H373" s="656">
        <v>0</v>
      </c>
      <c r="I373" s="585"/>
      <c r="J373" s="1327">
        <f t="shared" ref="J373:J389" si="137">SUM(E373:I373)</f>
        <v>0</v>
      </c>
    </row>
    <row r="374" spans="2:10" x14ac:dyDescent="0.2">
      <c r="B374" s="668"/>
      <c r="C374" s="413" t="str">
        <v>D4T+ 3TC+ NVP bébé</v>
      </c>
      <c r="D374" s="414" t="str">
        <v>6/30/50 mg</v>
      </c>
      <c r="E374" s="656">
        <v>0</v>
      </c>
      <c r="F374" s="656">
        <v>0</v>
      </c>
      <c r="G374" s="656">
        <v>0</v>
      </c>
      <c r="H374" s="656">
        <v>0</v>
      </c>
      <c r="I374" s="585">
        <f>G133</f>
        <v>0</v>
      </c>
      <c r="J374" s="1327">
        <f t="shared" si="137"/>
        <v>0</v>
      </c>
    </row>
    <row r="375" spans="2:10" x14ac:dyDescent="0.2">
      <c r="B375" s="668"/>
      <c r="C375" s="413" t="str">
        <v>D4T+ 3TC bébé</v>
      </c>
      <c r="D375" s="414" t="str">
        <v>6/30 mg</v>
      </c>
      <c r="E375" s="656">
        <v>0</v>
      </c>
      <c r="F375" s="656">
        <v>0</v>
      </c>
      <c r="G375" s="656">
        <v>0</v>
      </c>
      <c r="H375" s="656">
        <v>0</v>
      </c>
      <c r="I375" s="585">
        <f>G134</f>
        <v>0</v>
      </c>
      <c r="J375" s="1327">
        <f t="shared" si="137"/>
        <v>0</v>
      </c>
    </row>
    <row r="376" spans="2:10" ht="25.5" x14ac:dyDescent="0.2">
      <c r="B376" s="668"/>
      <c r="C376" s="413" t="str">
        <v>AZT+ 3TC+ ABC adulte</v>
      </c>
      <c r="D376" s="414" t="str">
        <v>300/150/300 mg</v>
      </c>
      <c r="E376" s="656">
        <v>0</v>
      </c>
      <c r="F376" s="656">
        <v>0</v>
      </c>
      <c r="G376" s="656">
        <v>0</v>
      </c>
      <c r="H376" s="656">
        <v>0</v>
      </c>
      <c r="I376" s="585"/>
      <c r="J376" s="1327">
        <f t="shared" si="137"/>
        <v>0</v>
      </c>
    </row>
    <row r="377" spans="2:10" x14ac:dyDescent="0.2">
      <c r="B377" s="668"/>
      <c r="C377" s="413" t="str">
        <v>AZT+ 3TC+ ABC bébé</v>
      </c>
      <c r="D377" s="414" t="str">
        <v>60/30/60 mg</v>
      </c>
      <c r="E377" s="656">
        <v>0</v>
      </c>
      <c r="F377" s="656">
        <v>0</v>
      </c>
      <c r="G377" s="656">
        <v>0</v>
      </c>
      <c r="H377" s="656">
        <v>0</v>
      </c>
      <c r="I377" s="585"/>
      <c r="J377" s="1327">
        <f>SUM(E377:I377)</f>
        <v>0</v>
      </c>
    </row>
    <row r="378" spans="2:10" x14ac:dyDescent="0.2">
      <c r="B378" s="668"/>
      <c r="C378" s="413" t="str">
        <v>ABC+ 3TC adulte</v>
      </c>
      <c r="D378" s="414" t="str">
        <v>600/300 mg</v>
      </c>
      <c r="E378" s="656">
        <v>0</v>
      </c>
      <c r="F378" s="656">
        <v>0</v>
      </c>
      <c r="G378" s="656">
        <v>0</v>
      </c>
      <c r="H378" s="656">
        <v>0</v>
      </c>
      <c r="I378" s="585"/>
      <c r="J378" s="1327">
        <f t="shared" si="137"/>
        <v>0</v>
      </c>
    </row>
    <row r="379" spans="2:10" x14ac:dyDescent="0.2">
      <c r="B379" s="1328"/>
      <c r="C379" s="418" t="str">
        <v>ABC+ 3TC bébé</v>
      </c>
      <c r="D379" s="419" t="str">
        <v>60/30 mg</v>
      </c>
      <c r="E379" s="1326">
        <v>0</v>
      </c>
      <c r="F379" s="1326">
        <v>248.05919999999998</v>
      </c>
      <c r="G379" s="1326">
        <v>60.639539999999997</v>
      </c>
      <c r="H379" s="1326">
        <v>67.169951999999995</v>
      </c>
      <c r="I379" s="585"/>
      <c r="J379" s="1327">
        <f t="shared" si="137"/>
        <v>375.86869200000001</v>
      </c>
    </row>
    <row r="380" spans="2:10" ht="25.5" x14ac:dyDescent="0.2">
      <c r="B380" s="1328"/>
      <c r="C380" s="418" t="str">
        <v>TDF+ FTC/3TC+ EFV adulte</v>
      </c>
      <c r="D380" s="419" t="str">
        <v>300/200/600 mg</v>
      </c>
      <c r="E380" s="1963">
        <v>0</v>
      </c>
      <c r="F380" s="1963">
        <v>0</v>
      </c>
      <c r="G380" s="1963">
        <v>0</v>
      </c>
      <c r="H380" s="1963">
        <v>0</v>
      </c>
      <c r="I380" s="585"/>
      <c r="J380" s="1327">
        <f t="shared" si="137"/>
        <v>0</v>
      </c>
    </row>
    <row r="381" spans="2:10" x14ac:dyDescent="0.2">
      <c r="B381" s="1328"/>
      <c r="C381" s="418" t="str">
        <v>TDF+ FTC/3TC adulte</v>
      </c>
      <c r="D381" s="419" t="str">
        <v>300/200 mg</v>
      </c>
      <c r="E381" s="1963">
        <v>0</v>
      </c>
      <c r="F381" s="1963">
        <v>0</v>
      </c>
      <c r="G381" s="1963">
        <v>0</v>
      </c>
      <c r="H381" s="1963">
        <v>1.9251647999999997</v>
      </c>
      <c r="I381" s="585"/>
      <c r="J381" s="1327">
        <f t="shared" si="137"/>
        <v>1.9251647999999997</v>
      </c>
    </row>
    <row r="382" spans="2:10" x14ac:dyDescent="0.2">
      <c r="B382" s="1328"/>
      <c r="C382" s="418" t="str">
        <v>TDF adulte</v>
      </c>
      <c r="D382" s="419" t="str">
        <v>300 mg</v>
      </c>
      <c r="E382" s="1963">
        <v>0</v>
      </c>
      <c r="F382" s="1963">
        <v>0</v>
      </c>
      <c r="G382" s="1963">
        <v>0</v>
      </c>
      <c r="H382" s="1963">
        <v>0</v>
      </c>
      <c r="I382" s="585"/>
      <c r="J382" s="1327">
        <f t="shared" si="137"/>
        <v>0</v>
      </c>
    </row>
    <row r="383" spans="2:10" x14ac:dyDescent="0.2">
      <c r="B383" s="1328"/>
      <c r="C383" s="418" t="str">
        <v>3TC adulte</v>
      </c>
      <c r="D383" s="419" t="str">
        <v>150 mg</v>
      </c>
      <c r="E383" s="1326">
        <v>0</v>
      </c>
      <c r="F383" s="1326">
        <v>0</v>
      </c>
      <c r="G383" s="1326">
        <v>0</v>
      </c>
      <c r="H383" s="1326">
        <v>0</v>
      </c>
      <c r="I383" s="585"/>
      <c r="J383" s="1327">
        <f t="shared" si="137"/>
        <v>0</v>
      </c>
    </row>
    <row r="384" spans="2:10" ht="26.25" customHeight="1" x14ac:dyDescent="0.2">
      <c r="B384" s="668"/>
      <c r="C384" s="413" t="str">
        <v>ABC adulte</v>
      </c>
      <c r="D384" s="419" t="str">
        <v>300 mg</v>
      </c>
      <c r="E384" s="1358">
        <v>0</v>
      </c>
      <c r="F384" s="1358">
        <v>0</v>
      </c>
      <c r="G384" s="1358">
        <v>0</v>
      </c>
      <c r="H384" s="1358">
        <v>0</v>
      </c>
      <c r="I384" s="585"/>
      <c r="J384" s="1327">
        <f t="shared" si="137"/>
        <v>0</v>
      </c>
    </row>
    <row r="385" spans="2:13" x14ac:dyDescent="0.2">
      <c r="B385" s="668"/>
      <c r="C385" s="413" t="str">
        <v>ABC bébé</v>
      </c>
      <c r="D385" s="419" t="str">
        <v>60 mg</v>
      </c>
      <c r="E385" s="1358">
        <v>0</v>
      </c>
      <c r="F385" s="1358">
        <v>0</v>
      </c>
      <c r="G385" s="1358">
        <v>0</v>
      </c>
      <c r="H385" s="1358">
        <v>0</v>
      </c>
      <c r="I385" s="585"/>
      <c r="J385" s="1327">
        <f t="shared" si="137"/>
        <v>0</v>
      </c>
    </row>
    <row r="386" spans="2:13" x14ac:dyDescent="0.2">
      <c r="B386" s="668"/>
      <c r="C386" s="413" t="str">
        <v>DDI adulte</v>
      </c>
      <c r="D386" s="419" t="str">
        <v>250 mg</v>
      </c>
      <c r="E386" s="1358">
        <v>0</v>
      </c>
      <c r="F386" s="1358">
        <v>0</v>
      </c>
      <c r="G386" s="1358">
        <v>0</v>
      </c>
      <c r="H386" s="1358">
        <v>0</v>
      </c>
      <c r="I386" s="585"/>
      <c r="J386" s="1327">
        <f t="shared" si="137"/>
        <v>0</v>
      </c>
    </row>
    <row r="387" spans="2:13" x14ac:dyDescent="0.2">
      <c r="B387" s="668"/>
      <c r="C387" s="413" t="str">
        <v>NVP adulte</v>
      </c>
      <c r="D387" s="419" t="str">
        <v>200 mg</v>
      </c>
      <c r="E387" s="1358">
        <v>0</v>
      </c>
      <c r="F387" s="1358">
        <v>0</v>
      </c>
      <c r="G387" s="1358">
        <v>0</v>
      </c>
      <c r="H387" s="1358">
        <v>0</v>
      </c>
      <c r="I387" s="585"/>
      <c r="J387" s="1327">
        <f t="shared" si="137"/>
        <v>0</v>
      </c>
    </row>
    <row r="388" spans="2:13" x14ac:dyDescent="0.2">
      <c r="B388" s="668"/>
      <c r="C388" s="413" t="str">
        <v>NVP bébé</v>
      </c>
      <c r="D388" s="419" t="str">
        <v>50 mg</v>
      </c>
      <c r="E388" s="1358">
        <v>0</v>
      </c>
      <c r="F388" s="1358">
        <v>53.184000000000005</v>
      </c>
      <c r="G388" s="1358">
        <v>17.284800000000004</v>
      </c>
      <c r="H388" s="1358">
        <v>19.146239999999999</v>
      </c>
      <c r="I388" s="585"/>
      <c r="J388" s="1327">
        <f t="shared" si="137"/>
        <v>89.615040000000022</v>
      </c>
    </row>
    <row r="389" spans="2:13" x14ac:dyDescent="0.2">
      <c r="B389" s="668"/>
      <c r="C389" s="413" t="str">
        <v>EFV enfant</v>
      </c>
      <c r="D389" s="419" t="str">
        <v>200 mg</v>
      </c>
      <c r="E389" s="1358">
        <v>0</v>
      </c>
      <c r="F389" s="1358">
        <v>109.69199999999998</v>
      </c>
      <c r="G389" s="1358">
        <v>54.532764</v>
      </c>
      <c r="H389" s="1358">
        <v>50.337935999999992</v>
      </c>
      <c r="I389" s="585"/>
      <c r="J389" s="1327">
        <f t="shared" si="137"/>
        <v>214.56269999999998</v>
      </c>
    </row>
    <row r="390" spans="2:13" x14ac:dyDescent="0.2">
      <c r="B390" s="668"/>
      <c r="C390" s="413" t="str">
        <v>LPV/r adulte</v>
      </c>
      <c r="D390" s="419" t="str">
        <v>200/50 mg</v>
      </c>
      <c r="E390" s="1358">
        <v>0</v>
      </c>
      <c r="F390" s="1358">
        <v>0</v>
      </c>
      <c r="G390" s="1358">
        <v>0</v>
      </c>
      <c r="H390" s="1358">
        <v>0</v>
      </c>
      <c r="I390" s="585"/>
      <c r="J390" s="657">
        <f>SUM(E390:I390)</f>
        <v>0</v>
      </c>
    </row>
    <row r="391" spans="2:13" ht="13.5" thickBot="1" x14ac:dyDescent="0.25">
      <c r="B391" s="669"/>
      <c r="C391" s="422" t="str">
        <v>LPV/r enfant</v>
      </c>
      <c r="D391" s="423" t="str">
        <v>100/25 mg</v>
      </c>
      <c r="E391" s="1359">
        <v>0</v>
      </c>
      <c r="F391" s="1359">
        <v>1414.1386800000002</v>
      </c>
      <c r="G391" s="1359">
        <v>455.55095040000009</v>
      </c>
      <c r="H391" s="1359">
        <v>420.50856960000004</v>
      </c>
      <c r="I391" s="665"/>
      <c r="J391" s="666">
        <f>SUM(E391:I391)</f>
        <v>2290.1982000000003</v>
      </c>
    </row>
    <row r="393" spans="2:13" ht="15" x14ac:dyDescent="0.2">
      <c r="B393" s="2143" t="str">
        <f>'TRAD-Children YEAR(2)'!B18</f>
        <v>Quantification des besoins en ARV pour la prise en charge pédiatrique sur la première année AVEC stock de sécurité</v>
      </c>
      <c r="C393" s="2143"/>
      <c r="D393" s="2143"/>
      <c r="E393" s="2143"/>
      <c r="F393" s="2143"/>
      <c r="G393" s="2143"/>
      <c r="H393" s="2143"/>
      <c r="I393" s="2143"/>
      <c r="J393" s="2143"/>
      <c r="K393" s="2143"/>
      <c r="L393" s="2143"/>
      <c r="M393" s="2143"/>
    </row>
    <row r="394" spans="2:13" ht="13.5" thickBot="1" x14ac:dyDescent="0.25">
      <c r="B394" s="528"/>
      <c r="E394" s="640"/>
      <c r="F394" s="640"/>
    </row>
    <row r="395" spans="2:13" ht="13.5" thickBot="1" x14ac:dyDescent="0.25">
      <c r="B395" s="528"/>
      <c r="C395" s="528"/>
      <c r="D395" s="528"/>
      <c r="E395" s="2141" t="str">
        <f>'TRAD-Children YEAR(1)'!B86</f>
        <v>Poids envisagés</v>
      </c>
      <c r="F395" s="2142"/>
      <c r="G395" s="2142"/>
      <c r="H395" s="2192"/>
    </row>
    <row r="396" spans="2:13" ht="51.75" thickBot="1" x14ac:dyDescent="0.25">
      <c r="B396" s="642"/>
      <c r="C396" s="643" t="str">
        <f>'TRAD-Children YEAR(1)'!B113</f>
        <v>Nb de boites / mois pour l'ensemble des patients</v>
      </c>
      <c r="D396" s="369" t="s">
        <v>2</v>
      </c>
      <c r="E396" s="645" t="s">
        <v>206</v>
      </c>
      <c r="F396" s="646" t="s">
        <v>207</v>
      </c>
      <c r="G396" s="646" t="s">
        <v>208</v>
      </c>
      <c r="H396" s="647" t="s">
        <v>112</v>
      </c>
      <c r="I396" s="644" t="s">
        <v>129</v>
      </c>
      <c r="J396" s="649" t="str">
        <f>'TRAD-Children YEAR(1)'!B12</f>
        <v>TOTAL (nbre de boîtes / flacons)</v>
      </c>
      <c r="K396" s="643" t="str">
        <f>'TRAD-Children YEAR(1)'!B130</f>
        <v>Soit un stock de sécurité de</v>
      </c>
    </row>
    <row r="397" spans="2:13" x14ac:dyDescent="0.2">
      <c r="B397" s="650" t="str">
        <f>'TRAD-Children YEAR(1)'!B74</f>
        <v>sol buv</v>
      </c>
      <c r="C397" s="651" t="s">
        <v>39</v>
      </c>
      <c r="D397" s="651" t="s">
        <v>41</v>
      </c>
      <c r="E397" s="652">
        <f t="array" ref="E397:E427">TRANSPOSE($D$280:$AH$280)</f>
        <v>0</v>
      </c>
      <c r="F397" s="652">
        <f t="array" ref="F397:F427">TRANSPOSE($D$304:$AH$304)</f>
        <v>0</v>
      </c>
      <c r="G397" s="652">
        <f t="array" ref="G397:G427">TRANSPOSE($D$328:$AH$328)</f>
        <v>0</v>
      </c>
      <c r="H397" s="652">
        <f t="array" ref="H397:H427">TRANSPOSE($D$352:$AH$352)</f>
        <v>0</v>
      </c>
      <c r="I397" s="582">
        <f>H130</f>
        <v>0</v>
      </c>
      <c r="J397" s="653">
        <f t="shared" ref="J397" si="138">SUM(E397:I397)</f>
        <v>0</v>
      </c>
      <c r="K397" s="1437">
        <f t="shared" ref="K397:K415" si="139">J397-J361</f>
        <v>0</v>
      </c>
      <c r="L397" s="1363"/>
    </row>
    <row r="398" spans="2:13" x14ac:dyDescent="0.2">
      <c r="B398" s="654"/>
      <c r="C398" s="655" t="s">
        <v>61</v>
      </c>
      <c r="D398" s="655" t="s">
        <v>41</v>
      </c>
      <c r="E398" s="656">
        <v>0</v>
      </c>
      <c r="F398" s="656">
        <v>0</v>
      </c>
      <c r="G398" s="656">
        <v>0</v>
      </c>
      <c r="H398" s="656">
        <v>0</v>
      </c>
      <c r="I398" s="585">
        <f>H129</f>
        <v>0</v>
      </c>
      <c r="J398" s="657">
        <f t="shared" ref="J398:J427" si="140">SUM(E398:I398)</f>
        <v>0</v>
      </c>
      <c r="K398" s="1438">
        <f t="shared" si="139"/>
        <v>0</v>
      </c>
      <c r="L398" s="1364"/>
    </row>
    <row r="399" spans="2:13" x14ac:dyDescent="0.2">
      <c r="B399" s="654"/>
      <c r="C399" s="655" t="s">
        <v>15</v>
      </c>
      <c r="D399" s="655" t="s">
        <v>41</v>
      </c>
      <c r="E399" s="656">
        <v>0</v>
      </c>
      <c r="F399" s="656">
        <v>0</v>
      </c>
      <c r="G399" s="656">
        <v>0</v>
      </c>
      <c r="H399" s="656">
        <v>0</v>
      </c>
      <c r="I399" s="585">
        <f>H131</f>
        <v>0</v>
      </c>
      <c r="J399" s="657">
        <f t="shared" si="140"/>
        <v>0</v>
      </c>
      <c r="K399" s="1438">
        <f t="shared" si="139"/>
        <v>0</v>
      </c>
      <c r="L399" s="1364"/>
    </row>
    <row r="400" spans="2:13" x14ac:dyDescent="0.2">
      <c r="B400" s="654"/>
      <c r="C400" s="655" t="s">
        <v>25</v>
      </c>
      <c r="D400" s="655" t="s">
        <v>44</v>
      </c>
      <c r="E400" s="656">
        <v>0</v>
      </c>
      <c r="F400" s="656">
        <v>0</v>
      </c>
      <c r="G400" s="656">
        <v>0</v>
      </c>
      <c r="H400" s="656">
        <v>0</v>
      </c>
      <c r="I400" s="585"/>
      <c r="J400" s="657">
        <f t="shared" si="140"/>
        <v>0</v>
      </c>
      <c r="K400" s="1438">
        <f t="shared" si="139"/>
        <v>0</v>
      </c>
      <c r="L400" s="1364"/>
    </row>
    <row r="401" spans="2:12" x14ac:dyDescent="0.2">
      <c r="B401" s="654"/>
      <c r="C401" s="655" t="s">
        <v>28</v>
      </c>
      <c r="D401" s="655" t="s">
        <v>46</v>
      </c>
      <c r="E401" s="656">
        <v>0</v>
      </c>
      <c r="F401" s="656">
        <v>0</v>
      </c>
      <c r="G401" s="656">
        <v>0</v>
      </c>
      <c r="H401" s="656">
        <v>0</v>
      </c>
      <c r="I401" s="585"/>
      <c r="J401" s="657">
        <f t="shared" si="140"/>
        <v>0</v>
      </c>
      <c r="K401" s="1438">
        <f t="shared" si="139"/>
        <v>0</v>
      </c>
      <c r="L401" s="1364"/>
    </row>
    <row r="402" spans="2:12" x14ac:dyDescent="0.2">
      <c r="B402" s="654"/>
      <c r="C402" s="655" t="s">
        <v>19</v>
      </c>
      <c r="D402" s="655" t="s">
        <v>41</v>
      </c>
      <c r="E402" s="656">
        <v>29.085000000000001</v>
      </c>
      <c r="F402" s="656">
        <v>83.100000000000009</v>
      </c>
      <c r="G402" s="656">
        <v>0</v>
      </c>
      <c r="H402" s="656">
        <v>0</v>
      </c>
      <c r="I402" s="585">
        <f>H132</f>
        <v>0</v>
      </c>
      <c r="J402" s="657">
        <f t="shared" si="140"/>
        <v>112.185</v>
      </c>
      <c r="K402" s="1438">
        <f t="shared" si="139"/>
        <v>22.436999999999998</v>
      </c>
      <c r="L402" s="1364"/>
    </row>
    <row r="403" spans="2:12" x14ac:dyDescent="0.2">
      <c r="B403" s="658"/>
      <c r="C403" s="659" t="s">
        <v>17</v>
      </c>
      <c r="D403" s="659" t="s">
        <v>259</v>
      </c>
      <c r="E403" s="660">
        <v>0</v>
      </c>
      <c r="F403" s="660">
        <v>270.7355</v>
      </c>
      <c r="G403" s="660">
        <v>60.437103999999984</v>
      </c>
      <c r="H403" s="660">
        <v>0</v>
      </c>
      <c r="I403" s="672"/>
      <c r="J403" s="661">
        <f t="shared" si="140"/>
        <v>331.17260399999998</v>
      </c>
      <c r="K403" s="1439">
        <f t="shared" si="139"/>
        <v>83.289506399999993</v>
      </c>
      <c r="L403" s="1364"/>
    </row>
    <row r="404" spans="2:12" ht="13.5" thickBot="1" x14ac:dyDescent="0.25">
      <c r="B404" s="662"/>
      <c r="C404" s="663" t="s">
        <v>33</v>
      </c>
      <c r="D404" s="663" t="s">
        <v>47</v>
      </c>
      <c r="E404" s="664">
        <v>978.57000000000016</v>
      </c>
      <c r="F404" s="664">
        <v>2785.9200000000005</v>
      </c>
      <c r="G404" s="664">
        <v>0</v>
      </c>
      <c r="H404" s="664">
        <v>0</v>
      </c>
      <c r="I404" s="673"/>
      <c r="J404" s="666">
        <f t="shared" si="140"/>
        <v>3764.4900000000007</v>
      </c>
      <c r="K404" s="1440">
        <f t="shared" si="139"/>
        <v>1262.7255000000005</v>
      </c>
      <c r="L404" s="1365"/>
    </row>
    <row r="405" spans="2:12" ht="25.5" x14ac:dyDescent="0.2">
      <c r="B405" s="650" t="str">
        <f>'TRAD-Children YEAR(1)'!B52</f>
        <v>cp</v>
      </c>
      <c r="C405" s="408" t="str">
        <f t="array" ref="C405:D427">'Data &amp; hypothesis Children'!$C$238:$D$260</f>
        <v>AZT+ 3TC+ NVP adulte</v>
      </c>
      <c r="D405" s="409" t="str">
        <v>300/150/200 mg</v>
      </c>
      <c r="E405" s="1358">
        <v>0</v>
      </c>
      <c r="F405" s="1358">
        <v>0</v>
      </c>
      <c r="G405" s="1358">
        <v>0</v>
      </c>
      <c r="H405" s="1358">
        <v>0</v>
      </c>
      <c r="I405" s="585"/>
      <c r="J405" s="657">
        <f t="shared" si="140"/>
        <v>0</v>
      </c>
      <c r="K405" s="1438">
        <f t="shared" si="139"/>
        <v>0</v>
      </c>
      <c r="L405" s="1363"/>
    </row>
    <row r="406" spans="2:12" x14ac:dyDescent="0.2">
      <c r="B406" s="667"/>
      <c r="C406" s="413" t="str">
        <v>AZT+ 3TC+ NVP bébé</v>
      </c>
      <c r="D406" s="414" t="str">
        <v>60/30/50 mg</v>
      </c>
      <c r="E406" s="656">
        <v>2898.1125000000002</v>
      </c>
      <c r="F406" s="656">
        <v>7728.3</v>
      </c>
      <c r="G406" s="656">
        <v>2511.6975000000002</v>
      </c>
      <c r="H406" s="656">
        <v>2782.1880000000001</v>
      </c>
      <c r="I406" s="585">
        <f>H135</f>
        <v>0</v>
      </c>
      <c r="J406" s="657">
        <f t="shared" si="140"/>
        <v>15920.298000000001</v>
      </c>
      <c r="K406" s="1438">
        <f t="shared" si="139"/>
        <v>3184.0595999999987</v>
      </c>
      <c r="L406" s="1364"/>
    </row>
    <row r="407" spans="2:12" x14ac:dyDescent="0.2">
      <c r="B407" s="668"/>
      <c r="C407" s="413" t="str">
        <v>AZT+ 3TC adulte</v>
      </c>
      <c r="D407" s="414" t="str">
        <v>300/150 mg</v>
      </c>
      <c r="E407" s="656">
        <v>0</v>
      </c>
      <c r="F407" s="656">
        <v>0</v>
      </c>
      <c r="G407" s="656">
        <v>0</v>
      </c>
      <c r="H407" s="656">
        <v>0</v>
      </c>
      <c r="I407" s="585"/>
      <c r="J407" s="1327">
        <f t="shared" si="140"/>
        <v>0</v>
      </c>
      <c r="K407" s="1441">
        <f t="shared" si="139"/>
        <v>0</v>
      </c>
      <c r="L407" s="1364"/>
    </row>
    <row r="408" spans="2:12" x14ac:dyDescent="0.2">
      <c r="B408" s="668"/>
      <c r="C408" s="413" t="str">
        <v>AZT+ 3TC bébé</v>
      </c>
      <c r="D408" s="414" t="str">
        <v>60/30 mg</v>
      </c>
      <c r="E408" s="656">
        <v>978.57000000000016</v>
      </c>
      <c r="F408" s="656">
        <v>2883.7500000000005</v>
      </c>
      <c r="G408" s="656">
        <v>915.5320200000001</v>
      </c>
      <c r="H408" s="656">
        <v>1005.2424000000002</v>
      </c>
      <c r="I408" s="585">
        <f>H136</f>
        <v>0</v>
      </c>
      <c r="J408" s="1327">
        <f t="shared" si="140"/>
        <v>5783.0944200000004</v>
      </c>
      <c r="K408" s="1441">
        <f t="shared" si="139"/>
        <v>1881.9945120000002</v>
      </c>
      <c r="L408" s="1364"/>
    </row>
    <row r="409" spans="2:12" ht="25.5" x14ac:dyDescent="0.2">
      <c r="B409" s="668"/>
      <c r="C409" s="413" t="str">
        <v>D4T+ 3TC+ NVP adulte</v>
      </c>
      <c r="D409" s="414" t="str">
        <v>30/150/200 mg</v>
      </c>
      <c r="E409" s="656">
        <v>0</v>
      </c>
      <c r="F409" s="656">
        <v>0</v>
      </c>
      <c r="G409" s="656">
        <v>0</v>
      </c>
      <c r="H409" s="656">
        <v>0</v>
      </c>
      <c r="I409" s="585"/>
      <c r="J409" s="1327">
        <f t="shared" si="140"/>
        <v>0</v>
      </c>
      <c r="K409" s="1441">
        <f t="shared" si="139"/>
        <v>0</v>
      </c>
      <c r="L409" s="1364"/>
    </row>
    <row r="410" spans="2:12" x14ac:dyDescent="0.2">
      <c r="B410" s="668"/>
      <c r="C410" s="413" t="str">
        <v>D4T+ 3TC+ NVP bébé</v>
      </c>
      <c r="D410" s="414" t="str">
        <v>6/30/50 mg</v>
      </c>
      <c r="E410" s="656">
        <v>0</v>
      </c>
      <c r="F410" s="656">
        <v>0</v>
      </c>
      <c r="G410" s="656">
        <v>0</v>
      </c>
      <c r="H410" s="656">
        <v>0</v>
      </c>
      <c r="I410" s="585">
        <f>H133</f>
        <v>0</v>
      </c>
      <c r="J410" s="1327">
        <f t="shared" si="140"/>
        <v>0</v>
      </c>
      <c r="K410" s="1441">
        <f t="shared" si="139"/>
        <v>0</v>
      </c>
      <c r="L410" s="1364"/>
    </row>
    <row r="411" spans="2:12" x14ac:dyDescent="0.2">
      <c r="B411" s="668"/>
      <c r="C411" s="413" t="str">
        <v>D4T+ 3TC bébé</v>
      </c>
      <c r="D411" s="414" t="str">
        <v>6/30 mg</v>
      </c>
      <c r="E411" s="656">
        <v>0</v>
      </c>
      <c r="F411" s="656">
        <v>0</v>
      </c>
      <c r="G411" s="656">
        <v>0</v>
      </c>
      <c r="H411" s="656">
        <v>0</v>
      </c>
      <c r="I411" s="585">
        <f>H134</f>
        <v>0</v>
      </c>
      <c r="J411" s="1327">
        <f t="shared" ref="J411" si="141">SUM(E411:I411)</f>
        <v>0</v>
      </c>
      <c r="K411" s="1441">
        <f t="shared" si="139"/>
        <v>0</v>
      </c>
      <c r="L411" s="1364"/>
    </row>
    <row r="412" spans="2:12" ht="25.5" x14ac:dyDescent="0.2">
      <c r="B412" s="668"/>
      <c r="C412" s="413" t="str">
        <v>AZT+ 3TC+ ABC adulte</v>
      </c>
      <c r="D412" s="414" t="str">
        <v>300/150/300 mg</v>
      </c>
      <c r="E412" s="656">
        <v>0</v>
      </c>
      <c r="F412" s="656">
        <v>0</v>
      </c>
      <c r="G412" s="656">
        <v>0</v>
      </c>
      <c r="H412" s="656">
        <v>0</v>
      </c>
      <c r="I412" s="585"/>
      <c r="J412" s="1327">
        <f t="shared" si="140"/>
        <v>0</v>
      </c>
      <c r="K412" s="1441">
        <f t="shared" si="139"/>
        <v>0</v>
      </c>
      <c r="L412" s="1364"/>
    </row>
    <row r="413" spans="2:12" x14ac:dyDescent="0.2">
      <c r="B413" s="668"/>
      <c r="C413" s="413" t="str">
        <v>AZT+ 3TC+ ABC bébé</v>
      </c>
      <c r="D413" s="414" t="str">
        <v>60/30/60 mg</v>
      </c>
      <c r="E413" s="656">
        <v>0</v>
      </c>
      <c r="F413" s="656">
        <v>0</v>
      </c>
      <c r="G413" s="656">
        <v>0</v>
      </c>
      <c r="H413" s="656">
        <v>0</v>
      </c>
      <c r="I413" s="585"/>
      <c r="J413" s="1327">
        <f t="shared" si="140"/>
        <v>0</v>
      </c>
      <c r="K413" s="1441">
        <f t="shared" si="139"/>
        <v>0</v>
      </c>
      <c r="L413" s="1364"/>
    </row>
    <row r="414" spans="2:12" x14ac:dyDescent="0.2">
      <c r="B414" s="668"/>
      <c r="C414" s="413" t="str">
        <v>ABC+ 3TC adulte</v>
      </c>
      <c r="D414" s="414" t="str">
        <v>600/300 mg</v>
      </c>
      <c r="E414" s="656">
        <v>0</v>
      </c>
      <c r="F414" s="656">
        <v>0</v>
      </c>
      <c r="G414" s="656">
        <v>0</v>
      </c>
      <c r="H414" s="656">
        <v>0</v>
      </c>
      <c r="I414" s="585"/>
      <c r="J414" s="1327">
        <f t="shared" si="140"/>
        <v>0</v>
      </c>
      <c r="K414" s="1441">
        <f t="shared" si="139"/>
        <v>0</v>
      </c>
      <c r="L414" s="1364"/>
    </row>
    <row r="415" spans="2:12" x14ac:dyDescent="0.2">
      <c r="B415" s="668"/>
      <c r="C415" s="418" t="str">
        <v>ABC+ 3TC bébé</v>
      </c>
      <c r="D415" s="419" t="str">
        <v>60/30 mg</v>
      </c>
      <c r="E415" s="1326">
        <v>0</v>
      </c>
      <c r="F415" s="1326">
        <v>366.28800000000001</v>
      </c>
      <c r="G415" s="1326">
        <v>83.31959999999998</v>
      </c>
      <c r="H415" s="1326">
        <v>92.292479999999983</v>
      </c>
      <c r="I415" s="585"/>
      <c r="J415" s="1327">
        <f t="shared" si="140"/>
        <v>541.90008</v>
      </c>
      <c r="K415" s="1441">
        <f t="shared" si="139"/>
        <v>166.03138799999999</v>
      </c>
      <c r="L415" s="1364"/>
    </row>
    <row r="416" spans="2:12" ht="25.5" x14ac:dyDescent="0.2">
      <c r="B416" s="668"/>
      <c r="C416" s="418" t="str">
        <v>TDF+ FTC/3TC+ EFV adulte</v>
      </c>
      <c r="D416" s="419" t="str">
        <v>300/200/600 mg</v>
      </c>
      <c r="E416" s="1963">
        <v>0</v>
      </c>
      <c r="F416" s="1963">
        <v>0</v>
      </c>
      <c r="G416" s="1963">
        <v>0</v>
      </c>
      <c r="H416" s="1963">
        <v>0</v>
      </c>
      <c r="I416" s="585"/>
      <c r="J416" s="1327">
        <f t="shared" ref="J416:J418" si="142">SUM(E416:I416)</f>
        <v>0</v>
      </c>
      <c r="K416" s="1441">
        <f t="shared" ref="K416:K418" si="143">J416-J380</f>
        <v>0</v>
      </c>
      <c r="L416" s="1364"/>
    </row>
    <row r="417" spans="1:14" x14ac:dyDescent="0.2">
      <c r="B417" s="668"/>
      <c r="C417" s="418" t="str">
        <v>TDF+ FTC/3TC adulte</v>
      </c>
      <c r="D417" s="419" t="str">
        <v>300/200 mg</v>
      </c>
      <c r="E417" s="1963">
        <v>0</v>
      </c>
      <c r="F417" s="1963">
        <v>0</v>
      </c>
      <c r="G417" s="1963">
        <v>0</v>
      </c>
      <c r="H417" s="1963">
        <v>2.9617919999999995</v>
      </c>
      <c r="I417" s="585"/>
      <c r="J417" s="1327">
        <f t="shared" si="142"/>
        <v>2.9617919999999995</v>
      </c>
      <c r="K417" s="1441">
        <f t="shared" si="143"/>
        <v>1.0366271999999999</v>
      </c>
      <c r="L417" s="1364"/>
    </row>
    <row r="418" spans="1:14" x14ac:dyDescent="0.2">
      <c r="B418" s="668"/>
      <c r="C418" s="418" t="str">
        <v>TDF adulte</v>
      </c>
      <c r="D418" s="419" t="str">
        <v>300 mg</v>
      </c>
      <c r="E418" s="1963">
        <v>0</v>
      </c>
      <c r="F418" s="1963">
        <v>0</v>
      </c>
      <c r="G418" s="1963">
        <v>0</v>
      </c>
      <c r="H418" s="1963">
        <v>0</v>
      </c>
      <c r="I418" s="585"/>
      <c r="J418" s="1327">
        <f t="shared" si="142"/>
        <v>0</v>
      </c>
      <c r="K418" s="1441">
        <f t="shared" si="143"/>
        <v>0</v>
      </c>
      <c r="L418" s="1364"/>
    </row>
    <row r="419" spans="1:14" x14ac:dyDescent="0.2">
      <c r="B419" s="668"/>
      <c r="C419" s="418" t="str">
        <v>3TC adulte</v>
      </c>
      <c r="D419" s="419" t="str">
        <v>150 mg</v>
      </c>
      <c r="E419" s="1326">
        <v>0</v>
      </c>
      <c r="F419" s="1326">
        <v>0</v>
      </c>
      <c r="G419" s="1326">
        <v>0</v>
      </c>
      <c r="H419" s="1326">
        <v>0</v>
      </c>
      <c r="I419" s="585"/>
      <c r="J419" s="1327">
        <f t="shared" si="140"/>
        <v>0</v>
      </c>
      <c r="K419" s="1441">
        <f t="shared" ref="K419:K427" si="144">J419-J383</f>
        <v>0</v>
      </c>
      <c r="L419" s="1364"/>
    </row>
    <row r="420" spans="1:14" x14ac:dyDescent="0.2">
      <c r="B420" s="668"/>
      <c r="C420" s="413" t="str">
        <v>ABC adulte</v>
      </c>
      <c r="D420" s="419" t="str">
        <v>300 mg</v>
      </c>
      <c r="E420" s="1358">
        <v>0</v>
      </c>
      <c r="F420" s="1358">
        <v>0</v>
      </c>
      <c r="G420" s="1358">
        <v>0</v>
      </c>
      <c r="H420" s="1358">
        <v>0</v>
      </c>
      <c r="I420" s="585"/>
      <c r="J420" s="1327">
        <f t="shared" si="140"/>
        <v>0</v>
      </c>
      <c r="K420" s="1441">
        <f t="shared" si="144"/>
        <v>0</v>
      </c>
      <c r="L420" s="1364"/>
    </row>
    <row r="421" spans="1:14" x14ac:dyDescent="0.2">
      <c r="B421" s="668"/>
      <c r="C421" s="413" t="str">
        <v>ABC bébé</v>
      </c>
      <c r="D421" s="419" t="str">
        <v>60 mg</v>
      </c>
      <c r="E421" s="1358">
        <v>0</v>
      </c>
      <c r="F421" s="1358">
        <v>0</v>
      </c>
      <c r="G421" s="1358">
        <v>0</v>
      </c>
      <c r="H421" s="1358">
        <v>0</v>
      </c>
      <c r="I421" s="585"/>
      <c r="J421" s="1327">
        <f t="shared" si="140"/>
        <v>0</v>
      </c>
      <c r="K421" s="1441">
        <f t="shared" si="144"/>
        <v>0</v>
      </c>
      <c r="L421" s="1364"/>
    </row>
    <row r="422" spans="1:14" x14ac:dyDescent="0.2">
      <c r="B422" s="668"/>
      <c r="C422" s="413" t="str">
        <v>DDI adulte</v>
      </c>
      <c r="D422" s="419" t="str">
        <v>250 mg</v>
      </c>
      <c r="E422" s="1358">
        <v>0</v>
      </c>
      <c r="F422" s="1358">
        <v>0</v>
      </c>
      <c r="G422" s="1358">
        <v>0</v>
      </c>
      <c r="H422" s="1358">
        <v>0</v>
      </c>
      <c r="I422" s="585"/>
      <c r="J422" s="657">
        <f t="shared" si="140"/>
        <v>0</v>
      </c>
      <c r="K422" s="1438">
        <f t="shared" si="144"/>
        <v>0</v>
      </c>
      <c r="L422" s="1364"/>
    </row>
    <row r="423" spans="1:14" x14ac:dyDescent="0.2">
      <c r="B423" s="668"/>
      <c r="C423" s="413" t="str">
        <v>NVP adulte</v>
      </c>
      <c r="D423" s="419" t="str">
        <v>200 mg</v>
      </c>
      <c r="E423" s="1358">
        <v>0</v>
      </c>
      <c r="F423" s="1358">
        <v>0</v>
      </c>
      <c r="G423" s="1358">
        <v>0</v>
      </c>
      <c r="H423" s="1358">
        <v>0</v>
      </c>
      <c r="I423" s="585"/>
      <c r="J423" s="657">
        <f t="shared" ref="J423" si="145">SUM(E423:I423)</f>
        <v>0</v>
      </c>
      <c r="K423" s="1438">
        <f t="shared" si="144"/>
        <v>0</v>
      </c>
      <c r="L423" s="1364"/>
    </row>
    <row r="424" spans="1:14" x14ac:dyDescent="0.2">
      <c r="B424" s="668"/>
      <c r="C424" s="413" t="str">
        <v>NVP bébé</v>
      </c>
      <c r="D424" s="419" t="str">
        <v>50 mg</v>
      </c>
      <c r="E424" s="1358">
        <v>0</v>
      </c>
      <c r="F424" s="1358">
        <v>66.48</v>
      </c>
      <c r="G424" s="1358">
        <v>21.606000000000002</v>
      </c>
      <c r="H424" s="1358">
        <v>23.9328</v>
      </c>
      <c r="I424" s="585"/>
      <c r="J424" s="657">
        <f t="shared" ref="J424" si="146">SUM(E424:I424)</f>
        <v>112.01880000000001</v>
      </c>
      <c r="K424" s="1438">
        <f t="shared" si="144"/>
        <v>22.403759999999991</v>
      </c>
      <c r="L424" s="1364"/>
    </row>
    <row r="425" spans="1:14" x14ac:dyDescent="0.2">
      <c r="B425" s="668"/>
      <c r="C425" s="413" t="str">
        <v>EFV enfant</v>
      </c>
      <c r="D425" s="419" t="str">
        <v>200 mg</v>
      </c>
      <c r="E425" s="1358">
        <v>0</v>
      </c>
      <c r="F425" s="1358">
        <v>137.11500000000001</v>
      </c>
      <c r="G425" s="1358">
        <v>72.678059999999988</v>
      </c>
      <c r="H425" s="1358">
        <v>67.087439999999987</v>
      </c>
      <c r="I425" s="585"/>
      <c r="J425" s="657">
        <f t="shared" si="140"/>
        <v>276.88049999999998</v>
      </c>
      <c r="K425" s="1438">
        <f t="shared" si="144"/>
        <v>62.317800000000005</v>
      </c>
      <c r="L425" s="1364"/>
    </row>
    <row r="426" spans="1:14" x14ac:dyDescent="0.2">
      <c r="B426" s="668"/>
      <c r="C426" s="413" t="str">
        <v>LPV/r adulte</v>
      </c>
      <c r="D426" s="419" t="str">
        <v>200/50 mg</v>
      </c>
      <c r="E426" s="1358">
        <v>0</v>
      </c>
      <c r="F426" s="1358">
        <v>0</v>
      </c>
      <c r="G426" s="1358">
        <v>0</v>
      </c>
      <c r="H426" s="1358">
        <v>0</v>
      </c>
      <c r="I426" s="585"/>
      <c r="J426" s="657">
        <f t="shared" si="140"/>
        <v>0</v>
      </c>
      <c r="K426" s="1438">
        <f t="shared" si="144"/>
        <v>0</v>
      </c>
      <c r="L426" s="1364"/>
    </row>
    <row r="427" spans="1:14" ht="13.5" thickBot="1" x14ac:dyDescent="0.25">
      <c r="B427" s="669"/>
      <c r="C427" s="422" t="str">
        <v>LPV/r enfant</v>
      </c>
      <c r="D427" s="423" t="str">
        <v>100/25 mg</v>
      </c>
      <c r="E427" s="1359">
        <v>0</v>
      </c>
      <c r="F427" s="1359">
        <v>2118.0672000000004</v>
      </c>
      <c r="G427" s="1359">
        <v>684.89241600000014</v>
      </c>
      <c r="H427" s="1359">
        <v>632.20838400000014</v>
      </c>
      <c r="I427" s="665"/>
      <c r="J427" s="666">
        <f t="shared" si="140"/>
        <v>3435.1680000000006</v>
      </c>
      <c r="K427" s="1440">
        <f t="shared" si="144"/>
        <v>1144.9698000000003</v>
      </c>
      <c r="L427" s="1365"/>
    </row>
    <row r="430" spans="1:14" s="263" customFormat="1" ht="15.75" thickBot="1" x14ac:dyDescent="0.3">
      <c r="A430" s="2196" t="str">
        <f>'TRAD-Children YEAR(1)'!B132</f>
        <v>Synthèse</v>
      </c>
      <c r="B430" s="2196"/>
      <c r="C430" s="2196"/>
      <c r="D430" s="2196"/>
      <c r="E430" s="2196"/>
      <c r="F430" s="2196"/>
      <c r="G430" s="2196"/>
      <c r="H430" s="2196"/>
      <c r="I430" s="2196"/>
      <c r="J430" s="2196"/>
      <c r="K430" s="2196"/>
      <c r="L430" s="2196"/>
      <c r="M430" s="2196"/>
      <c r="N430" s="2196"/>
    </row>
    <row r="431" spans="1:14" x14ac:dyDescent="0.2">
      <c r="G431" s="497"/>
      <c r="H431" s="497"/>
    </row>
    <row r="432" spans="1:14" ht="15" x14ac:dyDescent="0.2">
      <c r="B432" s="2143" t="str">
        <f>'TRAD-Children YEAR(2)'!B28</f>
        <v>Quantification des besoins en ARV pour la prise en charge pédiatrique sur l'année 1</v>
      </c>
      <c r="C432" s="2143"/>
      <c r="D432" s="2143"/>
      <c r="E432" s="2143"/>
      <c r="F432" s="2143"/>
      <c r="G432" s="2143"/>
      <c r="H432" s="2143"/>
      <c r="I432" s="2143"/>
      <c r="J432" s="2143"/>
      <c r="K432" s="2143"/>
      <c r="L432" s="2143"/>
      <c r="M432" s="2143"/>
    </row>
    <row r="433" spans="2:12" ht="13.5" thickBot="1" x14ac:dyDescent="0.25">
      <c r="G433" s="675"/>
      <c r="H433" s="675"/>
    </row>
    <row r="434" spans="2:12" ht="51.75" thickBot="1" x14ac:dyDescent="0.25">
      <c r="B434" s="676"/>
      <c r="C434" s="368" t="str">
        <f>'TRAD-Children YEAR(1)'!B67</f>
        <v>Composition</v>
      </c>
      <c r="D434" s="369" t="str">
        <f>'TRAD-Children YEAR(1)'!B54</f>
        <v xml:space="preserve">Forme galénique </v>
      </c>
      <c r="E434" s="369" t="str">
        <f>'TRAD-Children YEAR(1)'!B68</f>
        <v>Dosage</v>
      </c>
      <c r="F434" s="369" t="str">
        <f>'TRAD-Children YEAR(1)'!B69</f>
        <v>Nom de spécialité</v>
      </c>
      <c r="G434" s="369"/>
      <c r="H434" s="369" t="str">
        <f>'TRAD-Children YEAR(1)'!B70</f>
        <v>Volume conditionnement primaire (mL)</v>
      </c>
      <c r="I434" s="370" t="str">
        <f>'TRAD-Children YEAR(1)'!B71</f>
        <v>Conditionement secondaire</v>
      </c>
      <c r="J434" s="643" t="s">
        <v>217</v>
      </c>
      <c r="K434" s="610" t="s">
        <v>268</v>
      </c>
      <c r="L434" s="677" t="str">
        <f>'TRAD-Children YEAR(1)'!B88</f>
        <v>Total + marge</v>
      </c>
    </row>
    <row r="435" spans="2:12" x14ac:dyDescent="0.2">
      <c r="B435" s="676" t="str">
        <f>'TRAD-Children YEAR(1)'!B90</f>
        <v>Solutions buvables</v>
      </c>
      <c r="C435" s="607" t="s">
        <v>39</v>
      </c>
      <c r="D435" s="611" t="s">
        <v>40</v>
      </c>
      <c r="E435" s="611" t="s">
        <v>41</v>
      </c>
      <c r="F435" s="374" t="s">
        <v>42</v>
      </c>
      <c r="G435" s="374"/>
      <c r="H435" s="410">
        <f>G141</f>
        <v>240</v>
      </c>
      <c r="I435" s="411">
        <f>H141</f>
        <v>1</v>
      </c>
      <c r="J435" s="678">
        <f>J361</f>
        <v>0</v>
      </c>
      <c r="K435" s="679">
        <f t="shared" ref="K435:K442" si="147">K397</f>
        <v>0</v>
      </c>
      <c r="L435" s="1360">
        <f>J435+K435</f>
        <v>0</v>
      </c>
    </row>
    <row r="436" spans="2:12" x14ac:dyDescent="0.2">
      <c r="B436" s="680"/>
      <c r="C436" s="608" t="s">
        <v>61</v>
      </c>
      <c r="D436" s="613" t="s">
        <v>40</v>
      </c>
      <c r="E436" s="613" t="s">
        <v>41</v>
      </c>
      <c r="F436" s="382" t="s">
        <v>133</v>
      </c>
      <c r="G436" s="382"/>
      <c r="H436" s="415">
        <f t="shared" ref="H436:H442" si="148">G142</f>
        <v>240</v>
      </c>
      <c r="I436" s="416">
        <f t="shared" ref="I436:I442" si="149">H142</f>
        <v>1</v>
      </c>
      <c r="J436" s="681">
        <f>J362</f>
        <v>0</v>
      </c>
      <c r="K436" s="682">
        <f t="shared" si="147"/>
        <v>0</v>
      </c>
      <c r="L436" s="1361">
        <f t="shared" ref="L436:L442" si="150">J436+K436</f>
        <v>0</v>
      </c>
    </row>
    <row r="437" spans="2:12" x14ac:dyDescent="0.2">
      <c r="B437" s="680"/>
      <c r="C437" s="615" t="s">
        <v>15</v>
      </c>
      <c r="D437" s="616" t="s">
        <v>40</v>
      </c>
      <c r="E437" s="616" t="s">
        <v>41</v>
      </c>
      <c r="F437" s="391" t="s">
        <v>43</v>
      </c>
      <c r="G437" s="391"/>
      <c r="H437" s="420">
        <f t="shared" si="148"/>
        <v>240</v>
      </c>
      <c r="I437" s="421">
        <f t="shared" si="149"/>
        <v>1</v>
      </c>
      <c r="J437" s="683">
        <f>ROUNDUP(J363, 0)</f>
        <v>0</v>
      </c>
      <c r="K437" s="684">
        <f t="shared" si="147"/>
        <v>0</v>
      </c>
      <c r="L437" s="1361">
        <f t="shared" si="150"/>
        <v>0</v>
      </c>
    </row>
    <row r="438" spans="2:12" x14ac:dyDescent="0.2">
      <c r="B438" s="680"/>
      <c r="C438" s="615" t="s">
        <v>25</v>
      </c>
      <c r="D438" s="616" t="s">
        <v>40</v>
      </c>
      <c r="E438" s="616" t="s">
        <v>44</v>
      </c>
      <c r="F438" s="391" t="s">
        <v>26</v>
      </c>
      <c r="G438" s="391"/>
      <c r="H438" s="420">
        <f t="shared" si="148"/>
        <v>240</v>
      </c>
      <c r="I438" s="421">
        <f t="shared" si="149"/>
        <v>1</v>
      </c>
      <c r="J438" s="683">
        <f>ROUNDUP(J364, 0)</f>
        <v>0</v>
      </c>
      <c r="K438" s="684">
        <f t="shared" si="147"/>
        <v>0</v>
      </c>
      <c r="L438" s="1361">
        <f t="shared" si="150"/>
        <v>0</v>
      </c>
    </row>
    <row r="439" spans="2:12" x14ac:dyDescent="0.2">
      <c r="B439" s="680"/>
      <c r="C439" s="615" t="s">
        <v>28</v>
      </c>
      <c r="D439" s="616" t="s">
        <v>45</v>
      </c>
      <c r="E439" s="616" t="s">
        <v>46</v>
      </c>
      <c r="F439" s="391" t="s">
        <v>30</v>
      </c>
      <c r="G439" s="391"/>
      <c r="H439" s="420">
        <f t="shared" si="148"/>
        <v>200</v>
      </c>
      <c r="I439" s="421">
        <f t="shared" si="149"/>
        <v>1</v>
      </c>
      <c r="J439" s="683">
        <f>J365</f>
        <v>0</v>
      </c>
      <c r="K439" s="684">
        <f t="shared" si="147"/>
        <v>0</v>
      </c>
      <c r="L439" s="1361">
        <f t="shared" si="150"/>
        <v>0</v>
      </c>
    </row>
    <row r="440" spans="2:12" x14ac:dyDescent="0.2">
      <c r="B440" s="680"/>
      <c r="C440" s="615" t="s">
        <v>19</v>
      </c>
      <c r="D440" s="616" t="s">
        <v>40</v>
      </c>
      <c r="E440" s="616" t="s">
        <v>41</v>
      </c>
      <c r="F440" s="391" t="s">
        <v>21</v>
      </c>
      <c r="G440" s="391"/>
      <c r="H440" s="420">
        <f t="shared" si="148"/>
        <v>240</v>
      </c>
      <c r="I440" s="421">
        <f t="shared" si="149"/>
        <v>1</v>
      </c>
      <c r="J440" s="683">
        <f>J366</f>
        <v>89.748000000000005</v>
      </c>
      <c r="K440" s="684">
        <f t="shared" si="147"/>
        <v>22.436999999999998</v>
      </c>
      <c r="L440" s="1361">
        <f t="shared" si="150"/>
        <v>112.185</v>
      </c>
    </row>
    <row r="441" spans="2:12" x14ac:dyDescent="0.2">
      <c r="B441" s="680"/>
      <c r="C441" s="615" t="s">
        <v>17</v>
      </c>
      <c r="D441" s="616" t="s">
        <v>40</v>
      </c>
      <c r="E441" s="616" t="s">
        <v>259</v>
      </c>
      <c r="F441" s="391" t="s">
        <v>249</v>
      </c>
      <c r="G441" s="391"/>
      <c r="H441" s="420">
        <f t="shared" si="148"/>
        <v>180</v>
      </c>
      <c r="I441" s="421">
        <f t="shared" si="149"/>
        <v>1</v>
      </c>
      <c r="J441" s="683">
        <f>J367</f>
        <v>247.88309759999999</v>
      </c>
      <c r="K441" s="684">
        <f t="shared" si="147"/>
        <v>83.289506399999993</v>
      </c>
      <c r="L441" s="1361">
        <f t="shared" si="150"/>
        <v>331.17260399999998</v>
      </c>
    </row>
    <row r="442" spans="2:12" ht="13.5" thickBot="1" x14ac:dyDescent="0.25">
      <c r="B442" s="685"/>
      <c r="C442" s="615" t="s">
        <v>33</v>
      </c>
      <c r="D442" s="616" t="s">
        <v>40</v>
      </c>
      <c r="E442" s="616" t="s">
        <v>47</v>
      </c>
      <c r="F442" s="391" t="s">
        <v>48</v>
      </c>
      <c r="G442" s="391"/>
      <c r="H442" s="420">
        <f t="shared" si="148"/>
        <v>60</v>
      </c>
      <c r="I442" s="421">
        <f t="shared" si="149"/>
        <v>4</v>
      </c>
      <c r="J442" s="683">
        <f>ROUNDUP(J368, 0)</f>
        <v>2502</v>
      </c>
      <c r="K442" s="684">
        <f t="shared" si="147"/>
        <v>1262.7255000000005</v>
      </c>
      <c r="L442" s="1362">
        <f t="shared" si="150"/>
        <v>3764.7255000000005</v>
      </c>
    </row>
    <row r="443" spans="2:12" ht="39" thickBot="1" x14ac:dyDescent="0.25">
      <c r="B443" s="685"/>
      <c r="C443" s="368" t="str">
        <f>'TRAD-Children YEAR(1)'!B67</f>
        <v>Composition</v>
      </c>
      <c r="D443" s="369" t="str">
        <f>'TRAD-Children YEAR(1)'!B54</f>
        <v xml:space="preserve">Forme galénique </v>
      </c>
      <c r="E443" s="369" t="str">
        <f>'TRAD-Children YEAR(1)'!B68</f>
        <v>Dosage</v>
      </c>
      <c r="F443" s="369" t="str">
        <f>'TRAD-Children YEAR(1)'!B69</f>
        <v>Nom de spécialité</v>
      </c>
      <c r="G443" s="369" t="str">
        <f>'TRAD-Children YEAR(1)'!B135</f>
        <v>Nom de générique possible</v>
      </c>
      <c r="H443" s="369" t="str">
        <f>'TRAD-Children YEAR(1)'!B136</f>
        <v>Conditionnement</v>
      </c>
      <c r="I443" s="370"/>
      <c r="J443" s="643" t="str">
        <f>'TRAD-Children YEAR(1)'!B145</f>
        <v>Quantités totales</v>
      </c>
      <c r="K443" s="610" t="str">
        <f>'TRAD-Children YEAR(1)'!B146</f>
        <v>Marge de stock de sécurité</v>
      </c>
      <c r="L443" s="677" t="str">
        <f>'TRAD-Children YEAR(1)'!B88</f>
        <v>Total + marge</v>
      </c>
    </row>
    <row r="444" spans="2:12" x14ac:dyDescent="0.2">
      <c r="B444" s="676" t="str">
        <f>'TRAD-Children YEAR(1)'!B52</f>
        <v>cp</v>
      </c>
      <c r="C444" s="1978" t="str">
        <f t="array" ref="C444:C454">'Data &amp; hypothesis Children'!$C$238:$D$260</f>
        <v>AZT+ 3TC+ NVP adulte</v>
      </c>
      <c r="D444" s="611" t="str">
        <f>'TRAD-Children YEAR(1)'!B91</f>
        <v>Comprimés</v>
      </c>
      <c r="E444" s="611" t="s">
        <v>9</v>
      </c>
      <c r="F444" s="374"/>
      <c r="G444" s="374" t="s">
        <v>10</v>
      </c>
      <c r="H444" s="410">
        <f>'Available Stocks'!K13</f>
        <v>60</v>
      </c>
      <c r="I444" s="411"/>
      <c r="J444" s="678">
        <f t="shared" ref="J444:J450" si="151">J369</f>
        <v>0</v>
      </c>
      <c r="K444" s="679">
        <f t="shared" ref="K444:K450" si="152">K405</f>
        <v>0</v>
      </c>
      <c r="L444" s="1360">
        <f t="shared" ref="L444:L450" si="153">J405</f>
        <v>0</v>
      </c>
    </row>
    <row r="445" spans="2:12" x14ac:dyDescent="0.2">
      <c r="B445" s="680"/>
      <c r="C445" s="1979" t="str">
        <v>AZT+ 3TC+ NVP bébé</v>
      </c>
      <c r="D445" s="841" t="str">
        <f>'TRAD-Children YEAR(1)'!B91</f>
        <v>Comprimés</v>
      </c>
      <c r="E445" s="841" t="s">
        <v>384</v>
      </c>
      <c r="F445" s="842"/>
      <c r="G445" s="842" t="s">
        <v>385</v>
      </c>
      <c r="H445" s="415">
        <f>'Available Stocks'!K14</f>
        <v>60</v>
      </c>
      <c r="I445" s="416"/>
      <c r="J445" s="683">
        <f t="shared" si="151"/>
        <v>12736.238400000002</v>
      </c>
      <c r="K445" s="684">
        <f t="shared" si="152"/>
        <v>3184.0595999999987</v>
      </c>
      <c r="L445" s="1361">
        <f t="shared" si="153"/>
        <v>15920.298000000001</v>
      </c>
    </row>
    <row r="446" spans="2:12" x14ac:dyDescent="0.2">
      <c r="B446" s="680"/>
      <c r="C446" s="1979" t="str">
        <v>AZT+ 3TC adulte</v>
      </c>
      <c r="D446" s="613" t="str">
        <f>'TRAD-Children YEAR(1)'!B91</f>
        <v>Comprimés</v>
      </c>
      <c r="E446" s="613" t="s">
        <v>12</v>
      </c>
      <c r="F446" s="382" t="s">
        <v>13</v>
      </c>
      <c r="G446" s="382" t="s">
        <v>14</v>
      </c>
      <c r="H446" s="415">
        <f>'Available Stocks'!K18</f>
        <v>60</v>
      </c>
      <c r="I446" s="416"/>
      <c r="J446" s="683">
        <f t="shared" si="151"/>
        <v>0</v>
      </c>
      <c r="K446" s="684">
        <f t="shared" si="152"/>
        <v>0</v>
      </c>
      <c r="L446" s="1361">
        <f t="shared" si="153"/>
        <v>0</v>
      </c>
    </row>
    <row r="447" spans="2:12" x14ac:dyDescent="0.2">
      <c r="B447" s="680"/>
      <c r="C447" s="1979" t="str">
        <v>AZT+ 3TC bébé</v>
      </c>
      <c r="D447" s="841" t="str">
        <f>'TRAD-Children YEAR(1)'!B91</f>
        <v>Comprimés</v>
      </c>
      <c r="E447" s="841" t="s">
        <v>382</v>
      </c>
      <c r="F447" s="842"/>
      <c r="G447" s="842" t="s">
        <v>383</v>
      </c>
      <c r="H447" s="415">
        <f>'Available Stocks'!K19</f>
        <v>60</v>
      </c>
      <c r="I447" s="416"/>
      <c r="J447" s="683">
        <f t="shared" si="151"/>
        <v>3901.0999080000001</v>
      </c>
      <c r="K447" s="684">
        <f t="shared" si="152"/>
        <v>1881.9945120000002</v>
      </c>
      <c r="L447" s="1361">
        <f t="shared" si="153"/>
        <v>5783.0944200000004</v>
      </c>
    </row>
    <row r="448" spans="2:12" x14ac:dyDescent="0.2">
      <c r="B448" s="680"/>
      <c r="C448" s="1979" t="str">
        <v>D4T+ 3TC+ NVP adulte</v>
      </c>
      <c r="D448" s="616" t="str">
        <f>'TRAD-Children YEAR(1)'!B91</f>
        <v>Comprimés</v>
      </c>
      <c r="E448" s="616" t="s">
        <v>80</v>
      </c>
      <c r="F448" s="391"/>
      <c r="G448" s="391" t="s">
        <v>79</v>
      </c>
      <c r="H448" s="415">
        <f>'Available Stocks'!K22</f>
        <v>60</v>
      </c>
      <c r="I448" s="421"/>
      <c r="J448" s="683">
        <f t="shared" si="151"/>
        <v>0</v>
      </c>
      <c r="K448" s="684">
        <f t="shared" si="152"/>
        <v>0</v>
      </c>
      <c r="L448" s="1361">
        <f t="shared" si="153"/>
        <v>0</v>
      </c>
    </row>
    <row r="449" spans="2:12" x14ac:dyDescent="0.2">
      <c r="B449" s="680"/>
      <c r="C449" s="1979" t="str">
        <v>D4T+ 3TC+ NVP bébé</v>
      </c>
      <c r="D449" s="613" t="str">
        <f>'TRAD-Children YEAR(1)'!B91</f>
        <v>Comprimés</v>
      </c>
      <c r="E449" s="613" t="s">
        <v>131</v>
      </c>
      <c r="F449" s="382"/>
      <c r="G449" s="382" t="s">
        <v>132</v>
      </c>
      <c r="H449" s="415">
        <f>'Available Stocks'!K23</f>
        <v>60</v>
      </c>
      <c r="I449" s="416"/>
      <c r="J449" s="683">
        <f t="shared" si="151"/>
        <v>0</v>
      </c>
      <c r="K449" s="684">
        <f t="shared" si="152"/>
        <v>0</v>
      </c>
      <c r="L449" s="1361">
        <f t="shared" si="153"/>
        <v>0</v>
      </c>
    </row>
    <row r="450" spans="2:12" x14ac:dyDescent="0.2">
      <c r="B450" s="680"/>
      <c r="C450" s="1979" t="str">
        <v>D4T+ 3TC bébé</v>
      </c>
      <c r="D450" s="613" t="str">
        <f>'TRAD-Children YEAR(1)'!B91</f>
        <v>Comprimés</v>
      </c>
      <c r="E450" s="613" t="s">
        <v>733</v>
      </c>
      <c r="F450" s="382"/>
      <c r="G450" s="382"/>
      <c r="H450" s="415">
        <f>'Available Stocks'!K24</f>
        <v>60</v>
      </c>
      <c r="I450" s="416"/>
      <c r="J450" s="683">
        <f t="shared" si="151"/>
        <v>0</v>
      </c>
      <c r="K450" s="684">
        <f t="shared" si="152"/>
        <v>0</v>
      </c>
      <c r="L450" s="1361">
        <f t="shared" si="153"/>
        <v>0</v>
      </c>
    </row>
    <row r="451" spans="2:12" x14ac:dyDescent="0.2">
      <c r="B451" s="680"/>
      <c r="C451" s="1979" t="str">
        <v>AZT+ 3TC+ ABC adulte</v>
      </c>
      <c r="D451" s="613" t="str">
        <f>'TRAD-Children YEAR(1)'!B91</f>
        <v>Comprimés</v>
      </c>
      <c r="E451" s="613" t="s">
        <v>334</v>
      </c>
      <c r="F451" s="382" t="s">
        <v>396</v>
      </c>
      <c r="G451" s="382"/>
      <c r="H451" s="415">
        <f>'Available Stocks'!K25</f>
        <v>60</v>
      </c>
      <c r="I451" s="416"/>
      <c r="J451" s="683">
        <f>J376</f>
        <v>0</v>
      </c>
      <c r="K451" s="684">
        <f t="shared" ref="K451:K457" si="154">K412</f>
        <v>0</v>
      </c>
      <c r="L451" s="1361">
        <f t="shared" ref="L451:L454" si="155">J412</f>
        <v>0</v>
      </c>
    </row>
    <row r="452" spans="2:12" x14ac:dyDescent="0.2">
      <c r="B452" s="680"/>
      <c r="C452" s="1979" t="str">
        <v>AZT+ 3TC+ ABC bébé</v>
      </c>
      <c r="D452" s="613" t="str">
        <f>'TRAD-Children YEAR(1)'!B91</f>
        <v>Comprimés</v>
      </c>
      <c r="E452" s="613" t="s">
        <v>636</v>
      </c>
      <c r="F452" s="382"/>
      <c r="G452" s="382"/>
      <c r="H452" s="415">
        <f>'Available Stocks'!K26</f>
        <v>30</v>
      </c>
      <c r="I452" s="416"/>
      <c r="J452" s="683">
        <f>J377</f>
        <v>0</v>
      </c>
      <c r="K452" s="684">
        <f t="shared" si="154"/>
        <v>0</v>
      </c>
      <c r="L452" s="1361">
        <f t="shared" si="155"/>
        <v>0</v>
      </c>
    </row>
    <row r="453" spans="2:12" x14ac:dyDescent="0.2">
      <c r="B453" s="680"/>
      <c r="C453" s="1979" t="str">
        <v>ABC+ 3TC adulte</v>
      </c>
      <c r="D453" s="613" t="str">
        <f>'TRAD-Children YEAR(1)'!B91</f>
        <v>Comprimés</v>
      </c>
      <c r="E453" s="613" t="s">
        <v>649</v>
      </c>
      <c r="F453" s="382" t="s">
        <v>642</v>
      </c>
      <c r="G453" s="382"/>
      <c r="H453" s="415">
        <f>'Available Stocks'!K27</f>
        <v>30</v>
      </c>
      <c r="I453" s="416"/>
      <c r="J453" s="683">
        <f>J378</f>
        <v>0</v>
      </c>
      <c r="K453" s="684">
        <f t="shared" si="154"/>
        <v>0</v>
      </c>
      <c r="L453" s="1361">
        <f t="shared" si="155"/>
        <v>0</v>
      </c>
    </row>
    <row r="454" spans="2:12" x14ac:dyDescent="0.2">
      <c r="B454" s="680"/>
      <c r="C454" s="1980" t="str">
        <v>ABC+ 3TC bébé</v>
      </c>
      <c r="D454" s="613" t="str">
        <f>'TRAD-Children YEAR(1)'!B91</f>
        <v>Comprimés</v>
      </c>
      <c r="E454" s="613" t="s">
        <v>636</v>
      </c>
      <c r="F454" s="382"/>
      <c r="G454" s="382"/>
      <c r="H454" s="415">
        <f>'Available Stocks'!K28</f>
        <v>30</v>
      </c>
      <c r="I454" s="416"/>
      <c r="J454" s="683">
        <f>J379</f>
        <v>375.86869200000001</v>
      </c>
      <c r="K454" s="684">
        <f t="shared" si="154"/>
        <v>166.03138799999999</v>
      </c>
      <c r="L454" s="1361">
        <f t="shared" si="155"/>
        <v>541.90008</v>
      </c>
    </row>
    <row r="455" spans="2:12" x14ac:dyDescent="0.2">
      <c r="B455" s="680"/>
      <c r="C455" s="1980" t="s">
        <v>1610</v>
      </c>
      <c r="D455" s="613" t="s">
        <v>205</v>
      </c>
      <c r="E455" s="260" t="s">
        <v>1612</v>
      </c>
      <c r="F455" s="382"/>
      <c r="G455" s="382"/>
      <c r="H455" s="415">
        <f>IF('Data &amp; hypothesis Adults'!$D$221="X", 'Available Stocks'!$K$26, IF('Data &amp; hypothesis Adults'!$D$222="X", 'Available Stocks'!$K$28, 'Available Stocks'!$K$26))</f>
        <v>30</v>
      </c>
      <c r="I455" s="416"/>
      <c r="J455" s="683">
        <f t="shared" ref="J455:J457" si="156">J380</f>
        <v>0</v>
      </c>
      <c r="K455" s="684">
        <f t="shared" si="154"/>
        <v>0</v>
      </c>
      <c r="L455" s="1361">
        <f t="shared" ref="L455:L457" si="157">J416</f>
        <v>0</v>
      </c>
    </row>
    <row r="456" spans="2:12" x14ac:dyDescent="0.2">
      <c r="B456" s="680"/>
      <c r="C456" s="1980" t="s">
        <v>1611</v>
      </c>
      <c r="D456" s="613" t="s">
        <v>205</v>
      </c>
      <c r="E456" s="260" t="s">
        <v>1613</v>
      </c>
      <c r="F456" s="382"/>
      <c r="G456" s="382"/>
      <c r="H456" s="415">
        <f>IF('Data &amp; hypothesis Adults'!$D$221="X", 'Available Stocks'!$K$27, IF('Data &amp; hypothesis Adults'!$D$222="X", 'Available Stocks'!$K$29, 'Available Stocks'!$K$27))</f>
        <v>30</v>
      </c>
      <c r="I456" s="416"/>
      <c r="J456" s="683">
        <f t="shared" si="156"/>
        <v>1.9251647999999997</v>
      </c>
      <c r="K456" s="684">
        <f t="shared" si="154"/>
        <v>1.0366271999999999</v>
      </c>
      <c r="L456" s="1361">
        <f t="shared" si="157"/>
        <v>2.9617919999999995</v>
      </c>
    </row>
    <row r="457" spans="2:12" x14ac:dyDescent="0.2">
      <c r="B457" s="680"/>
      <c r="C457" s="1980" t="s">
        <v>1592</v>
      </c>
      <c r="D457" s="613" t="s">
        <v>205</v>
      </c>
      <c r="E457" s="613" t="s">
        <v>23</v>
      </c>
      <c r="F457" s="382"/>
      <c r="G457" s="382"/>
      <c r="H457" s="415">
        <f>'Available Stocks'!K44</f>
        <v>30</v>
      </c>
      <c r="I457" s="416"/>
      <c r="J457" s="683">
        <f t="shared" si="156"/>
        <v>0</v>
      </c>
      <c r="K457" s="684">
        <f t="shared" si="154"/>
        <v>0</v>
      </c>
      <c r="L457" s="1361">
        <f t="shared" si="157"/>
        <v>0</v>
      </c>
    </row>
    <row r="458" spans="2:12" x14ac:dyDescent="0.2">
      <c r="B458" s="680"/>
      <c r="C458" s="608" t="s">
        <v>15</v>
      </c>
      <c r="D458" s="613" t="str">
        <f>'TRAD-Children YEAR(1)'!B91</f>
        <v>Comprimés</v>
      </c>
      <c r="E458" s="613" t="s">
        <v>16</v>
      </c>
      <c r="F458" s="382"/>
      <c r="G458" s="382"/>
      <c r="H458" s="415">
        <f>'Available Stocks'!K29</f>
        <v>30</v>
      </c>
      <c r="I458" s="416"/>
      <c r="J458" s="683">
        <f t="shared" ref="J458:J461" si="158">J383</f>
        <v>0</v>
      </c>
      <c r="K458" s="684">
        <f>K419</f>
        <v>0</v>
      </c>
      <c r="L458" s="1361">
        <f>J419</f>
        <v>0</v>
      </c>
    </row>
    <row r="459" spans="2:12" x14ac:dyDescent="0.2">
      <c r="B459" s="680"/>
      <c r="C459" s="608" t="s">
        <v>25</v>
      </c>
      <c r="D459" s="613" t="str">
        <f>'TRAD-Children YEAR(1)'!B91</f>
        <v>Comprimés</v>
      </c>
      <c r="E459" s="613" t="s">
        <v>23</v>
      </c>
      <c r="F459" s="382" t="s">
        <v>26</v>
      </c>
      <c r="G459" s="382" t="s">
        <v>27</v>
      </c>
      <c r="H459" s="415">
        <f>'Available Stocks'!K35</f>
        <v>60</v>
      </c>
      <c r="I459" s="416"/>
      <c r="J459" s="683">
        <f t="shared" si="158"/>
        <v>0</v>
      </c>
      <c r="K459" s="684">
        <f>K420</f>
        <v>0</v>
      </c>
      <c r="L459" s="1361">
        <f>J420</f>
        <v>0</v>
      </c>
    </row>
    <row r="460" spans="2:12" x14ac:dyDescent="0.2">
      <c r="B460" s="680"/>
      <c r="C460" s="615" t="str">
        <f>'TRAD-Children YEAR(1)'!B105</f>
        <v>ABC bébé</v>
      </c>
      <c r="D460" s="616" t="str">
        <f>'TRAD-Children YEAR(1)'!B91</f>
        <v>Comprimés</v>
      </c>
      <c r="E460" s="616" t="s">
        <v>639</v>
      </c>
      <c r="F460" s="391"/>
      <c r="G460" s="391"/>
      <c r="H460" s="415">
        <f>'Available Stocks'!K36</f>
        <v>60</v>
      </c>
      <c r="I460" s="421"/>
      <c r="J460" s="683">
        <f t="shared" si="158"/>
        <v>0</v>
      </c>
      <c r="K460" s="684">
        <f>K421</f>
        <v>0</v>
      </c>
      <c r="L460" s="1361">
        <f>J421</f>
        <v>0</v>
      </c>
    </row>
    <row r="461" spans="2:12" x14ac:dyDescent="0.2">
      <c r="B461" s="680"/>
      <c r="C461" s="615" t="s">
        <v>28</v>
      </c>
      <c r="D461" s="616" t="str">
        <f>'TRAD-Children YEAR(1)'!B91</f>
        <v>Comprimés</v>
      </c>
      <c r="E461" s="616" t="s">
        <v>29</v>
      </c>
      <c r="F461" s="391" t="s">
        <v>30</v>
      </c>
      <c r="G461" s="391" t="s">
        <v>31</v>
      </c>
      <c r="H461" s="420">
        <f>'Available Stocks'!K42</f>
        <v>30</v>
      </c>
      <c r="I461" s="421"/>
      <c r="J461" s="683">
        <f t="shared" si="158"/>
        <v>0</v>
      </c>
      <c r="K461" s="684">
        <f>K422</f>
        <v>0</v>
      </c>
      <c r="L461" s="1361">
        <f>J422</f>
        <v>0</v>
      </c>
    </row>
    <row r="462" spans="2:12" x14ac:dyDescent="0.2">
      <c r="B462" s="680"/>
      <c r="C462" s="615" t="s">
        <v>19</v>
      </c>
      <c r="D462" s="616" t="str">
        <f>'TRAD-Children YEAR(1)'!B91</f>
        <v>Comprimés</v>
      </c>
      <c r="E462" s="616" t="s">
        <v>20</v>
      </c>
      <c r="F462" s="391"/>
      <c r="G462" s="391"/>
      <c r="H462" s="420">
        <f>'Available Stocks'!K33</f>
        <v>60</v>
      </c>
      <c r="I462" s="421"/>
      <c r="J462" s="683">
        <f t="shared" ref="J462:J463" si="159">J387</f>
        <v>0</v>
      </c>
      <c r="K462" s="684">
        <f t="shared" ref="K462:K463" si="160">K423</f>
        <v>0</v>
      </c>
      <c r="L462" s="1361">
        <f t="shared" ref="L462" si="161">J423</f>
        <v>0</v>
      </c>
    </row>
    <row r="463" spans="2:12" x14ac:dyDescent="0.2">
      <c r="B463" s="680"/>
      <c r="C463" s="615" t="s">
        <v>19</v>
      </c>
      <c r="D463" s="616" t="str">
        <f>'TRAD-Children YEAR(1)'!B91</f>
        <v>Comprimés</v>
      </c>
      <c r="E463" s="616" t="s">
        <v>248</v>
      </c>
      <c r="F463" s="391"/>
      <c r="G463" s="391"/>
      <c r="H463" s="420">
        <f>'Available Stocks'!K34</f>
        <v>60</v>
      </c>
      <c r="I463" s="421"/>
      <c r="J463" s="683">
        <f t="shared" si="159"/>
        <v>89.615040000000022</v>
      </c>
      <c r="K463" s="684">
        <f t="shared" si="160"/>
        <v>22.403759999999991</v>
      </c>
      <c r="L463" s="1361">
        <f t="shared" ref="L463" si="162">J424</f>
        <v>112.01880000000001</v>
      </c>
    </row>
    <row r="464" spans="2:12" x14ac:dyDescent="0.2">
      <c r="B464" s="680"/>
      <c r="C464" s="615" t="s">
        <v>17</v>
      </c>
      <c r="D464" s="616" t="str">
        <f>'TRAD-Children YEAR(1)'!B91</f>
        <v>Comprimés</v>
      </c>
      <c r="E464" s="616" t="s">
        <v>20</v>
      </c>
      <c r="F464" s="391"/>
      <c r="G464" s="391"/>
      <c r="H464" s="420">
        <f>'Available Stocks'!K30</f>
        <v>30</v>
      </c>
      <c r="I464" s="421"/>
      <c r="J464" s="683">
        <f>J389</f>
        <v>214.56269999999998</v>
      </c>
      <c r="K464" s="684">
        <f>K425</f>
        <v>62.317800000000005</v>
      </c>
      <c r="L464" s="1361">
        <f>J425</f>
        <v>276.88049999999998</v>
      </c>
    </row>
    <row r="465" spans="1:13" x14ac:dyDescent="0.2">
      <c r="B465" s="680"/>
      <c r="C465" s="615" t="s">
        <v>33</v>
      </c>
      <c r="D465" s="616" t="str">
        <f>'TRAD-Children YEAR(1)'!B91</f>
        <v>Comprimés</v>
      </c>
      <c r="E465" s="616" t="s">
        <v>34</v>
      </c>
      <c r="F465" s="391" t="s">
        <v>35</v>
      </c>
      <c r="G465" s="391" t="s">
        <v>36</v>
      </c>
      <c r="H465" s="420">
        <f>'Available Stocks'!K45</f>
        <v>120</v>
      </c>
      <c r="I465" s="421"/>
      <c r="J465" s="683">
        <f>J390</f>
        <v>0</v>
      </c>
      <c r="K465" s="684">
        <f>K426</f>
        <v>0</v>
      </c>
      <c r="L465" s="1361">
        <f>J426</f>
        <v>0</v>
      </c>
    </row>
    <row r="466" spans="1:13" ht="13.5" thickBot="1" x14ac:dyDescent="0.25">
      <c r="B466" s="685"/>
      <c r="C466" s="609" t="str">
        <f>'TRAD-Children YEAR(1)'!B109</f>
        <v>LPV/r bébé</v>
      </c>
      <c r="D466" s="621" t="str">
        <f>'TRAD-Children YEAR(1)'!B91</f>
        <v>Comprimés</v>
      </c>
      <c r="E466" s="621" t="s">
        <v>637</v>
      </c>
      <c r="F466" s="424" t="s">
        <v>35</v>
      </c>
      <c r="G466" s="424"/>
      <c r="H466" s="425">
        <f>'Available Stocks'!K46</f>
        <v>60</v>
      </c>
      <c r="I466" s="426"/>
      <c r="J466" s="683">
        <f>J391</f>
        <v>2290.1982000000003</v>
      </c>
      <c r="K466" s="684">
        <f>K427</f>
        <v>1144.9698000000003</v>
      </c>
      <c r="L466" s="1361">
        <f>J427</f>
        <v>3435.1680000000006</v>
      </c>
    </row>
    <row r="469" spans="1:13" ht="15" x14ac:dyDescent="0.2">
      <c r="B469" s="2143" t="str">
        <f>'TRAD-Children YEAR(2)'!B34</f>
        <v>Répartition file active pédiatrique sous traitement à la fin de l'année 1</v>
      </c>
      <c r="C469" s="2143"/>
      <c r="D469" s="2143"/>
      <c r="E469" s="2143"/>
      <c r="F469" s="2143"/>
      <c r="G469" s="2143"/>
      <c r="H469" s="2143"/>
      <c r="I469" s="2143"/>
      <c r="J469" s="2143"/>
      <c r="K469" s="2143"/>
      <c r="L469" s="2143"/>
      <c r="M469" s="2143"/>
    </row>
    <row r="470" spans="1:13" ht="13.5" thickBot="1" x14ac:dyDescent="0.25"/>
    <row r="471" spans="1:13" ht="56.25" customHeight="1" thickBot="1" x14ac:dyDescent="0.25">
      <c r="A471" s="260"/>
      <c r="B471" s="528"/>
      <c r="D471" s="2147" t="str">
        <f>'TRAD-Children YEAR(1)'!B138</f>
        <v>SANS DEFALCATION des passages en 2èmes lignes sur les 1ères lignes</v>
      </c>
      <c r="E471" s="2148"/>
      <c r="F471" s="2147" t="str">
        <f>'TRAD-Children YEAR(1)'!B139</f>
        <v>AVEC DEFALCATION PROPORTIONNELLE à la répartition des patients en 1ère ligne</v>
      </c>
      <c r="G471" s="2148"/>
      <c r="H471" s="2147" t="str">
        <f>'TRAD-Children YEAR(1)'!B140</f>
        <v>AVEC DEFALCATION SUR SCHEMA MAJORITAIRE 1ère ligne</v>
      </c>
      <c r="I471" s="2148"/>
    </row>
    <row r="472" spans="1:13" ht="13.5" thickBot="1" x14ac:dyDescent="0.25">
      <c r="A472" s="260"/>
      <c r="B472" s="528"/>
      <c r="C472" s="1394" t="str">
        <f>'TRAD-Children YEAR(1)'!B6</f>
        <v>Schéma thérapeutique</v>
      </c>
      <c r="D472" s="1391" t="s">
        <v>277</v>
      </c>
      <c r="E472" s="1393" t="s">
        <v>278</v>
      </c>
      <c r="F472" s="1391" t="s">
        <v>277</v>
      </c>
      <c r="G472" s="1393" t="s">
        <v>278</v>
      </c>
      <c r="H472" s="1391" t="s">
        <v>277</v>
      </c>
      <c r="I472" s="1393" t="s">
        <v>278</v>
      </c>
    </row>
    <row r="473" spans="1:13" x14ac:dyDescent="0.2">
      <c r="A473" s="260"/>
      <c r="B473" s="1392" t="str">
        <f>'Data &amp; hypothesis Children'!B26</f>
        <v>1ères lignes</v>
      </c>
      <c r="C473" s="155" t="str">
        <f t="array" ref="C473:C482">'Data &amp; hypothesis Children'!$C$26:$C$35</f>
        <v>D4T+3TC+NVP</v>
      </c>
      <c r="D473" s="1395">
        <f t="shared" ref="D473:D478" si="163">C10+F27</f>
        <v>0</v>
      </c>
      <c r="E473" s="854">
        <f>D473/D$483</f>
        <v>0</v>
      </c>
      <c r="F473" s="1395">
        <f>C10+F27-(C10/H$10)*E$57</f>
        <v>0</v>
      </c>
      <c r="G473" s="854">
        <f>F473/F$483</f>
        <v>0</v>
      </c>
      <c r="H473" s="1395">
        <f>C10+F27-E56</f>
        <v>0</v>
      </c>
      <c r="I473" s="854">
        <f>H473/H$483</f>
        <v>0</v>
      </c>
    </row>
    <row r="474" spans="1:13" x14ac:dyDescent="0.2">
      <c r="A474" s="260"/>
      <c r="B474" s="1392"/>
      <c r="C474" s="156" t="str">
        <v>AZT+3TC+NVP</v>
      </c>
      <c r="D474" s="1395">
        <f t="shared" si="163"/>
        <v>515.22</v>
      </c>
      <c r="E474" s="854">
        <f t="shared" ref="E474:E475" si="164">D474/D$483</f>
        <v>0.62722631131714857</v>
      </c>
      <c r="F474" s="1395">
        <f t="shared" ref="F474:F478" si="165">C11+F28-(C11/H$10)*E$57</f>
        <v>500.75812500000001</v>
      </c>
      <c r="G474" s="854">
        <f t="shared" ref="G474:I475" si="166">F474/F$483</f>
        <v>0.62128799627791564</v>
      </c>
      <c r="H474" s="1395">
        <f>C11+F28</f>
        <v>515.22</v>
      </c>
      <c r="I474" s="854">
        <f t="shared" si="166"/>
        <v>0.62722631131714857</v>
      </c>
    </row>
    <row r="475" spans="1:13" x14ac:dyDescent="0.2">
      <c r="A475" s="260"/>
      <c r="B475" s="1392"/>
      <c r="C475" s="156" t="str">
        <v>AZT+3TC+EFV</v>
      </c>
      <c r="D475" s="1395">
        <f t="shared" si="163"/>
        <v>12.187999999999999</v>
      </c>
      <c r="E475" s="854">
        <f t="shared" si="164"/>
        <v>1.4837611665566953E-2</v>
      </c>
      <c r="F475" s="1395">
        <f t="shared" si="165"/>
        <v>11.845891129032257</v>
      </c>
      <c r="G475" s="854">
        <f t="shared" si="166"/>
        <v>1.4697135395821658E-2</v>
      </c>
      <c r="H475" s="1395">
        <f>C12+F29</f>
        <v>12.187999999999999</v>
      </c>
      <c r="I475" s="854">
        <f t="shared" si="166"/>
        <v>1.4837611665566953E-2</v>
      </c>
    </row>
    <row r="476" spans="1:13" x14ac:dyDescent="0.2">
      <c r="A476" s="260"/>
      <c r="B476" s="1392"/>
      <c r="C476" s="156" t="str">
        <v>LPV/r+3TC+ABC</v>
      </c>
      <c r="D476" s="1395">
        <f t="shared" si="163"/>
        <v>17.64</v>
      </c>
      <c r="E476" s="854">
        <f t="shared" ref="E476:E479" si="167">D476/D$483</f>
        <v>2.1474849834312526E-2</v>
      </c>
      <c r="F476" s="1395">
        <f t="shared" si="165"/>
        <v>17.64</v>
      </c>
      <c r="G476" s="854">
        <f t="shared" ref="G476:G479" si="168">F476/F$483</f>
        <v>2.1885856079404468E-2</v>
      </c>
      <c r="H476" s="1395">
        <f>C13+F30</f>
        <v>17.64</v>
      </c>
      <c r="I476" s="854">
        <f t="shared" ref="I476:I479" si="169">H476/H$483</f>
        <v>2.1474849834312526E-2</v>
      </c>
    </row>
    <row r="477" spans="1:13" x14ac:dyDescent="0.2">
      <c r="A477" s="260"/>
      <c r="B477" s="1392"/>
      <c r="C477" s="156" t="str">
        <v>ABC+3TC+NVP</v>
      </c>
      <c r="D477" s="1395">
        <f t="shared" si="163"/>
        <v>4.4320000000000004</v>
      </c>
      <c r="E477" s="854">
        <f t="shared" si="167"/>
        <v>5.3954951511152567E-3</v>
      </c>
      <c r="F477" s="1395">
        <f t="shared" si="165"/>
        <v>4.3075967741935486</v>
      </c>
      <c r="G477" s="854">
        <f t="shared" si="168"/>
        <v>5.3444128712078764E-3</v>
      </c>
      <c r="H477" s="1395">
        <f>C14+F31</f>
        <v>4.4320000000000004</v>
      </c>
      <c r="I477" s="854">
        <f t="shared" si="169"/>
        <v>5.3954951511152567E-3</v>
      </c>
    </row>
    <row r="478" spans="1:13" x14ac:dyDescent="0.2">
      <c r="A478" s="260"/>
      <c r="B478" s="1392"/>
      <c r="C478" s="1253" t="str">
        <v>AZT+3TC+LPV/r</v>
      </c>
      <c r="D478" s="1395">
        <f t="shared" si="163"/>
        <v>252.08800000000002</v>
      </c>
      <c r="E478" s="854">
        <f t="shared" si="167"/>
        <v>0.30689069983175604</v>
      </c>
      <c r="F478" s="1395">
        <f t="shared" si="165"/>
        <v>251.59038709677421</v>
      </c>
      <c r="G478" s="854">
        <f t="shared" si="168"/>
        <v>0.31214688225406229</v>
      </c>
      <c r="H478" s="1395">
        <f>C15+F32</f>
        <v>252.08800000000002</v>
      </c>
      <c r="I478" s="854">
        <f t="shared" si="169"/>
        <v>0.30689069983175604</v>
      </c>
    </row>
    <row r="479" spans="1:13" x14ac:dyDescent="0.2">
      <c r="A479" s="260"/>
      <c r="B479" s="1392" t="str">
        <f>'Data &amp; hypothesis Children'!B32</f>
        <v>2èmes lignes</v>
      </c>
      <c r="C479" s="1948" t="str">
        <v>ABC+3TC+EFV</v>
      </c>
      <c r="D479" s="1397">
        <f>C16+E53</f>
        <v>16.772799999999997</v>
      </c>
      <c r="E479" s="855">
        <f t="shared" si="167"/>
        <v>2.0419124790303687E-2</v>
      </c>
      <c r="F479" s="1397">
        <f>C16+E53</f>
        <v>16.772799999999997</v>
      </c>
      <c r="G479" s="855">
        <f t="shared" si="168"/>
        <v>2.080992555831265E-2</v>
      </c>
      <c r="H479" s="1397">
        <f>C16+E53</f>
        <v>16.772799999999997</v>
      </c>
      <c r="I479" s="855">
        <f t="shared" si="169"/>
        <v>2.0419124790303687E-2</v>
      </c>
    </row>
    <row r="480" spans="1:13" x14ac:dyDescent="0.2">
      <c r="A480" s="260"/>
      <c r="B480" s="1392"/>
      <c r="C480" s="156" t="str">
        <v>TDF+3TC+LPV/r</v>
      </c>
      <c r="D480" s="1397">
        <f t="shared" ref="D480:D482" si="170">C17+E54</f>
        <v>2.4681599999999997</v>
      </c>
      <c r="E480" s="855">
        <f t="shared" ref="E480:E482" si="171">D480/D$483</f>
        <v>3.0047259278376871E-3</v>
      </c>
      <c r="F480" s="1397">
        <f t="shared" ref="F480:F482" si="172">C17+E54</f>
        <v>2.4681599999999997</v>
      </c>
      <c r="G480" s="855">
        <f t="shared" ref="G480:G482" si="173">F480/F$483</f>
        <v>3.0622332506203471E-3</v>
      </c>
      <c r="H480" s="1397">
        <f t="shared" ref="H480:H482" si="174">C17+E54</f>
        <v>2.4681599999999997</v>
      </c>
      <c r="I480" s="855">
        <f t="shared" ref="I480:I482" si="175">H480/H$483</f>
        <v>3.0047259278376871E-3</v>
      </c>
    </row>
    <row r="481" spans="1:13" x14ac:dyDescent="0.2">
      <c r="A481" s="260"/>
      <c r="B481" s="1392"/>
      <c r="C481" s="156" t="str">
        <v>AZT+3TC+EFV</v>
      </c>
      <c r="D481" s="1397">
        <f t="shared" si="170"/>
        <v>0.61703999999999992</v>
      </c>
      <c r="E481" s="855">
        <f t="shared" si="171"/>
        <v>7.5118148195942177E-4</v>
      </c>
      <c r="F481" s="1397">
        <f t="shared" si="172"/>
        <v>0.61703999999999992</v>
      </c>
      <c r="G481" s="855">
        <f t="shared" si="173"/>
        <v>7.6555831265508678E-4</v>
      </c>
      <c r="H481" s="1397">
        <f t="shared" si="174"/>
        <v>0.61703999999999992</v>
      </c>
      <c r="I481" s="855">
        <f t="shared" si="175"/>
        <v>7.5118148195942177E-4</v>
      </c>
    </row>
    <row r="482" spans="1:13" ht="13.5" thickBot="1" x14ac:dyDescent="0.25">
      <c r="A482" s="260"/>
      <c r="B482" s="1392"/>
      <c r="C482" s="157">
        <v>0</v>
      </c>
      <c r="D482" s="1397">
        <f t="shared" si="170"/>
        <v>0</v>
      </c>
      <c r="E482" s="855">
        <f t="shared" si="171"/>
        <v>0</v>
      </c>
      <c r="F482" s="1397">
        <f t="shared" si="172"/>
        <v>0</v>
      </c>
      <c r="G482" s="855">
        <f t="shared" si="173"/>
        <v>0</v>
      </c>
      <c r="H482" s="1397">
        <f t="shared" si="174"/>
        <v>0</v>
      </c>
      <c r="I482" s="855">
        <f t="shared" si="175"/>
        <v>0</v>
      </c>
    </row>
    <row r="483" spans="1:13" ht="14.25" thickTop="1" thickBot="1" x14ac:dyDescent="0.25">
      <c r="A483" s="260"/>
      <c r="B483" s="528"/>
      <c r="C483" s="1398" t="s">
        <v>6</v>
      </c>
      <c r="D483" s="1398">
        <f>SUM(D473:D482)</f>
        <v>821.42599999999993</v>
      </c>
      <c r="E483" s="1399"/>
      <c r="F483" s="1398">
        <f>SUM(F473:F482)</f>
        <v>806</v>
      </c>
      <c r="G483" s="1399"/>
      <c r="H483" s="1398">
        <f>SUM(H473:H482)</f>
        <v>821.42599999999993</v>
      </c>
      <c r="I483" s="1399"/>
    </row>
    <row r="485" spans="1:13" x14ac:dyDescent="0.2">
      <c r="B485" s="688" t="str">
        <f>'TRAD-Children YEAR(1)'!B142</f>
        <v>Remarque</v>
      </c>
      <c r="C485" s="291"/>
      <c r="D485" s="291"/>
      <c r="E485" s="291"/>
      <c r="F485" s="291"/>
      <c r="G485" s="291"/>
      <c r="H485" s="291"/>
      <c r="I485" s="291"/>
      <c r="J485" s="291"/>
      <c r="K485" s="291"/>
      <c r="L485" s="291"/>
      <c r="M485" s="291"/>
    </row>
    <row r="486" spans="1:13" x14ac:dyDescent="0.2">
      <c r="C486" s="260" t="str">
        <f>'TRAD-Children YEAR(1)'!B143</f>
        <v>Pour plus de précision, une défalcation peut être prise en compte.</v>
      </c>
    </row>
    <row r="487" spans="1:13" ht="25.5" customHeight="1" x14ac:dyDescent="0.2">
      <c r="C487" s="2145" t="str">
        <f>'TRAD-Children YEAR(1)'!B144</f>
        <v>Les données défalquées sur le schéma majoritaire en 1ère ligne ont été prises en compte pour les années suivantes. (le schéma majoritaire est généralement le moins chers, cette option a été retenue dans le cadre d'une estimation budgétaire)</v>
      </c>
      <c r="D487" s="2145"/>
      <c r="E487" s="2145"/>
      <c r="F487" s="2145"/>
      <c r="G487" s="2145"/>
      <c r="H487" s="2145"/>
      <c r="I487" s="2145"/>
      <c r="J487" s="2145"/>
      <c r="K487" s="2145"/>
      <c r="L487" s="2145"/>
      <c r="M487" s="2145"/>
    </row>
    <row r="490" spans="1:13" s="1279" customFormat="1" x14ac:dyDescent="0.2">
      <c r="A490" s="1282"/>
    </row>
  </sheetData>
  <sheetProtection password="D0E7" sheet="1" objects="1" scenarios="1" selectLockedCells="1"/>
  <mergeCells count="55">
    <mergeCell ref="C487:M487"/>
    <mergeCell ref="A430:N430"/>
    <mergeCell ref="D105:E105"/>
    <mergeCell ref="F103:F105"/>
    <mergeCell ref="G103:G105"/>
    <mergeCell ref="B126:F126"/>
    <mergeCell ref="B138:F138"/>
    <mergeCell ref="G138:K138"/>
    <mergeCell ref="B163:H163"/>
    <mergeCell ref="D103:E103"/>
    <mergeCell ref="D104:E104"/>
    <mergeCell ref="D471:E471"/>
    <mergeCell ref="F471:G471"/>
    <mergeCell ref="H471:I471"/>
    <mergeCell ref="B469:M469"/>
    <mergeCell ref="B357:M357"/>
    <mergeCell ref="B393:M393"/>
    <mergeCell ref="E395:H395"/>
    <mergeCell ref="L138:M138"/>
    <mergeCell ref="B432:M432"/>
    <mergeCell ref="B176:H176"/>
    <mergeCell ref="B150:H150"/>
    <mergeCell ref="E359:H359"/>
    <mergeCell ref="C223:G223"/>
    <mergeCell ref="C67:E67"/>
    <mergeCell ref="M60:N60"/>
    <mergeCell ref="F67:I67"/>
    <mergeCell ref="B65:F65"/>
    <mergeCell ref="B99:F99"/>
    <mergeCell ref="G99:K99"/>
    <mergeCell ref="B81:F81"/>
    <mergeCell ref="C83:E83"/>
    <mergeCell ref="M97:N97"/>
    <mergeCell ref="L99:M99"/>
    <mergeCell ref="F83:I83"/>
    <mergeCell ref="F52:H52"/>
    <mergeCell ref="A60:L60"/>
    <mergeCell ref="A2:L2"/>
    <mergeCell ref="B46:F46"/>
    <mergeCell ref="G46:K46"/>
    <mergeCell ref="L46:M46"/>
    <mergeCell ref="G24:K24"/>
    <mergeCell ref="L24:M24"/>
    <mergeCell ref="A22:L22"/>
    <mergeCell ref="B24:F24"/>
    <mergeCell ref="F35:G35"/>
    <mergeCell ref="D101:E101"/>
    <mergeCell ref="D102:E102"/>
    <mergeCell ref="A97:L97"/>
    <mergeCell ref="F101:G101"/>
    <mergeCell ref="D221:G221"/>
    <mergeCell ref="C193:G193"/>
    <mergeCell ref="D191:G191"/>
    <mergeCell ref="B189:H189"/>
    <mergeCell ref="C103:C104"/>
  </mergeCells>
  <phoneticPr fontId="2" type="noConversion"/>
  <conditionalFormatting sqref="D338:AH348 D266:AH276 D290:AH300 D314:AH324">
    <cfRule type="cellIs" dxfId="12" priority="22" operator="equal">
      <formula>0</formula>
    </cfRule>
  </conditionalFormatting>
  <pageMargins left="0.78740157499999996" right="0.78740157499999996" top="0.984251969" bottom="0.984251969" header="0.4921259845" footer="0.4921259845"/>
  <pageSetup paperSize="9" orientation="portrait" r:id="rId1"/>
  <headerFooter alignWithMargins="0"/>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J706"/>
  <sheetViews>
    <sheetView topLeftCell="A19" zoomScale="65" zoomScaleNormal="65" zoomScalePageLayoutView="65" workbookViewId="0">
      <selection activeCell="D33" sqref="D33"/>
    </sheetView>
  </sheetViews>
  <sheetFormatPr baseColWidth="10" defaultColWidth="11.5" defaultRowHeight="15" x14ac:dyDescent="0.2"/>
  <cols>
    <col min="1" max="1" width="6" style="1614" customWidth="1"/>
    <col min="2" max="2" width="62.83203125" style="1689" customWidth="1"/>
    <col min="3" max="3" width="6.1640625" style="1614" customWidth="1"/>
    <col min="4" max="4" width="96.6640625" style="1615" customWidth="1"/>
    <col min="5" max="5" width="96.6640625" style="1614" customWidth="1"/>
    <col min="6" max="10" width="11.5" style="1614"/>
    <col min="11" max="11" width="10.5" style="1614" customWidth="1"/>
    <col min="12" max="19" width="12" style="1614" customWidth="1"/>
    <col min="20" max="20" width="6.6640625" style="1614" customWidth="1"/>
    <col min="21" max="34" width="12" style="1614" customWidth="1"/>
    <col min="35" max="35" width="0.6640625" style="1614" customWidth="1"/>
    <col min="36" max="16384" width="11.5" style="1614"/>
  </cols>
  <sheetData>
    <row r="1" spans="2:36" x14ac:dyDescent="0.2">
      <c r="B1" s="1689" t="s">
        <v>827</v>
      </c>
      <c r="D1" s="1701" t="s">
        <v>754</v>
      </c>
      <c r="E1" s="1663" t="s">
        <v>753</v>
      </c>
    </row>
    <row r="2" spans="2:36" s="1623" customFormat="1" x14ac:dyDescent="0.2">
      <c r="B2" s="1631" t="str">
        <f>IF(Presentation!$D$2="Français",'TRAD-Children YEAR(1)'!D2,IF(Presentation!$D$2="Anglais",'TRAD-Children YEAR(1)'!E2,""))</f>
        <v>Période réellement quantifiée :</v>
      </c>
      <c r="D2" s="1622" t="s">
        <v>402</v>
      </c>
      <c r="E2" s="1702" t="s">
        <v>918</v>
      </c>
      <c r="F2" s="1622"/>
      <c r="G2" s="1622"/>
      <c r="H2" s="1622"/>
      <c r="I2" s="1622"/>
      <c r="J2" s="1622"/>
      <c r="K2" s="1622"/>
      <c r="L2" s="1622"/>
      <c r="M2" s="1622"/>
      <c r="N2" s="1622"/>
      <c r="O2" s="1622"/>
      <c r="P2" s="1622"/>
      <c r="Q2" s="1622"/>
      <c r="R2" s="1622"/>
      <c r="S2" s="1622"/>
      <c r="T2" s="1622"/>
      <c r="U2" s="1622"/>
      <c r="V2" s="1622"/>
      <c r="W2" s="1622"/>
      <c r="X2" s="1622"/>
      <c r="Y2" s="1622"/>
      <c r="Z2" s="1622"/>
      <c r="AA2" s="1622"/>
      <c r="AB2" s="1622"/>
      <c r="AC2" s="1622"/>
      <c r="AD2" s="1622"/>
      <c r="AE2" s="1622"/>
      <c r="AF2" s="1622"/>
      <c r="AG2" s="1622"/>
      <c r="AH2" s="1622"/>
      <c r="AI2" s="1622"/>
      <c r="AJ2" s="1622"/>
    </row>
    <row r="3" spans="2:36" s="1623" customFormat="1" x14ac:dyDescent="0.2">
      <c r="B3" s="1631" t="str">
        <f>IF(Presentation!$D$2="Français",'TRAD-Children YEAR(1)'!D3,IF(Presentation!$D$2="Anglais",'TRAD-Children YEAR(1)'!E3,""))</f>
        <v>mois</v>
      </c>
      <c r="D3" s="1622" t="s">
        <v>220</v>
      </c>
      <c r="E3" s="1623" t="s">
        <v>920</v>
      </c>
      <c r="F3" s="1622"/>
      <c r="G3" s="1622"/>
      <c r="H3" s="1622"/>
      <c r="I3" s="1622"/>
      <c r="J3" s="1622"/>
      <c r="K3" s="1622"/>
      <c r="L3" s="1622"/>
      <c r="M3" s="1622"/>
      <c r="N3" s="1622"/>
      <c r="O3" s="1622"/>
      <c r="P3" s="1622"/>
      <c r="Q3" s="1622"/>
      <c r="R3" s="1622"/>
      <c r="S3" s="1622"/>
      <c r="T3" s="1622"/>
      <c r="U3" s="1622"/>
      <c r="V3" s="1622"/>
      <c r="W3" s="1622"/>
      <c r="X3" s="1622"/>
      <c r="Y3" s="1622"/>
      <c r="Z3" s="1622"/>
      <c r="AA3" s="1622"/>
      <c r="AB3" s="1622"/>
      <c r="AC3" s="1622"/>
      <c r="AD3" s="1622"/>
      <c r="AE3" s="1622"/>
      <c r="AF3" s="1622"/>
      <c r="AG3" s="1622"/>
      <c r="AH3" s="1622"/>
      <c r="AI3" s="1622"/>
      <c r="AJ3" s="1622"/>
    </row>
    <row r="4" spans="2:36" s="1623" customFormat="1" x14ac:dyDescent="0.2">
      <c r="B4" s="1631" t="str">
        <f>IF(Presentation!$D$2="Français",'TRAD-Children YEAR(1)'!D4,IF(Presentation!$D$2="Anglais",'TRAD-Children YEAR(1)'!E4,""))</f>
        <v>Facteur multiplicateur</v>
      </c>
      <c r="D4" s="1622" t="s">
        <v>615</v>
      </c>
      <c r="E4" s="1623" t="s">
        <v>921</v>
      </c>
      <c r="F4" s="1625"/>
      <c r="G4" s="1622"/>
      <c r="H4" s="1622"/>
      <c r="I4" s="1622"/>
      <c r="J4" s="1622"/>
      <c r="K4" s="1622"/>
      <c r="L4" s="1622"/>
      <c r="M4" s="1622"/>
      <c r="N4" s="1622"/>
      <c r="O4" s="1622"/>
      <c r="P4" s="1622"/>
      <c r="Q4" s="1622"/>
      <c r="R4" s="1622"/>
      <c r="S4" s="1622"/>
      <c r="T4" s="1622"/>
      <c r="U4" s="1622"/>
      <c r="V4" s="1622"/>
      <c r="W4" s="1622"/>
      <c r="X4" s="1622"/>
      <c r="Y4" s="1622"/>
      <c r="Z4" s="1622"/>
      <c r="AA4" s="1622"/>
      <c r="AB4" s="1622"/>
      <c r="AC4" s="1622"/>
      <c r="AD4" s="1622"/>
      <c r="AE4" s="1622"/>
      <c r="AF4" s="1622"/>
      <c r="AG4" s="1622"/>
      <c r="AH4" s="1622"/>
      <c r="AI4" s="1622"/>
      <c r="AJ4" s="1622"/>
    </row>
    <row r="5" spans="2:36" s="1623" customFormat="1" x14ac:dyDescent="0.2">
      <c r="B5" s="1631" t="str">
        <f>IF(Presentation!$D$2="Français",'TRAD-Children YEAR(1)'!D5,IF(Presentation!$D$2="Anglais",'TRAD-Children YEAR(1)'!E5,""))</f>
        <v>Période quantifiée + tampon</v>
      </c>
      <c r="D5" s="1622" t="s">
        <v>614</v>
      </c>
      <c r="E5" s="1622" t="s">
        <v>919</v>
      </c>
      <c r="F5" s="1622"/>
      <c r="G5" s="1622"/>
      <c r="H5" s="1622"/>
      <c r="I5" s="1622"/>
      <c r="J5" s="1622"/>
      <c r="K5" s="1622"/>
      <c r="L5" s="1622"/>
      <c r="M5" s="1622"/>
      <c r="N5" s="1622"/>
      <c r="O5" s="1622"/>
      <c r="P5" s="1622"/>
      <c r="Q5" s="1622"/>
      <c r="R5" s="1622"/>
      <c r="S5" s="1622"/>
      <c r="T5" s="1622"/>
      <c r="U5" s="1622"/>
      <c r="V5" s="1622"/>
      <c r="W5" s="1622"/>
      <c r="X5" s="1622"/>
      <c r="Y5" s="1622"/>
      <c r="Z5" s="1622"/>
      <c r="AA5" s="1622"/>
      <c r="AB5" s="1622"/>
      <c r="AC5" s="1622"/>
      <c r="AD5" s="1622"/>
      <c r="AE5" s="1622"/>
      <c r="AF5" s="1622"/>
      <c r="AG5" s="1622"/>
      <c r="AH5" s="1622"/>
      <c r="AI5" s="1622"/>
      <c r="AJ5" s="1622"/>
    </row>
    <row r="6" spans="2:36" s="1623" customFormat="1" x14ac:dyDescent="0.2">
      <c r="B6" s="1631" t="str">
        <f>IF(Presentation!$D$2="Français",'TRAD-Children YEAR(1)'!D6,IF(Presentation!$D$2="Anglais",'TRAD-Children YEAR(1)'!E6,""))</f>
        <v>Schéma thérapeutique</v>
      </c>
      <c r="D6" s="1622" t="s">
        <v>180</v>
      </c>
      <c r="E6" s="1623" t="s">
        <v>435</v>
      </c>
      <c r="F6" s="1625"/>
      <c r="G6" s="1620"/>
      <c r="H6" s="1625"/>
      <c r="I6" s="1622"/>
      <c r="K6" s="1622"/>
      <c r="L6" s="1622"/>
      <c r="M6" s="1622"/>
      <c r="N6" s="1622"/>
      <c r="O6" s="1622"/>
      <c r="P6" s="1622"/>
      <c r="Q6" s="1622"/>
      <c r="R6" s="1622"/>
      <c r="S6" s="1622"/>
      <c r="T6" s="1622"/>
      <c r="U6" s="1622"/>
      <c r="V6" s="1622"/>
      <c r="W6" s="1622"/>
      <c r="X6" s="1622"/>
      <c r="Y6" s="1622"/>
      <c r="Z6" s="1622"/>
      <c r="AA6" s="1622"/>
      <c r="AB6" s="1622"/>
      <c r="AC6" s="1622"/>
      <c r="AD6" s="1622"/>
      <c r="AE6" s="1622"/>
      <c r="AF6" s="1622"/>
      <c r="AG6" s="1622"/>
      <c r="AH6" s="1622"/>
      <c r="AI6" s="1622"/>
      <c r="AJ6" s="1622"/>
    </row>
    <row r="7" spans="2:36" s="1623" customFormat="1" x14ac:dyDescent="0.2">
      <c r="B7" s="1631"/>
      <c r="D7" s="1622"/>
      <c r="F7" s="1625"/>
      <c r="G7" s="1620"/>
      <c r="H7" s="1625"/>
      <c r="I7" s="1622"/>
      <c r="K7" s="1622"/>
      <c r="L7" s="1622"/>
      <c r="M7" s="1622"/>
      <c r="N7" s="1622"/>
      <c r="O7" s="1622"/>
      <c r="P7" s="1622"/>
      <c r="Q7" s="1622"/>
      <c r="R7" s="1622"/>
      <c r="S7" s="1622"/>
      <c r="T7" s="1622"/>
      <c r="U7" s="1622"/>
      <c r="V7" s="1622"/>
      <c r="W7" s="1622"/>
      <c r="X7" s="1622"/>
      <c r="Y7" s="1622"/>
      <c r="Z7" s="1622"/>
      <c r="AA7" s="1622"/>
      <c r="AB7" s="1622"/>
      <c r="AC7" s="1622"/>
      <c r="AD7" s="1622"/>
      <c r="AE7" s="1622"/>
      <c r="AF7" s="1622"/>
      <c r="AG7" s="1622"/>
      <c r="AH7" s="1622"/>
      <c r="AI7" s="1622"/>
      <c r="AJ7" s="1622"/>
    </row>
    <row r="8" spans="2:36" s="1623" customFormat="1" x14ac:dyDescent="0.2">
      <c r="B8" s="1631" t="str">
        <f>IF(Presentation!$D$2="Français",'TRAD-Children YEAR(1)'!D8,IF(Presentation!$D$2="Anglais",'TRAD-Children YEAR(1)'!E8,""))</f>
        <v>Nb de patients prévus au début de la première année</v>
      </c>
      <c r="D8" s="1622" t="s">
        <v>292</v>
      </c>
      <c r="E8" s="1623" t="s">
        <v>1382</v>
      </c>
      <c r="F8" s="1625"/>
      <c r="G8" s="1620"/>
      <c r="H8" s="1625"/>
      <c r="I8" s="1622"/>
      <c r="J8" s="1622"/>
      <c r="K8" s="1622"/>
      <c r="L8" s="1622"/>
      <c r="M8" s="1622"/>
      <c r="N8" s="1622"/>
      <c r="O8" s="1622"/>
      <c r="P8" s="1622"/>
      <c r="Q8" s="1622"/>
      <c r="R8" s="1622"/>
      <c r="S8" s="1622"/>
      <c r="T8" s="1622"/>
      <c r="U8" s="1622"/>
      <c r="V8" s="1622"/>
      <c r="W8" s="1622"/>
      <c r="X8" s="1622"/>
      <c r="Y8" s="1622"/>
      <c r="Z8" s="1622"/>
      <c r="AA8" s="1622"/>
      <c r="AB8" s="1622"/>
      <c r="AC8" s="1622"/>
      <c r="AD8" s="1622"/>
      <c r="AE8" s="1622"/>
      <c r="AF8" s="1622"/>
      <c r="AG8" s="1622"/>
      <c r="AH8" s="1622"/>
      <c r="AI8" s="1622"/>
      <c r="AJ8" s="1622"/>
    </row>
    <row r="9" spans="2:36" s="1623" customFormat="1" x14ac:dyDescent="0.2">
      <c r="B9" s="1631" t="str">
        <f>IF(Presentation!$D$2="Français",'TRAD-Children YEAR(1)'!D9,IF(Presentation!$D$2="Anglais",'TRAD-Children YEAR(1)'!E9,""))</f>
        <v>Proportions</v>
      </c>
      <c r="D9" s="1622" t="s">
        <v>278</v>
      </c>
      <c r="E9" s="1622" t="s">
        <v>1095</v>
      </c>
      <c r="F9" s="1622"/>
      <c r="G9" s="1622"/>
      <c r="H9" s="1622"/>
      <c r="I9" s="1622"/>
      <c r="J9" s="1622"/>
      <c r="K9" s="1622"/>
      <c r="L9" s="1622"/>
      <c r="M9" s="1622"/>
      <c r="N9" s="1622"/>
      <c r="O9" s="1622"/>
      <c r="P9" s="1622"/>
      <c r="Q9" s="1622"/>
      <c r="R9" s="1622"/>
      <c r="S9" s="1622"/>
      <c r="T9" s="1622"/>
      <c r="U9" s="1622"/>
      <c r="V9" s="1622"/>
      <c r="W9" s="1622"/>
      <c r="X9" s="1622"/>
      <c r="Y9" s="1622"/>
      <c r="Z9" s="1622"/>
      <c r="AA9" s="1622"/>
      <c r="AB9" s="1622"/>
      <c r="AC9" s="1622"/>
      <c r="AD9" s="1622"/>
      <c r="AE9" s="1622"/>
      <c r="AF9" s="1622"/>
      <c r="AG9" s="1622"/>
      <c r="AH9" s="1622"/>
      <c r="AI9" s="1622"/>
      <c r="AJ9" s="1622"/>
    </row>
    <row r="10" spans="2:36" s="1623" customFormat="1" x14ac:dyDescent="0.2">
      <c r="B10" s="1631" t="str">
        <f>IF(Presentation!$D$2="Français",'TRAD-Children YEAR(1)'!D10,IF(Presentation!$D$2="Anglais",'TRAD-Children YEAR(1)'!E10,""))</f>
        <v>Total Premières lignes</v>
      </c>
      <c r="D10" s="1622" t="s">
        <v>276</v>
      </c>
      <c r="E10" s="1623" t="s">
        <v>992</v>
      </c>
      <c r="H10" s="1622"/>
      <c r="I10" s="1622"/>
      <c r="J10" s="1622"/>
      <c r="K10" s="1622"/>
      <c r="L10" s="1622"/>
      <c r="M10" s="1622"/>
      <c r="N10" s="1622"/>
      <c r="O10" s="1622"/>
      <c r="P10" s="1622"/>
      <c r="Q10" s="1622"/>
      <c r="R10" s="1622"/>
      <c r="S10" s="1622"/>
      <c r="T10" s="1622"/>
      <c r="U10" s="1622"/>
      <c r="V10" s="1622"/>
      <c r="W10" s="1622"/>
      <c r="X10" s="1622"/>
      <c r="Y10" s="1622"/>
      <c r="Z10" s="1622"/>
      <c r="AA10" s="1622"/>
      <c r="AB10" s="1622"/>
      <c r="AC10" s="1622"/>
      <c r="AD10" s="1622"/>
      <c r="AE10" s="1622"/>
      <c r="AF10" s="1622"/>
      <c r="AG10" s="1622"/>
      <c r="AH10" s="1622"/>
      <c r="AI10" s="1622"/>
      <c r="AJ10" s="1622"/>
    </row>
    <row r="11" spans="2:36" s="1623" customFormat="1" x14ac:dyDescent="0.2">
      <c r="B11" s="1631" t="str">
        <f>IF(Presentation!$D$2="Français",'TRAD-Children YEAR(1)'!D11,IF(Presentation!$D$2="Anglais",'TRAD-Children YEAR(1)'!E11,""))</f>
        <v>Total Deuxièmes lignes</v>
      </c>
      <c r="D11" s="1622" t="s">
        <v>293</v>
      </c>
      <c r="E11" s="1623" t="s">
        <v>997</v>
      </c>
      <c r="F11" s="1703"/>
      <c r="G11" s="1704"/>
      <c r="H11" s="1622"/>
      <c r="J11" s="1622"/>
      <c r="K11" s="1705"/>
      <c r="L11" s="1622"/>
      <c r="M11" s="1622"/>
      <c r="N11" s="1622"/>
      <c r="O11" s="1622"/>
      <c r="P11" s="1622"/>
      <c r="Q11" s="1622"/>
      <c r="R11" s="1622"/>
      <c r="S11" s="1622"/>
      <c r="T11" s="1622"/>
      <c r="U11" s="1622"/>
      <c r="V11" s="1622"/>
      <c r="W11" s="1622"/>
      <c r="X11" s="1622"/>
      <c r="Y11" s="1622"/>
      <c r="Z11" s="1622"/>
      <c r="AA11" s="1622"/>
      <c r="AB11" s="1622"/>
      <c r="AC11" s="1622"/>
      <c r="AD11" s="1622"/>
      <c r="AE11" s="1622"/>
      <c r="AF11" s="1622"/>
      <c r="AG11" s="1622"/>
      <c r="AH11" s="1622"/>
      <c r="AI11" s="1622"/>
      <c r="AJ11" s="1622"/>
    </row>
    <row r="12" spans="2:36" s="1623" customFormat="1" x14ac:dyDescent="0.2">
      <c r="B12" s="1631" t="str">
        <f>IF(Presentation!$D$2="Français",'TRAD-Children YEAR(1)'!D12,IF(Presentation!$D$2="Anglais",'TRAD-Children YEAR(1)'!E12,""))</f>
        <v>TOTAL (nbre de boîtes / flacons)</v>
      </c>
      <c r="D12" s="1622" t="s">
        <v>1217</v>
      </c>
      <c r="E12" s="1623" t="s">
        <v>1218</v>
      </c>
      <c r="F12" s="1703"/>
      <c r="G12" s="1704"/>
      <c r="H12" s="1622"/>
      <c r="I12" s="1622"/>
      <c r="J12" s="1622"/>
      <c r="K12" s="1704"/>
      <c r="L12" s="1622"/>
      <c r="M12" s="1622"/>
      <c r="N12" s="1622"/>
      <c r="O12" s="1622"/>
      <c r="P12" s="1622"/>
      <c r="Q12" s="1622"/>
      <c r="R12" s="1622"/>
      <c r="S12" s="1622"/>
      <c r="T12" s="1622"/>
      <c r="U12" s="1622"/>
      <c r="V12" s="1622"/>
      <c r="W12" s="1622"/>
      <c r="X12" s="1622"/>
      <c r="Y12" s="1622"/>
      <c r="Z12" s="1622"/>
      <c r="AA12" s="1622"/>
      <c r="AB12" s="1622"/>
      <c r="AC12" s="1622"/>
      <c r="AD12" s="1622"/>
      <c r="AE12" s="1622"/>
      <c r="AF12" s="1622"/>
      <c r="AG12" s="1622"/>
      <c r="AH12" s="1622"/>
      <c r="AI12" s="1622"/>
      <c r="AJ12" s="1622"/>
    </row>
    <row r="13" spans="2:36" s="1623" customFormat="1" ht="30" x14ac:dyDescent="0.2">
      <c r="B13" s="1631" t="str">
        <f>IF(Presentation!$D$2="Français",'TRAD-Children YEAR(1)'!D13,IF(Presentation!$D$2="Anglais",'TRAD-Children YEAR(1)'!E13,""))</f>
        <v>Evolution de la file active sous traitement ARV à prévoir pour la première année</v>
      </c>
      <c r="D13" s="1622" t="s">
        <v>264</v>
      </c>
      <c r="E13" s="1642" t="s">
        <v>1383</v>
      </c>
      <c r="F13" s="1618"/>
      <c r="G13" s="1618"/>
      <c r="H13" s="1618"/>
      <c r="I13" s="1618"/>
      <c r="J13" s="1618"/>
      <c r="K13" s="1618"/>
      <c r="L13" s="1618"/>
      <c r="M13" s="1618"/>
      <c r="N13" s="1618"/>
      <c r="O13" s="1618"/>
      <c r="P13" s="1622"/>
      <c r="Q13" s="1622"/>
      <c r="R13" s="1622"/>
      <c r="S13" s="1622"/>
      <c r="T13" s="1622"/>
      <c r="U13" s="1622"/>
      <c r="V13" s="1622"/>
      <c r="W13" s="1622"/>
      <c r="X13" s="1622"/>
      <c r="Y13" s="1622"/>
      <c r="Z13" s="1622"/>
      <c r="AA13" s="1622"/>
      <c r="AB13" s="1622"/>
      <c r="AC13" s="1622"/>
      <c r="AD13" s="1622"/>
      <c r="AE13" s="1622"/>
      <c r="AF13" s="1622"/>
      <c r="AG13" s="1622"/>
      <c r="AH13" s="1622"/>
      <c r="AI13" s="1622"/>
      <c r="AJ13" s="1622"/>
    </row>
    <row r="14" spans="2:36" s="1623" customFormat="1" x14ac:dyDescent="0.2">
      <c r="B14" s="1631" t="str">
        <f>IF(Presentation!$D$2="Français",'TRAD-Children YEAR(1)'!D14,IF(Presentation!$D$2="Anglais",'TRAD-Children YEAR(1)'!E14,""))</f>
        <v>Répartition des Initiations</v>
      </c>
      <c r="D14" s="1622" t="s">
        <v>287</v>
      </c>
      <c r="E14" s="1622" t="s">
        <v>1384</v>
      </c>
      <c r="F14" s="1618"/>
      <c r="G14" s="1618"/>
      <c r="H14" s="1618"/>
      <c r="I14" s="1622"/>
      <c r="J14" s="1622"/>
      <c r="K14" s="1622"/>
      <c r="L14" s="1622"/>
      <c r="M14" s="1622"/>
      <c r="N14" s="1622"/>
      <c r="O14" s="1622"/>
      <c r="P14" s="1622"/>
      <c r="Q14" s="1622"/>
      <c r="R14" s="1622"/>
      <c r="S14" s="1622"/>
      <c r="T14" s="1622"/>
      <c r="U14" s="1622"/>
      <c r="V14" s="1622"/>
      <c r="W14" s="1622"/>
      <c r="X14" s="1622"/>
      <c r="Y14" s="1622"/>
      <c r="Z14" s="1622"/>
      <c r="AA14" s="1622"/>
      <c r="AB14" s="1622"/>
      <c r="AC14" s="1622"/>
      <c r="AD14" s="1622"/>
      <c r="AE14" s="1622"/>
      <c r="AF14" s="1622"/>
      <c r="AG14" s="1622"/>
      <c r="AH14" s="1622"/>
      <c r="AI14" s="1622"/>
      <c r="AJ14" s="1622"/>
    </row>
    <row r="15" spans="2:36" s="1623" customFormat="1" x14ac:dyDescent="0.2">
      <c r="B15" s="1631" t="str">
        <f>IF(Presentation!$D$2="Français",'TRAD-Children YEAR(1)'!D15,IF(Presentation!$D$2="Anglais",'TRAD-Children YEAR(1)'!E15,""))</f>
        <v>critères / schémas</v>
      </c>
      <c r="D15" s="1622" t="s">
        <v>272</v>
      </c>
      <c r="E15" s="1623" t="s">
        <v>1097</v>
      </c>
      <c r="J15" s="2154"/>
      <c r="K15" s="2154"/>
      <c r="L15" s="2154"/>
      <c r="M15" s="2154"/>
      <c r="N15" s="2154"/>
      <c r="O15" s="2154"/>
      <c r="P15" s="2154"/>
      <c r="Q15" s="1622"/>
      <c r="R15" s="1622"/>
      <c r="S15" s="1622"/>
      <c r="T15" s="1622"/>
      <c r="U15" s="1622"/>
      <c r="V15" s="1622"/>
      <c r="W15" s="1622"/>
      <c r="X15" s="1622"/>
      <c r="Y15" s="1622"/>
      <c r="Z15" s="1622"/>
      <c r="AA15" s="1622"/>
      <c r="AB15" s="1622"/>
      <c r="AC15" s="1622"/>
      <c r="AD15" s="1622"/>
      <c r="AE15" s="1622"/>
      <c r="AF15" s="1622"/>
      <c r="AG15" s="1622"/>
      <c r="AH15" s="1622"/>
      <c r="AI15" s="1622"/>
      <c r="AJ15" s="1622"/>
    </row>
    <row r="16" spans="2:36" s="1623" customFormat="1" x14ac:dyDescent="0.2">
      <c r="B16" s="1631" t="str">
        <f>IF(Presentation!$D$2="Français",'TRAD-Children YEAR(1)'!D16,IF(Presentation!$D$2="Anglais",'TRAD-Children YEAR(1)'!E16,""))</f>
        <v>Nb de patients mensuels</v>
      </c>
      <c r="D16" s="1622" t="s">
        <v>52</v>
      </c>
      <c r="E16" s="1622" t="s">
        <v>1385</v>
      </c>
      <c r="F16" s="1622"/>
      <c r="G16" s="1622"/>
      <c r="H16" s="1622"/>
      <c r="I16" s="1622"/>
      <c r="J16" s="1622"/>
      <c r="K16" s="1622"/>
      <c r="L16" s="1622"/>
      <c r="M16" s="1622"/>
      <c r="N16" s="1622"/>
      <c r="O16" s="1622"/>
      <c r="P16" s="1622"/>
      <c r="Q16" s="1622"/>
      <c r="R16" s="1622"/>
      <c r="S16" s="1622"/>
      <c r="T16" s="1622"/>
      <c r="U16" s="1622"/>
      <c r="V16" s="1622"/>
      <c r="W16" s="1622"/>
      <c r="X16" s="1622"/>
      <c r="Y16" s="1622"/>
      <c r="Z16" s="1622"/>
      <c r="AA16" s="1622"/>
      <c r="AB16" s="1622"/>
      <c r="AC16" s="1622"/>
      <c r="AD16" s="1622"/>
      <c r="AE16" s="1622"/>
      <c r="AF16" s="1622"/>
      <c r="AG16" s="1622"/>
      <c r="AH16" s="1622"/>
      <c r="AI16" s="1622"/>
      <c r="AJ16" s="1622"/>
    </row>
    <row r="17" spans="2:36" s="1623" customFormat="1" x14ac:dyDescent="0.2">
      <c r="B17" s="1631" t="str">
        <f>IF(Presentation!$D$2="Français",'TRAD-Children YEAR(1)'!D17,IF(Presentation!$D$2="Anglais",'TRAD-Children YEAR(1)'!E17,""))</f>
        <v>Nb de nvx patients total sur la période</v>
      </c>
      <c r="D17" s="1622" t="s">
        <v>404</v>
      </c>
      <c r="E17" s="1622" t="s">
        <v>1387</v>
      </c>
      <c r="G17" s="1620"/>
      <c r="K17" s="1622"/>
      <c r="L17" s="1622"/>
      <c r="M17" s="1622"/>
      <c r="N17" s="1622"/>
      <c r="O17" s="1622"/>
      <c r="P17" s="1622"/>
      <c r="Q17" s="1622"/>
      <c r="R17" s="1622"/>
      <c r="S17" s="1622"/>
      <c r="T17" s="1622"/>
      <c r="U17" s="1622"/>
      <c r="V17" s="1622"/>
      <c r="W17" s="1622"/>
      <c r="X17" s="1622"/>
      <c r="Y17" s="1622"/>
      <c r="Z17" s="1622"/>
      <c r="AA17" s="1622"/>
      <c r="AB17" s="1622"/>
      <c r="AC17" s="1622"/>
      <c r="AD17" s="1622"/>
      <c r="AE17" s="1622"/>
      <c r="AF17" s="1622"/>
      <c r="AG17" s="1622"/>
      <c r="AH17" s="1622"/>
      <c r="AI17" s="1622"/>
      <c r="AJ17" s="1622"/>
    </row>
    <row r="18" spans="2:36" s="1623" customFormat="1" ht="30" x14ac:dyDescent="0.2">
      <c r="B18" s="1631" t="str">
        <f>IF(Presentation!$D$2="Français",'TRAD-Children YEAR(1)'!D18,IF(Presentation!$D$2="Anglais",'TRAD-Children YEAR(1)'!E18,""))</f>
        <v>Nb de nvx patients total sur la période AVEC la marge de sécu</v>
      </c>
      <c r="D18" s="1622" t="s">
        <v>266</v>
      </c>
      <c r="E18" s="1623" t="s">
        <v>1386</v>
      </c>
      <c r="F18" s="1622"/>
      <c r="G18" s="1640"/>
      <c r="H18" s="1641"/>
      <c r="I18" s="1641"/>
      <c r="J18" s="1641"/>
      <c r="K18" s="1622"/>
      <c r="L18" s="1622"/>
      <c r="M18" s="1622"/>
      <c r="N18" s="1622"/>
      <c r="O18" s="1622"/>
      <c r="P18" s="1622"/>
      <c r="Q18" s="1622"/>
      <c r="R18" s="1622"/>
      <c r="S18" s="1622"/>
      <c r="T18" s="1622"/>
      <c r="U18" s="1622"/>
      <c r="V18" s="1622"/>
      <c r="W18" s="1622"/>
      <c r="X18" s="1622"/>
      <c r="Y18" s="1622"/>
      <c r="Z18" s="1622"/>
      <c r="AA18" s="1622"/>
      <c r="AB18" s="1622"/>
      <c r="AC18" s="1622"/>
      <c r="AD18" s="1622"/>
      <c r="AE18" s="1622"/>
      <c r="AF18" s="1622"/>
      <c r="AG18" s="1622"/>
      <c r="AH18" s="1622"/>
      <c r="AI18" s="1622"/>
      <c r="AJ18" s="1622"/>
    </row>
    <row r="19" spans="2:36" s="1623" customFormat="1" ht="30" x14ac:dyDescent="0.2">
      <c r="B19" s="1631" t="str">
        <f>IF(Presentation!$D$2="Français",'TRAD-Children YEAR(1)'!D19,IF(Presentation!$D$2="Anglais",'TRAD-Children YEAR(1)'!E19,""))</f>
        <v>Total 
patients-mois</v>
      </c>
      <c r="D19" s="1622" t="s">
        <v>182</v>
      </c>
      <c r="E19" s="1622" t="s">
        <v>1098</v>
      </c>
      <c r="F19" s="1622"/>
      <c r="G19" s="1641"/>
      <c r="H19" s="1647"/>
      <c r="I19" s="1641"/>
      <c r="J19" s="1641"/>
      <c r="K19" s="1622"/>
      <c r="L19" s="1622"/>
      <c r="M19" s="1622"/>
      <c r="N19" s="1622"/>
      <c r="O19" s="1622"/>
      <c r="P19" s="1622"/>
      <c r="Q19" s="1622"/>
      <c r="R19" s="1622"/>
      <c r="S19" s="1622"/>
      <c r="T19" s="1622"/>
      <c r="U19" s="1622"/>
      <c r="V19" s="1622"/>
      <c r="W19" s="1622"/>
      <c r="X19" s="1622"/>
      <c r="Y19" s="1622"/>
      <c r="Z19" s="1622"/>
      <c r="AA19" s="1622"/>
      <c r="AB19" s="1622"/>
      <c r="AC19" s="1622"/>
      <c r="AD19" s="1622"/>
      <c r="AE19" s="1622"/>
      <c r="AF19" s="1622"/>
      <c r="AG19" s="1622"/>
      <c r="AH19" s="1622"/>
      <c r="AI19" s="1622"/>
      <c r="AJ19" s="1622"/>
    </row>
    <row r="20" spans="2:36" s="1623" customFormat="1" x14ac:dyDescent="0.2">
      <c r="B20" s="1631" t="str">
        <f>IF(Presentation!$D$2="Français",'TRAD-Children YEAR(1)'!D20,IF(Presentation!$D$2="Anglais",'TRAD-Children YEAR(1)'!E20,""))</f>
        <v>Médicaments nécessaires</v>
      </c>
      <c r="D20" s="1622" t="s">
        <v>56</v>
      </c>
      <c r="E20" s="1622" t="s">
        <v>1388</v>
      </c>
      <c r="F20" s="1622"/>
      <c r="G20" s="1622"/>
      <c r="H20" s="1622"/>
      <c r="I20" s="1622"/>
      <c r="J20" s="1622"/>
      <c r="K20" s="1622"/>
      <c r="L20" s="1622"/>
      <c r="M20" s="1622"/>
      <c r="N20" s="1622"/>
      <c r="O20" s="1622"/>
      <c r="P20" s="1622"/>
      <c r="Q20" s="1622"/>
      <c r="R20" s="1622"/>
      <c r="S20" s="1622"/>
      <c r="T20" s="1622"/>
      <c r="U20" s="1622"/>
      <c r="V20" s="1622"/>
      <c r="W20" s="1622"/>
      <c r="X20" s="1622"/>
      <c r="Y20" s="1622"/>
      <c r="Z20" s="1622"/>
      <c r="AA20" s="1622"/>
      <c r="AB20" s="1622"/>
      <c r="AC20" s="1622"/>
      <c r="AD20" s="1622"/>
      <c r="AE20" s="1622"/>
      <c r="AF20" s="1622"/>
      <c r="AG20" s="1622"/>
      <c r="AH20" s="1622"/>
      <c r="AI20" s="1622"/>
      <c r="AJ20" s="1622"/>
    </row>
    <row r="21" spans="2:36" s="1623" customFormat="1" x14ac:dyDescent="0.2">
      <c r="B21" s="1631" t="str">
        <f>IF(Presentation!$D$2="Français",'TRAD-Children YEAR(1)'!D21,IF(Presentation!$D$2="Anglais",'TRAD-Children YEAR(1)'!E21,""))</f>
        <v>Total patients-mois AVEC Marge de sécurité</v>
      </c>
      <c r="D21" s="1622" t="s">
        <v>221</v>
      </c>
      <c r="E21" s="1622" t="s">
        <v>1099</v>
      </c>
      <c r="F21" s="1620"/>
      <c r="G21" s="1620"/>
      <c r="M21" s="1622"/>
      <c r="N21" s="1622"/>
      <c r="O21" s="1622"/>
      <c r="P21" s="1622"/>
      <c r="Q21" s="1622"/>
      <c r="R21" s="1622"/>
      <c r="S21" s="1622"/>
      <c r="T21" s="1622"/>
      <c r="U21" s="1622"/>
      <c r="V21" s="1622"/>
      <c r="W21" s="1622"/>
      <c r="X21" s="1622"/>
      <c r="Y21" s="1622"/>
      <c r="Z21" s="1622"/>
      <c r="AA21" s="1622"/>
      <c r="AB21" s="1622"/>
      <c r="AC21" s="1622"/>
      <c r="AD21" s="1622"/>
      <c r="AE21" s="1622"/>
      <c r="AF21" s="1622"/>
      <c r="AG21" s="1622"/>
      <c r="AH21" s="1622"/>
      <c r="AI21" s="1622"/>
      <c r="AJ21" s="1622"/>
    </row>
    <row r="22" spans="2:36" s="1623" customFormat="1" x14ac:dyDescent="0.2">
      <c r="B22" s="1631" t="str">
        <f>IF(Presentation!$D$2="Français",'TRAD-Children YEAR(1)'!D22,IF(Presentation!$D$2="Anglais",'TRAD-Children YEAR(1)'!E22,""))</f>
        <v>Nb de patients-mois Marge de sécurité</v>
      </c>
      <c r="D22" s="1622" t="s">
        <v>222</v>
      </c>
      <c r="E22" s="1623" t="s">
        <v>1100</v>
      </c>
      <c r="F22" s="1622"/>
      <c r="G22" s="1641"/>
      <c r="H22" s="1620"/>
      <c r="I22" s="1622"/>
      <c r="J22" s="1622"/>
      <c r="K22" s="1620"/>
      <c r="L22" s="1620"/>
      <c r="M22" s="1622"/>
      <c r="N22" s="1622"/>
      <c r="O22" s="1622"/>
      <c r="P22" s="1622"/>
      <c r="Q22" s="1622"/>
      <c r="R22" s="1622"/>
      <c r="S22" s="1622"/>
      <c r="T22" s="1622"/>
      <c r="U22" s="1622"/>
      <c r="V22" s="1622"/>
      <c r="W22" s="1622"/>
      <c r="X22" s="1622"/>
      <c r="Y22" s="1622"/>
      <c r="Z22" s="1622"/>
      <c r="AA22" s="1622"/>
      <c r="AB22" s="1622"/>
      <c r="AC22" s="1622"/>
      <c r="AD22" s="1622"/>
      <c r="AE22" s="1622"/>
      <c r="AF22" s="1622"/>
      <c r="AG22" s="1622"/>
      <c r="AH22" s="1622"/>
      <c r="AI22" s="1622"/>
      <c r="AJ22" s="1622"/>
    </row>
    <row r="23" spans="2:36" s="1623" customFormat="1" x14ac:dyDescent="0.2">
      <c r="B23" s="1631" t="str">
        <f>IF(Presentation!$D$2="Français",'TRAD-Children YEAR(1)'!D23,IF(Presentation!$D$2="Anglais",'TRAD-Children YEAR(1)'!E23,""))</f>
        <v>Nb de patients-mois Marge de sécurité SEULE</v>
      </c>
      <c r="D23" s="1622" t="s">
        <v>224</v>
      </c>
      <c r="E23" s="1623" t="s">
        <v>1210</v>
      </c>
      <c r="F23" s="1622"/>
      <c r="G23" s="1641"/>
      <c r="H23" s="1620"/>
      <c r="I23" s="1622"/>
      <c r="J23" s="1622"/>
      <c r="K23" s="1620"/>
      <c r="L23" s="1620"/>
      <c r="M23" s="1622"/>
      <c r="N23" s="1622"/>
      <c r="O23" s="1622"/>
      <c r="P23" s="1622"/>
      <c r="Q23" s="1622"/>
      <c r="R23" s="1622"/>
      <c r="S23" s="1622"/>
      <c r="T23" s="1622"/>
      <c r="U23" s="1622"/>
      <c r="V23" s="1622"/>
      <c r="W23" s="1622"/>
      <c r="X23" s="1622"/>
      <c r="Y23" s="1622"/>
      <c r="Z23" s="1622"/>
      <c r="AA23" s="1622"/>
      <c r="AB23" s="1622"/>
      <c r="AC23" s="1622"/>
      <c r="AD23" s="1622"/>
      <c r="AE23" s="1622"/>
      <c r="AF23" s="1622"/>
      <c r="AG23" s="1622"/>
      <c r="AH23" s="1622"/>
      <c r="AI23" s="1622"/>
      <c r="AJ23" s="1622"/>
    </row>
    <row r="24" spans="2:36" s="1623" customFormat="1" ht="30" x14ac:dyDescent="0.2">
      <c r="B24" s="1631" t="str">
        <f>IF(Presentation!$D$2="Français",'TRAD-Children YEAR(1)'!D24,IF(Presentation!$D$2="Anglais",'TRAD-Children YEAR(1)'!E24,""))</f>
        <v>Répartition de la FA sous traitement en nb de patients - mois / poids / schéma</v>
      </c>
      <c r="D24" s="1622" t="s">
        <v>209</v>
      </c>
      <c r="E24" s="1622" t="s">
        <v>1211</v>
      </c>
      <c r="F24" s="1622"/>
      <c r="G24" s="1622"/>
      <c r="H24" s="1622"/>
      <c r="I24" s="1622"/>
      <c r="J24" s="1622"/>
      <c r="K24" s="1622"/>
      <c r="L24" s="1622"/>
      <c r="M24" s="1622"/>
      <c r="N24" s="1622"/>
      <c r="O24" s="1622"/>
      <c r="P24" s="1622"/>
      <c r="Q24" s="1622"/>
      <c r="R24" s="1622"/>
      <c r="S24" s="1622"/>
      <c r="T24" s="1622"/>
      <c r="U24" s="1622"/>
      <c r="V24" s="1622"/>
      <c r="W24" s="1622"/>
      <c r="X24" s="1622"/>
      <c r="Y24" s="1622"/>
      <c r="Z24" s="1622"/>
      <c r="AA24" s="1622"/>
      <c r="AB24" s="1622"/>
      <c r="AC24" s="1622"/>
      <c r="AD24" s="1622"/>
      <c r="AE24" s="1622"/>
      <c r="AF24" s="1622"/>
      <c r="AG24" s="1622"/>
      <c r="AH24" s="1622"/>
      <c r="AI24" s="1622"/>
      <c r="AJ24" s="1622"/>
    </row>
    <row r="25" spans="2:36" s="1623" customFormat="1" x14ac:dyDescent="0.2">
      <c r="B25" s="1631" t="str">
        <f>IF(Presentation!$D$2="Français",'TRAD-Children YEAR(1)'!D25,IF(Presentation!$D$2="Anglais",'TRAD-Children YEAR(1)'!E25,""))</f>
        <v>TOTAL Initiations</v>
      </c>
      <c r="D25" s="1622" t="s">
        <v>288</v>
      </c>
      <c r="E25" s="1623" t="s">
        <v>1101</v>
      </c>
      <c r="F25" s="1622"/>
      <c r="G25" s="1641"/>
      <c r="H25" s="1620"/>
      <c r="I25" s="1622"/>
      <c r="J25" s="1622"/>
      <c r="K25" s="1620"/>
      <c r="L25" s="1620"/>
      <c r="M25" s="1622"/>
      <c r="N25" s="1622"/>
      <c r="O25" s="1622"/>
      <c r="P25" s="1622"/>
      <c r="Q25" s="1622"/>
      <c r="R25" s="1622"/>
      <c r="S25" s="1622"/>
      <c r="T25" s="1622"/>
      <c r="U25" s="1622"/>
      <c r="V25" s="1622"/>
      <c r="W25" s="1622"/>
      <c r="X25" s="1622"/>
      <c r="Y25" s="1622"/>
      <c r="Z25" s="1622"/>
      <c r="AA25" s="1622"/>
      <c r="AB25" s="1622"/>
      <c r="AC25" s="1622"/>
      <c r="AD25" s="1622"/>
      <c r="AE25" s="1622"/>
      <c r="AF25" s="1622"/>
      <c r="AG25" s="1622"/>
      <c r="AH25" s="1622"/>
      <c r="AI25" s="1622"/>
      <c r="AJ25" s="1622"/>
    </row>
    <row r="26" spans="2:36" s="1623" customFormat="1" x14ac:dyDescent="0.2">
      <c r="B26" s="1631" t="str">
        <f>IF(Presentation!$D$2="Français",'TRAD-Children YEAR(1)'!D26,IF(Presentation!$D$2="Anglais",'TRAD-Children YEAR(1)'!E26,""))</f>
        <v>Répartition des passages en 2ème ligne</v>
      </c>
      <c r="D26" s="1622" t="s">
        <v>202</v>
      </c>
      <c r="E26" s="1642" t="s">
        <v>1102</v>
      </c>
      <c r="F26" s="1618"/>
      <c r="G26" s="1618"/>
      <c r="H26" s="1618"/>
      <c r="I26" s="1622"/>
      <c r="J26" s="1622"/>
      <c r="K26" s="1620"/>
      <c r="L26" s="1620"/>
      <c r="M26" s="1622"/>
      <c r="N26" s="1622"/>
      <c r="O26" s="1622"/>
      <c r="P26" s="1622"/>
      <c r="Q26" s="1622"/>
      <c r="R26" s="1622"/>
      <c r="S26" s="1622"/>
      <c r="T26" s="1622"/>
      <c r="U26" s="1622"/>
      <c r="V26" s="1622"/>
      <c r="W26" s="1622"/>
      <c r="X26" s="1622"/>
      <c r="Y26" s="1622"/>
      <c r="Z26" s="1622"/>
      <c r="AA26" s="1622"/>
      <c r="AB26" s="1622"/>
      <c r="AC26" s="1622"/>
      <c r="AD26" s="1622"/>
      <c r="AE26" s="1622"/>
      <c r="AF26" s="1622"/>
      <c r="AG26" s="1622"/>
      <c r="AH26" s="1622"/>
      <c r="AI26" s="1622"/>
      <c r="AJ26" s="1622"/>
    </row>
    <row r="27" spans="2:36" s="1623" customFormat="1" x14ac:dyDescent="0.2">
      <c r="B27" s="1631" t="str">
        <f>IF(Presentation!$D$2="Français",'TRAD-Children YEAR(1)'!D27,IF(Presentation!$D$2="Anglais",'TRAD-Children YEAR(1)'!E27,""))</f>
        <v>Caps. Molle</v>
      </c>
      <c r="D27" s="1622" t="s">
        <v>1483</v>
      </c>
      <c r="E27" s="1622" t="s">
        <v>1481</v>
      </c>
      <c r="F27" s="1618"/>
      <c r="G27" s="1618"/>
      <c r="H27" s="1618"/>
      <c r="I27" s="1622"/>
      <c r="J27" s="1622"/>
      <c r="K27" s="1620"/>
      <c r="L27" s="1620"/>
      <c r="M27" s="1622"/>
      <c r="N27" s="1622"/>
      <c r="O27" s="1622"/>
      <c r="P27" s="1622"/>
      <c r="Q27" s="1622"/>
      <c r="R27" s="1622"/>
      <c r="S27" s="1622"/>
      <c r="T27" s="1622"/>
      <c r="U27" s="1622"/>
      <c r="V27" s="1622"/>
      <c r="W27" s="1622"/>
      <c r="X27" s="1622"/>
      <c r="Y27" s="1622"/>
      <c r="Z27" s="1622"/>
      <c r="AA27" s="1622"/>
      <c r="AB27" s="1622"/>
      <c r="AC27" s="1622"/>
      <c r="AD27" s="1622"/>
      <c r="AE27" s="1622"/>
      <c r="AF27" s="1622"/>
      <c r="AG27" s="1622"/>
      <c r="AH27" s="1622"/>
      <c r="AI27" s="1622"/>
      <c r="AJ27" s="1622"/>
    </row>
    <row r="28" spans="2:36" s="1623" customFormat="1" x14ac:dyDescent="0.2">
      <c r="B28" s="1631" t="str">
        <f>IF(Presentation!$D$2="Français",'TRAD-Children YEAR(1)'!D28,IF(Presentation!$D$2="Anglais",'TRAD-Children YEAR(1)'!E28,""))</f>
        <v>Taux de passage en 2ème ligne</v>
      </c>
      <c r="D28" s="1622" t="s">
        <v>62</v>
      </c>
      <c r="E28" s="1623" t="s">
        <v>1389</v>
      </c>
      <c r="F28" s="1625"/>
      <c r="G28" s="1706"/>
      <c r="I28" s="1625"/>
      <c r="K28" s="1695"/>
      <c r="M28" s="1622"/>
      <c r="N28" s="1622"/>
      <c r="O28" s="1622"/>
      <c r="P28" s="1622"/>
      <c r="Q28" s="1622"/>
      <c r="R28" s="1622"/>
      <c r="S28" s="1622"/>
      <c r="T28" s="1622"/>
      <c r="U28" s="1622"/>
      <c r="V28" s="1622"/>
      <c r="W28" s="1622"/>
      <c r="X28" s="1622"/>
      <c r="Y28" s="1622"/>
      <c r="Z28" s="1622"/>
      <c r="AA28" s="1622"/>
      <c r="AB28" s="1622"/>
      <c r="AC28" s="1622"/>
      <c r="AD28" s="1622"/>
      <c r="AE28" s="1622"/>
      <c r="AF28" s="1622"/>
      <c r="AG28" s="1622"/>
      <c r="AH28" s="1622"/>
      <c r="AI28" s="1622"/>
      <c r="AJ28" s="1622"/>
    </row>
    <row r="29" spans="2:36" s="1623" customFormat="1" x14ac:dyDescent="0.2">
      <c r="B29" s="1631" t="str">
        <f>IF(Presentation!$D$2="Français",'TRAD-Children YEAR(1)'!D29,IF(Presentation!$D$2="Anglais",'TRAD-Children YEAR(1)'!E29,""))</f>
        <v>des patients à la fin de l'année, soit :</v>
      </c>
      <c r="D29" s="1622" t="s">
        <v>280</v>
      </c>
      <c r="E29" s="1622"/>
      <c r="F29" s="1622"/>
      <c r="G29" s="1622"/>
      <c r="H29" s="1622"/>
      <c r="I29" s="1622"/>
      <c r="K29" s="1703"/>
      <c r="L29" s="1622"/>
      <c r="M29" s="1622"/>
      <c r="N29" s="1622"/>
      <c r="O29" s="1622"/>
      <c r="P29" s="1622"/>
      <c r="Q29" s="1622"/>
      <c r="R29" s="1622"/>
      <c r="S29" s="1622"/>
      <c r="T29" s="1622"/>
      <c r="U29" s="1622"/>
      <c r="V29" s="1622"/>
      <c r="W29" s="1622"/>
      <c r="X29" s="1622"/>
      <c r="Y29" s="1622"/>
      <c r="Z29" s="1622"/>
      <c r="AA29" s="1622"/>
      <c r="AB29" s="1622"/>
      <c r="AC29" s="1622"/>
      <c r="AD29" s="1622"/>
      <c r="AE29" s="1622"/>
      <c r="AF29" s="1622"/>
      <c r="AG29" s="1622"/>
      <c r="AH29" s="1622"/>
      <c r="AI29" s="1622"/>
      <c r="AJ29" s="1622"/>
    </row>
    <row r="30" spans="2:36" s="1623" customFormat="1" x14ac:dyDescent="0.2">
      <c r="B30" s="1631" t="str">
        <f>IF(Presentation!$D$2="Français",'TRAD-Children YEAR(1)'!D30,IF(Presentation!$D$2="Anglais",'TRAD-Children YEAR(1)'!E30,""))</f>
        <v>Actuellement en 2ème ligne :</v>
      </c>
      <c r="D30" s="1622" t="s">
        <v>297</v>
      </c>
      <c r="E30" s="1622" t="s">
        <v>1103</v>
      </c>
      <c r="F30" s="1625"/>
      <c r="G30" s="1707"/>
      <c r="H30" s="1622"/>
      <c r="I30" s="1625"/>
      <c r="K30" s="1703"/>
      <c r="L30" s="1622"/>
      <c r="N30" s="1622"/>
      <c r="O30" s="1708"/>
      <c r="P30" s="1622"/>
      <c r="Q30" s="1622"/>
      <c r="R30" s="1622"/>
      <c r="S30" s="1622"/>
      <c r="T30" s="1622"/>
      <c r="U30" s="1622"/>
      <c r="V30" s="1622"/>
      <c r="W30" s="1622"/>
      <c r="X30" s="1622"/>
      <c r="Y30" s="1622"/>
      <c r="Z30" s="1622"/>
      <c r="AA30" s="1622"/>
      <c r="AB30" s="1622"/>
      <c r="AC30" s="1622"/>
      <c r="AD30" s="1622"/>
      <c r="AE30" s="1622"/>
      <c r="AF30" s="1622"/>
      <c r="AG30" s="1622"/>
      <c r="AH30" s="1622"/>
      <c r="AI30" s="1622"/>
      <c r="AJ30" s="1622"/>
    </row>
    <row r="31" spans="2:36" s="1623" customFormat="1" x14ac:dyDescent="0.2">
      <c r="B31" s="1631" t="str">
        <f>IF(Presentation!$D$2="Français",'TRAD-Children YEAR(1)'!D31,IF(Presentation!$D$2="Anglais",'TRAD-Children YEAR(1)'!E31,""))</f>
        <v>Nb de patients ayant switché dans l'année :</v>
      </c>
      <c r="D31" s="1622" t="s">
        <v>282</v>
      </c>
      <c r="E31" s="1622" t="s">
        <v>1104</v>
      </c>
      <c r="F31" s="1622"/>
      <c r="G31" s="1622"/>
      <c r="H31" s="1622"/>
      <c r="I31" s="1622"/>
      <c r="J31" s="1622"/>
      <c r="K31" s="1622"/>
      <c r="L31" s="1622"/>
      <c r="M31" s="1622"/>
      <c r="N31" s="1622"/>
      <c r="O31" s="1622"/>
      <c r="P31" s="1622"/>
      <c r="Q31" s="1622"/>
      <c r="R31" s="1622"/>
      <c r="S31" s="1622"/>
      <c r="T31" s="1622"/>
      <c r="U31" s="1622"/>
      <c r="V31" s="1622"/>
      <c r="W31" s="1622"/>
      <c r="X31" s="1622"/>
      <c r="Y31" s="1622"/>
      <c r="Z31" s="1622"/>
      <c r="AA31" s="1622"/>
      <c r="AB31" s="1622"/>
      <c r="AC31" s="1622"/>
      <c r="AD31" s="1622"/>
      <c r="AE31" s="1622"/>
      <c r="AF31" s="1622"/>
      <c r="AG31" s="1622"/>
      <c r="AH31" s="1622"/>
      <c r="AI31" s="1622"/>
      <c r="AJ31" s="1622"/>
    </row>
    <row r="32" spans="2:36" s="1623" customFormat="1" x14ac:dyDescent="0.2">
      <c r="B32" s="1631" t="str">
        <f>IF(Presentation!$D$2="Français",'TRAD-Children YEAR(1)'!D32,IF(Presentation!$D$2="Anglais",'TRAD-Children YEAR(1)'!E32,""))</f>
        <v>patients au total à la fin de l'année</v>
      </c>
      <c r="D32" s="1622" t="s">
        <v>281</v>
      </c>
      <c r="E32" s="1623" t="s">
        <v>1390</v>
      </c>
      <c r="F32" s="1620"/>
      <c r="G32" s="1620"/>
      <c r="I32" s="2209"/>
      <c r="J32" s="2209"/>
      <c r="K32" s="2209"/>
      <c r="L32" s="1620"/>
      <c r="M32" s="1620"/>
      <c r="N32" s="1620"/>
      <c r="O32" s="1622"/>
      <c r="P32" s="1622"/>
      <c r="Q32" s="1622"/>
      <c r="R32" s="1622"/>
      <c r="S32" s="1622"/>
      <c r="T32" s="1622"/>
      <c r="U32" s="1622"/>
      <c r="V32" s="1622"/>
      <c r="W32" s="1622"/>
      <c r="X32" s="1622"/>
      <c r="Y32" s="1622"/>
      <c r="Z32" s="1622"/>
      <c r="AA32" s="1622"/>
      <c r="AB32" s="1622"/>
      <c r="AC32" s="1622"/>
      <c r="AD32" s="1622"/>
      <c r="AE32" s="1622"/>
      <c r="AF32" s="1622"/>
      <c r="AG32" s="1622"/>
      <c r="AH32" s="1622"/>
      <c r="AI32" s="1622"/>
      <c r="AJ32" s="1622"/>
    </row>
    <row r="33" spans="2:36" s="1623" customFormat="1" x14ac:dyDescent="0.2">
      <c r="B33" s="1631" t="str">
        <f>IF(Presentation!$D$2="Français",'TRAD-Children YEAR(1)'!D33,IF(Presentation!$D$2="Anglais",'TRAD-Children YEAR(1)'!E33,""))</f>
        <v>Proportion mensuelle :</v>
      </c>
      <c r="D33" s="1622" t="s">
        <v>283</v>
      </c>
      <c r="E33" s="1622" t="s">
        <v>1391</v>
      </c>
      <c r="F33" s="1643"/>
      <c r="G33" s="1644"/>
      <c r="H33" s="1644"/>
      <c r="I33" s="1644"/>
      <c r="J33" s="1644"/>
      <c r="K33" s="1644"/>
      <c r="L33" s="1620"/>
      <c r="M33" s="1620"/>
      <c r="N33" s="1620"/>
      <c r="O33" s="1622"/>
      <c r="P33" s="1622"/>
      <c r="Q33" s="1622"/>
      <c r="R33" s="1622"/>
      <c r="S33" s="1622"/>
      <c r="T33" s="1622"/>
      <c r="U33" s="1622"/>
      <c r="V33" s="1622"/>
      <c r="W33" s="1622"/>
      <c r="X33" s="1622"/>
      <c r="Y33" s="1622"/>
      <c r="Z33" s="1622"/>
      <c r="AA33" s="1622"/>
      <c r="AB33" s="1622"/>
      <c r="AC33" s="1622"/>
      <c r="AD33" s="1622"/>
      <c r="AE33" s="1622"/>
      <c r="AF33" s="1622"/>
      <c r="AG33" s="1622"/>
      <c r="AH33" s="1622"/>
      <c r="AI33" s="1622"/>
      <c r="AJ33" s="1622"/>
    </row>
    <row r="34" spans="2:36" s="1623" customFormat="1" x14ac:dyDescent="0.2">
      <c r="B34" s="1631" t="str">
        <f>IF(Presentation!$D$2="Français",'TRAD-Children YEAR(1)'!D34,IF(Presentation!$D$2="Anglais",'TRAD-Children YEAR(1)'!E34,""))</f>
        <v>2èmes lignes</v>
      </c>
      <c r="D34" s="1622" t="s">
        <v>64</v>
      </c>
      <c r="E34" s="1622" t="s">
        <v>427</v>
      </c>
      <c r="F34" s="1643"/>
      <c r="G34" s="1644"/>
      <c r="H34" s="1644"/>
      <c r="I34" s="1644"/>
      <c r="J34" s="1644"/>
      <c r="K34" s="1644"/>
      <c r="L34" s="1620"/>
      <c r="M34" s="1620"/>
      <c r="N34" s="1620"/>
      <c r="O34" s="1622"/>
      <c r="P34" s="1622"/>
      <c r="Q34" s="1622"/>
      <c r="R34" s="1622"/>
      <c r="S34" s="1622"/>
      <c r="T34" s="1622"/>
      <c r="U34" s="1622"/>
      <c r="V34" s="1622"/>
      <c r="W34" s="1622"/>
      <c r="X34" s="1622"/>
      <c r="Y34" s="1622"/>
      <c r="Z34" s="1622"/>
      <c r="AA34" s="1622"/>
      <c r="AB34" s="1622"/>
      <c r="AC34" s="1622"/>
      <c r="AD34" s="1622"/>
      <c r="AE34" s="1622"/>
      <c r="AF34" s="1622"/>
      <c r="AG34" s="1622"/>
      <c r="AH34" s="1622"/>
      <c r="AI34" s="1622"/>
      <c r="AJ34" s="1622"/>
    </row>
    <row r="35" spans="2:36" s="1623" customFormat="1" x14ac:dyDescent="0.2">
      <c r="B35" s="1631" t="str">
        <f>IF(Presentation!$D$2="Français",'TRAD-Children YEAR(1)'!D35,IF(Presentation!$D$2="Anglais",'TRAD-Children YEAR(1)'!E35,""))</f>
        <v>Nb de patients annuels / schéma</v>
      </c>
      <c r="D35" s="1622" t="s">
        <v>271</v>
      </c>
      <c r="E35" s="1622" t="s">
        <v>1105</v>
      </c>
      <c r="F35" s="1625"/>
      <c r="G35" s="1644"/>
      <c r="H35" s="1644"/>
      <c r="I35" s="1644"/>
      <c r="J35" s="1644"/>
      <c r="K35" s="1644"/>
      <c r="L35" s="1620"/>
      <c r="M35" s="1620"/>
      <c r="N35" s="1620"/>
      <c r="O35" s="1622"/>
      <c r="P35" s="1622"/>
      <c r="Q35" s="1622"/>
      <c r="R35" s="1622"/>
      <c r="S35" s="1622"/>
      <c r="T35" s="1622"/>
      <c r="U35" s="1622"/>
      <c r="V35" s="1622"/>
      <c r="W35" s="1622"/>
      <c r="X35" s="1622"/>
      <c r="Y35" s="1622"/>
      <c r="Z35" s="1622"/>
      <c r="AA35" s="1622"/>
      <c r="AB35" s="1622"/>
      <c r="AC35" s="1622"/>
      <c r="AD35" s="1622"/>
      <c r="AE35" s="1622"/>
      <c r="AF35" s="1622"/>
      <c r="AG35" s="1622"/>
      <c r="AH35" s="1622"/>
      <c r="AI35" s="1622"/>
      <c r="AJ35" s="1622"/>
    </row>
    <row r="36" spans="2:36" s="1623" customFormat="1" x14ac:dyDescent="0.2">
      <c r="B36" s="1631" t="str">
        <f>IF(Presentation!$D$2="Français",'TRAD-Children YEAR(1)'!D36,IF(Presentation!$D$2="Anglais",'TRAD-Children YEAR(1)'!E36,""))</f>
        <v>Poids (kg)</v>
      </c>
      <c r="D36" s="1622" t="s">
        <v>124</v>
      </c>
      <c r="E36" s="1623" t="s">
        <v>449</v>
      </c>
      <c r="F36" s="1620"/>
      <c r="G36" s="1620"/>
      <c r="H36" s="1620"/>
      <c r="I36" s="1620"/>
      <c r="J36" s="1622"/>
      <c r="K36" s="1622"/>
      <c r="L36" s="1622"/>
      <c r="M36" s="1622"/>
      <c r="N36" s="1622"/>
      <c r="O36" s="1622"/>
      <c r="P36" s="1622"/>
      <c r="Q36" s="1622"/>
      <c r="R36" s="1622"/>
      <c r="S36" s="1622"/>
      <c r="T36" s="1698"/>
      <c r="U36" s="1622"/>
      <c r="V36" s="1622"/>
      <c r="W36" s="1622"/>
      <c r="X36" s="1622"/>
      <c r="Y36" s="1622"/>
      <c r="Z36" s="1622"/>
      <c r="AA36" s="1622"/>
      <c r="AB36" s="1622"/>
      <c r="AC36" s="1622"/>
      <c r="AD36" s="1622"/>
      <c r="AE36" s="1622"/>
      <c r="AF36" s="1622"/>
      <c r="AG36" s="1622"/>
      <c r="AH36" s="1622"/>
      <c r="AI36" s="1622"/>
      <c r="AJ36" s="1622"/>
    </row>
    <row r="37" spans="2:36" s="1623" customFormat="1" x14ac:dyDescent="0.2">
      <c r="B37" s="1631" t="str">
        <f>IF(Presentation!$D$2="Français",'TRAD-Children YEAR(1)'!D37,IF(Presentation!$D$2="Anglais",'TRAD-Children YEAR(1)'!E37,""))</f>
        <v>Pourcentage</v>
      </c>
      <c r="D37" s="1622" t="s">
        <v>125</v>
      </c>
      <c r="E37" s="1623" t="s">
        <v>1106</v>
      </c>
      <c r="F37" s="1709"/>
      <c r="G37" s="1709"/>
      <c r="H37" s="1709"/>
      <c r="I37" s="1709"/>
      <c r="J37" s="1622"/>
      <c r="K37" s="1622"/>
      <c r="L37" s="1622"/>
      <c r="M37" s="1622"/>
      <c r="N37" s="1622"/>
      <c r="O37" s="1622"/>
      <c r="P37" s="1622"/>
      <c r="Q37" s="1622"/>
      <c r="R37" s="1622"/>
      <c r="S37" s="1622"/>
      <c r="T37" s="1698"/>
      <c r="U37" s="1622"/>
      <c r="V37" s="1622"/>
      <c r="W37" s="1622"/>
      <c r="X37" s="1622"/>
      <c r="Y37" s="1622"/>
      <c r="Z37" s="1622"/>
      <c r="AA37" s="1622"/>
      <c r="AB37" s="1622"/>
      <c r="AC37" s="1622"/>
      <c r="AD37" s="1622"/>
      <c r="AE37" s="1622"/>
      <c r="AF37" s="1622"/>
      <c r="AG37" s="1622"/>
      <c r="AH37" s="1622"/>
      <c r="AI37" s="1622"/>
      <c r="AJ37" s="1622"/>
    </row>
    <row r="38" spans="2:36" s="1623" customFormat="1" x14ac:dyDescent="0.2">
      <c r="B38" s="1631" t="str">
        <f>IF(Presentation!$D$2="Français",'TRAD-Children YEAR(1)'!D38,IF(Presentation!$D$2="Anglais",'TRAD-Children YEAR(1)'!E38,""))</f>
        <v>SANS marge de sécurité</v>
      </c>
      <c r="D38" s="1622" t="s">
        <v>262</v>
      </c>
      <c r="E38" s="1622" t="s">
        <v>1107</v>
      </c>
      <c r="F38" s="1618"/>
      <c r="G38" s="1618"/>
      <c r="H38" s="1618"/>
      <c r="I38" s="1622"/>
      <c r="J38" s="1622"/>
      <c r="K38" s="1622"/>
      <c r="L38" s="1622"/>
      <c r="M38" s="1622"/>
      <c r="N38" s="1622"/>
      <c r="O38" s="1622"/>
      <c r="P38" s="1622"/>
      <c r="Q38" s="1622"/>
      <c r="R38" s="1622"/>
      <c r="S38" s="1622"/>
      <c r="T38" s="1698"/>
      <c r="U38" s="1622"/>
      <c r="V38" s="1622"/>
      <c r="W38" s="1622"/>
      <c r="X38" s="1622"/>
      <c r="Y38" s="1622"/>
      <c r="Z38" s="1622"/>
      <c r="AA38" s="1622"/>
      <c r="AB38" s="1622"/>
      <c r="AC38" s="1622"/>
      <c r="AD38" s="1622"/>
      <c r="AE38" s="1622"/>
      <c r="AF38" s="1622"/>
      <c r="AG38" s="1622"/>
      <c r="AH38" s="1622"/>
      <c r="AI38" s="1622"/>
      <c r="AJ38" s="1622"/>
    </row>
    <row r="39" spans="2:36" s="1623" customFormat="1" x14ac:dyDescent="0.2">
      <c r="B39" s="1631" t="str">
        <f>IF(Presentation!$D$2="Français",'TRAD-Children YEAR(1)'!D39,IF(Presentation!$D$2="Anglais",'TRAD-Children YEAR(1)'!E39,""))</f>
        <v>Nb de patients -mois</v>
      </c>
      <c r="D39" s="1622" t="s">
        <v>211</v>
      </c>
      <c r="E39" s="1622" t="s">
        <v>1108</v>
      </c>
      <c r="F39" s="1620"/>
      <c r="J39" s="1622"/>
      <c r="K39" s="1622"/>
      <c r="L39" s="1622"/>
      <c r="M39" s="1622"/>
      <c r="N39" s="1622"/>
      <c r="O39" s="1622"/>
      <c r="P39" s="1622"/>
      <c r="Q39" s="1622"/>
      <c r="R39" s="1622"/>
      <c r="S39" s="1622"/>
      <c r="T39" s="1698"/>
      <c r="U39" s="1622"/>
      <c r="V39" s="1622"/>
      <c r="W39" s="1622"/>
      <c r="X39" s="1622"/>
      <c r="Y39" s="1622"/>
      <c r="Z39" s="1622"/>
      <c r="AA39" s="1622"/>
      <c r="AB39" s="1622"/>
      <c r="AC39" s="1622"/>
      <c r="AD39" s="1622"/>
      <c r="AE39" s="1622"/>
      <c r="AF39" s="1622"/>
      <c r="AG39" s="1622"/>
      <c r="AH39" s="1622"/>
      <c r="AI39" s="1622"/>
      <c r="AJ39" s="1622"/>
    </row>
    <row r="40" spans="2:36" s="1623" customFormat="1" x14ac:dyDescent="0.2">
      <c r="B40" s="1631" t="str">
        <f>IF(Presentation!$D$2="Français",'TRAD-Children YEAR(1)'!D40,IF(Presentation!$D$2="Anglais",'TRAD-Children YEAR(1)'!E40,""))</f>
        <v>Répartition des patients mois / tranches de poids</v>
      </c>
      <c r="D40" s="1622" t="s">
        <v>212</v>
      </c>
      <c r="E40" s="1622" t="s">
        <v>1392</v>
      </c>
      <c r="F40" s="1620"/>
      <c r="G40" s="1620"/>
      <c r="H40" s="1622"/>
      <c r="I40" s="1622"/>
      <c r="J40" s="1622"/>
      <c r="K40" s="1622"/>
      <c r="L40" s="1622"/>
      <c r="M40" s="1622"/>
      <c r="N40" s="1622"/>
      <c r="O40" s="1622"/>
      <c r="P40" s="1622"/>
      <c r="Q40" s="1622"/>
      <c r="R40" s="1622"/>
      <c r="S40" s="1622"/>
      <c r="T40" s="1698"/>
      <c r="U40" s="1622"/>
      <c r="V40" s="1622"/>
      <c r="W40" s="1622"/>
      <c r="X40" s="1622"/>
      <c r="Y40" s="1622"/>
      <c r="Z40" s="1622"/>
      <c r="AA40" s="1622"/>
      <c r="AB40" s="1622"/>
      <c r="AC40" s="1622"/>
      <c r="AD40" s="1622"/>
      <c r="AE40" s="1622"/>
      <c r="AF40" s="1622"/>
      <c r="AG40" s="1622"/>
      <c r="AH40" s="1622"/>
      <c r="AI40" s="1622"/>
      <c r="AJ40" s="1622"/>
    </row>
    <row r="41" spans="2:36" s="1623" customFormat="1" x14ac:dyDescent="0.2">
      <c r="B41" s="1631" t="str">
        <f>IF(Presentation!$D$2="Français",'TRAD-Children YEAR(1)'!D41,IF(Presentation!$D$2="Anglais",'TRAD-Children YEAR(1)'!E41,""))</f>
        <v>Enfants présents au début de l'année</v>
      </c>
      <c r="D41" s="1622" t="s">
        <v>210</v>
      </c>
      <c r="E41" s="1642" t="s">
        <v>1393</v>
      </c>
      <c r="M41" s="1622"/>
      <c r="N41" s="1622"/>
      <c r="O41" s="1622"/>
      <c r="P41" s="1622"/>
      <c r="Q41" s="1622"/>
      <c r="R41" s="1622"/>
      <c r="S41" s="1622"/>
      <c r="T41" s="1698"/>
      <c r="U41" s="1622"/>
      <c r="V41" s="1622"/>
      <c r="W41" s="1622"/>
      <c r="X41" s="1622"/>
      <c r="Y41" s="1622"/>
      <c r="Z41" s="1622"/>
      <c r="AA41" s="1622"/>
      <c r="AB41" s="1622"/>
      <c r="AC41" s="1622"/>
      <c r="AD41" s="1622"/>
      <c r="AE41" s="1622"/>
      <c r="AF41" s="1622"/>
      <c r="AG41" s="1622"/>
      <c r="AH41" s="1622"/>
      <c r="AI41" s="1622"/>
      <c r="AJ41" s="1622"/>
    </row>
    <row r="42" spans="2:36" s="1623" customFormat="1" x14ac:dyDescent="0.2">
      <c r="B42" s="1631" t="str">
        <f>IF(Presentation!$D$2="Français",'TRAD-Children YEAR(1)'!D42,IF(Presentation!$D$2="Anglais",'TRAD-Children YEAR(1)'!E42,""))</f>
        <v>Initiations et passages en 2ème lignes</v>
      </c>
      <c r="D42" s="1622" t="s">
        <v>289</v>
      </c>
      <c r="E42" s="1622" t="s">
        <v>1109</v>
      </c>
      <c r="I42" s="1620"/>
      <c r="J42" s="1620"/>
      <c r="K42" s="1620"/>
      <c r="L42" s="1620"/>
      <c r="M42" s="1622"/>
      <c r="N42" s="1622"/>
      <c r="O42" s="1622"/>
      <c r="P42" s="1622"/>
      <c r="Q42" s="1622"/>
      <c r="R42" s="1698"/>
      <c r="S42" s="1622"/>
      <c r="T42" s="1622"/>
      <c r="U42" s="1622"/>
      <c r="V42" s="1622"/>
      <c r="W42" s="1622"/>
      <c r="X42" s="1622"/>
      <c r="Y42" s="1622"/>
      <c r="Z42" s="1622"/>
      <c r="AA42" s="1622"/>
      <c r="AB42" s="1622"/>
      <c r="AC42" s="1622"/>
      <c r="AD42" s="1622"/>
      <c r="AE42" s="1622"/>
      <c r="AF42" s="1622"/>
      <c r="AG42" s="1622"/>
      <c r="AH42" s="1622"/>
      <c r="AI42" s="1622"/>
      <c r="AJ42" s="1622"/>
    </row>
    <row r="43" spans="2:36" s="1623" customFormat="1" x14ac:dyDescent="0.2">
      <c r="B43" s="1631" t="str">
        <f>IF(Presentation!$D$2="Français",'TRAD-Children YEAR(1)'!D43,IF(Presentation!$D$2="Anglais",'TRAD-Children YEAR(1)'!E43,""))</f>
        <v>Total annuel en nb de patients -mois</v>
      </c>
      <c r="D43" s="1622" t="s">
        <v>1086</v>
      </c>
      <c r="E43" s="1623" t="s">
        <v>1394</v>
      </c>
      <c r="F43" s="1641"/>
      <c r="G43" s="1641"/>
      <c r="H43" s="1641"/>
      <c r="I43" s="1644"/>
      <c r="J43" s="1644"/>
      <c r="K43" s="1644"/>
      <c r="L43" s="1644"/>
      <c r="M43" s="1622"/>
      <c r="N43" s="1622"/>
      <c r="O43" s="1622"/>
      <c r="P43" s="1622"/>
      <c r="Q43" s="1622"/>
      <c r="R43" s="1698"/>
      <c r="S43" s="1622"/>
      <c r="T43" s="1622"/>
      <c r="U43" s="1622"/>
      <c r="V43" s="1622"/>
      <c r="W43" s="1622"/>
      <c r="X43" s="1622"/>
      <c r="Y43" s="1622"/>
      <c r="Z43" s="1622"/>
      <c r="AA43" s="1622"/>
      <c r="AB43" s="1622"/>
      <c r="AC43" s="1622"/>
      <c r="AD43" s="1622"/>
      <c r="AE43" s="1622"/>
      <c r="AF43" s="1622"/>
      <c r="AG43" s="1622"/>
      <c r="AH43" s="1622"/>
      <c r="AI43" s="1622"/>
      <c r="AJ43" s="1622"/>
    </row>
    <row r="44" spans="2:36" s="1623" customFormat="1" x14ac:dyDescent="0.2">
      <c r="B44" s="1631" t="str">
        <f>IF(Presentation!$D$2="Français",'TRAD-Children YEAR(1)'!D44,IF(Presentation!$D$2="Anglais",'TRAD-Children YEAR(1)'!E44,""))</f>
        <v>AVEC marge de sécurité</v>
      </c>
      <c r="D44" s="1622" t="s">
        <v>261</v>
      </c>
      <c r="E44" s="1622" t="s">
        <v>1110</v>
      </c>
      <c r="F44" s="1618"/>
      <c r="G44" s="1618"/>
      <c r="H44" s="1618"/>
      <c r="I44" s="1644"/>
      <c r="J44" s="1644"/>
      <c r="K44" s="1644"/>
      <c r="L44" s="1644"/>
      <c r="M44" s="1622"/>
      <c r="N44" s="1622"/>
      <c r="O44" s="1622"/>
      <c r="P44" s="1622"/>
      <c r="Q44" s="1622"/>
      <c r="R44" s="1698"/>
      <c r="S44" s="1622"/>
      <c r="T44" s="1622"/>
      <c r="U44" s="1622"/>
      <c r="V44" s="1622"/>
      <c r="W44" s="1622"/>
      <c r="X44" s="1622"/>
      <c r="Y44" s="1622"/>
      <c r="Z44" s="1622"/>
      <c r="AA44" s="1622"/>
      <c r="AB44" s="1622"/>
      <c r="AC44" s="1622"/>
      <c r="AD44" s="1622"/>
      <c r="AE44" s="1622"/>
      <c r="AF44" s="1622"/>
      <c r="AG44" s="1622"/>
      <c r="AH44" s="1622"/>
      <c r="AI44" s="1622"/>
      <c r="AJ44" s="1622"/>
    </row>
    <row r="45" spans="2:36" s="1623" customFormat="1" x14ac:dyDescent="0.2">
      <c r="B45" s="1631" t="str">
        <f>IF(Presentation!$D$2="Français",'TRAD-Children YEAR(1)'!D45,IF(Presentation!$D$2="Anglais",'TRAD-Children YEAR(1)'!E45,""))</f>
        <v>Calculs des quantités</v>
      </c>
      <c r="D45" s="1622" t="s">
        <v>90</v>
      </c>
      <c r="E45" s="1622" t="s">
        <v>1111</v>
      </c>
      <c r="F45" s="1618"/>
      <c r="G45" s="1618"/>
      <c r="H45" s="1618"/>
      <c r="I45" s="1618"/>
      <c r="J45" s="1618"/>
      <c r="K45" s="1618"/>
      <c r="L45" s="1618"/>
      <c r="M45" s="1618"/>
      <c r="N45" s="1618"/>
      <c r="O45" s="1618"/>
      <c r="P45" s="2154"/>
      <c r="Q45" s="2154"/>
      <c r="R45" s="1622"/>
      <c r="S45" s="1622"/>
      <c r="T45" s="1622"/>
      <c r="U45" s="1622"/>
      <c r="V45" s="1622"/>
      <c r="W45" s="1622"/>
      <c r="X45" s="1622"/>
      <c r="Y45" s="1622"/>
      <c r="Z45" s="1622"/>
      <c r="AA45" s="1622"/>
      <c r="AB45" s="1622"/>
      <c r="AC45" s="1622"/>
      <c r="AD45" s="1622"/>
      <c r="AE45" s="1622"/>
      <c r="AF45" s="1622"/>
      <c r="AG45" s="1622"/>
      <c r="AH45" s="1622"/>
      <c r="AI45" s="1622"/>
      <c r="AJ45" s="1622"/>
    </row>
    <row r="46" spans="2:36" s="1623" customFormat="1" x14ac:dyDescent="0.2">
      <c r="B46" s="1631" t="str">
        <f>IF(Presentation!$D$2="Français",'TRAD-Children YEAR(1)'!D46,IF(Presentation!$D$2="Anglais",'TRAD-Children YEAR(1)'!E46,""))</f>
        <v>TRIOMUNE bébé / DUOVIR-N bébé / DUOVIR bébé</v>
      </c>
      <c r="D46" s="1622" t="s">
        <v>1112</v>
      </c>
      <c r="E46" s="1622" t="s">
        <v>390</v>
      </c>
      <c r="F46" s="1618"/>
      <c r="G46" s="1618"/>
      <c r="H46" s="1618"/>
      <c r="I46" s="1622"/>
      <c r="J46" s="1622"/>
      <c r="K46" s="1622"/>
      <c r="L46" s="1622"/>
      <c r="M46" s="1622"/>
      <c r="N46" s="1622"/>
      <c r="O46" s="1622"/>
      <c r="P46" s="1622"/>
      <c r="Q46" s="1622"/>
      <c r="R46" s="1622"/>
      <c r="S46" s="1622"/>
      <c r="T46" s="1622"/>
      <c r="U46" s="1622"/>
      <c r="V46" s="1622"/>
      <c r="W46" s="1622"/>
      <c r="X46" s="1622"/>
      <c r="Y46" s="1622"/>
      <c r="Z46" s="1622"/>
      <c r="AA46" s="1622"/>
      <c r="AB46" s="1622"/>
      <c r="AC46" s="1622"/>
      <c r="AD46" s="1622"/>
      <c r="AE46" s="1622"/>
      <c r="AF46" s="1622"/>
      <c r="AG46" s="1622"/>
      <c r="AH46" s="1622"/>
      <c r="AI46" s="1622"/>
      <c r="AJ46" s="1622"/>
    </row>
    <row r="47" spans="2:36" s="1623" customFormat="1" x14ac:dyDescent="0.2">
      <c r="B47" s="1631" t="str">
        <f>IF(Presentation!$D$2="Français",'TRAD-Children YEAR(1)'!D47,IF(Presentation!$D$2="Anglais",'TRAD-Children YEAR(1)'!E47,""))</f>
        <v xml:space="preserve">TRIOMUNE bébé </v>
      </c>
      <c r="D47" s="1622" t="s">
        <v>1223</v>
      </c>
      <c r="E47" s="1622" t="s">
        <v>132</v>
      </c>
      <c r="F47" s="1618"/>
      <c r="G47" s="1618"/>
      <c r="H47" s="1618"/>
      <c r="I47" s="1622"/>
      <c r="J47" s="1622"/>
      <c r="K47" s="1622"/>
      <c r="L47" s="1622"/>
      <c r="M47" s="1622"/>
      <c r="N47" s="1622"/>
      <c r="O47" s="1622"/>
      <c r="P47" s="1622"/>
      <c r="Q47" s="1622"/>
      <c r="R47" s="1622"/>
      <c r="S47" s="1622"/>
      <c r="T47" s="1622"/>
      <c r="U47" s="1622"/>
      <c r="V47" s="1622"/>
      <c r="W47" s="1622"/>
      <c r="X47" s="1622"/>
      <c r="Y47" s="1622"/>
      <c r="Z47" s="1622"/>
      <c r="AA47" s="1622"/>
      <c r="AB47" s="1622"/>
      <c r="AC47" s="1622"/>
      <c r="AD47" s="1622"/>
      <c r="AE47" s="1622"/>
      <c r="AF47" s="1622"/>
      <c r="AG47" s="1622"/>
      <c r="AH47" s="1622"/>
      <c r="AI47" s="1622"/>
      <c r="AJ47" s="1622"/>
    </row>
    <row r="48" spans="2:36" s="1623" customFormat="1" x14ac:dyDescent="0.2">
      <c r="B48" s="1631" t="str">
        <f>IF(Presentation!$D$2="Français",'TRAD-Children YEAR(1)'!D48,IF(Presentation!$D$2="Anglais",'TRAD-Children YEAR(1)'!E48,""))</f>
        <v>Qtés mensuelles</v>
      </c>
      <c r="D48" s="1622" t="s">
        <v>92</v>
      </c>
      <c r="E48" s="1622" t="s">
        <v>1395</v>
      </c>
      <c r="J48" s="2154"/>
      <c r="K48" s="2154"/>
      <c r="L48" s="2154"/>
      <c r="M48" s="2154"/>
      <c r="N48" s="2154"/>
      <c r="O48" s="2154"/>
      <c r="P48" s="2154"/>
      <c r="Q48" s="1622"/>
      <c r="R48" s="1622"/>
      <c r="S48" s="1622"/>
      <c r="T48" s="1698"/>
      <c r="U48" s="1622"/>
      <c r="V48" s="1622"/>
      <c r="W48" s="1622"/>
      <c r="X48" s="1622"/>
      <c r="Y48" s="1622"/>
      <c r="Z48" s="1622"/>
      <c r="AA48" s="1622"/>
      <c r="AB48" s="1622"/>
      <c r="AC48" s="1622"/>
      <c r="AD48" s="1622"/>
      <c r="AE48" s="1622"/>
      <c r="AF48" s="1622"/>
      <c r="AG48" s="1622"/>
      <c r="AH48" s="1622"/>
      <c r="AI48" s="1622"/>
      <c r="AJ48" s="1622"/>
    </row>
    <row r="49" spans="2:36" s="1623" customFormat="1" x14ac:dyDescent="0.2">
      <c r="B49" s="1631" t="str">
        <f>IF(Presentation!$D$2="Français",'TRAD-Children YEAR(1)'!D49,IF(Presentation!$D$2="Anglais",'TRAD-Children YEAR(1)'!E49,""))</f>
        <v>Posologies</v>
      </c>
      <c r="D49" s="1622" t="s">
        <v>93</v>
      </c>
      <c r="E49" s="1622" t="s">
        <v>885</v>
      </c>
      <c r="F49" s="1622"/>
      <c r="G49" s="1622"/>
      <c r="H49" s="1622"/>
      <c r="I49" s="1622"/>
      <c r="J49" s="1622"/>
      <c r="K49" s="1622"/>
      <c r="L49" s="1622"/>
      <c r="M49" s="1622"/>
      <c r="N49" s="1622"/>
      <c r="O49" s="1622"/>
      <c r="P49" s="1622"/>
      <c r="Q49" s="1622"/>
      <c r="R49" s="1622"/>
      <c r="S49" s="1622"/>
      <c r="T49" s="1622"/>
      <c r="U49" s="1622"/>
      <c r="V49" s="1622"/>
      <c r="W49" s="1622"/>
      <c r="X49" s="1622"/>
      <c r="Y49" s="1622"/>
      <c r="Z49" s="1622"/>
      <c r="AA49" s="1622"/>
      <c r="AB49" s="1622"/>
      <c r="AC49" s="1622"/>
      <c r="AD49" s="1622"/>
      <c r="AE49" s="1622"/>
      <c r="AF49" s="1622"/>
      <c r="AG49" s="1622"/>
      <c r="AH49" s="1622"/>
      <c r="AI49" s="1622"/>
      <c r="AJ49" s="1622"/>
    </row>
    <row r="50" spans="2:36" s="1623" customFormat="1" x14ac:dyDescent="0.2">
      <c r="B50" s="1631" t="str">
        <f>IF(Presentation!$D$2="Français",'TRAD-Children YEAR(1)'!D50,IF(Presentation!$D$2="Anglais",'TRAD-Children YEAR(1)'!E50,""))</f>
        <v>Voir les formes simples</v>
      </c>
      <c r="D50" s="1622" t="s">
        <v>94</v>
      </c>
      <c r="E50" s="1622" t="s">
        <v>1396</v>
      </c>
      <c r="F50" s="1620"/>
      <c r="G50" s="2209"/>
      <c r="H50" s="2209"/>
      <c r="K50" s="1622"/>
      <c r="L50" s="1622"/>
      <c r="M50" s="1622"/>
      <c r="N50" s="1622"/>
      <c r="O50" s="1622"/>
      <c r="P50" s="1622"/>
      <c r="Q50" s="1622"/>
      <c r="R50" s="1622"/>
      <c r="S50" s="1622"/>
      <c r="T50" s="1622"/>
      <c r="U50" s="1622"/>
      <c r="V50" s="1622"/>
      <c r="W50" s="1622"/>
      <c r="X50" s="1622"/>
      <c r="Y50" s="1622"/>
      <c r="Z50" s="1622"/>
      <c r="AA50" s="1622"/>
      <c r="AB50" s="1622"/>
      <c r="AC50" s="1622"/>
      <c r="AD50" s="1622"/>
      <c r="AE50" s="1622"/>
      <c r="AF50" s="1622"/>
      <c r="AG50" s="1622"/>
      <c r="AH50" s="1622"/>
      <c r="AI50" s="1622"/>
      <c r="AJ50" s="1622"/>
    </row>
    <row r="51" spans="2:36" s="1623" customFormat="1" x14ac:dyDescent="0.2">
      <c r="B51" s="1631" t="str">
        <f>IF(Presentation!$D$2="Français",'TRAD-Children YEAR(1)'!D51,IF(Presentation!$D$2="Anglais",'TRAD-Children YEAR(1)'!E51,""))</f>
        <v>Cpr, 6 mg d4T,</v>
      </c>
      <c r="D51" s="1622" t="s">
        <v>96</v>
      </c>
      <c r="E51" s="1622" t="s">
        <v>1173</v>
      </c>
      <c r="F51" s="1620"/>
      <c r="G51" s="1620"/>
      <c r="H51" s="1620"/>
      <c r="K51" s="1622"/>
      <c r="L51" s="1622"/>
      <c r="M51" s="1622"/>
      <c r="N51" s="1622"/>
      <c r="O51" s="1622"/>
      <c r="P51" s="1622"/>
      <c r="Q51" s="1622"/>
      <c r="R51" s="1622"/>
      <c r="S51" s="1622"/>
      <c r="T51" s="1622"/>
      <c r="U51" s="1622"/>
      <c r="V51" s="1622"/>
      <c r="W51" s="1622"/>
      <c r="X51" s="1622"/>
      <c r="Y51" s="1622"/>
      <c r="Z51" s="1622"/>
      <c r="AA51" s="1622"/>
      <c r="AB51" s="1622"/>
      <c r="AC51" s="1622"/>
      <c r="AD51" s="1622"/>
      <c r="AE51" s="1622"/>
      <c r="AF51" s="1622"/>
      <c r="AG51" s="1622"/>
      <c r="AH51" s="1622"/>
      <c r="AI51" s="1622"/>
      <c r="AJ51" s="1622"/>
    </row>
    <row r="52" spans="2:36" s="1623" customFormat="1" x14ac:dyDescent="0.2">
      <c r="B52" s="1631" t="str">
        <f>IF(Presentation!$D$2="Français",'TRAD-Children YEAR(1)'!D52,IF(Presentation!$D$2="Anglais",'TRAD-Children YEAR(1)'!E52,""))</f>
        <v>cp</v>
      </c>
      <c r="D52" s="1622" t="s">
        <v>77</v>
      </c>
      <c r="E52" s="1622" t="s">
        <v>510</v>
      </c>
      <c r="F52" s="1620"/>
      <c r="G52" s="1620"/>
      <c r="H52" s="1620"/>
      <c r="K52" s="1622"/>
      <c r="L52" s="1622"/>
      <c r="M52" s="1622"/>
      <c r="N52" s="1622"/>
      <c r="O52" s="1622"/>
      <c r="P52" s="1622"/>
      <c r="Q52" s="1622"/>
      <c r="R52" s="1622"/>
      <c r="S52" s="1622"/>
      <c r="T52" s="1622"/>
      <c r="U52" s="1622"/>
      <c r="V52" s="1622"/>
      <c r="W52" s="1622"/>
      <c r="X52" s="1622"/>
      <c r="Y52" s="1622"/>
      <c r="Z52" s="1622"/>
      <c r="AA52" s="1622"/>
      <c r="AB52" s="1622"/>
      <c r="AC52" s="1622"/>
      <c r="AD52" s="1622"/>
      <c r="AE52" s="1622"/>
      <c r="AF52" s="1622"/>
      <c r="AG52" s="1622"/>
      <c r="AH52" s="1622"/>
      <c r="AI52" s="1622"/>
      <c r="AJ52" s="1622"/>
    </row>
    <row r="53" spans="2:36" s="1623" customFormat="1" x14ac:dyDescent="0.2">
      <c r="B53" s="1631" t="str">
        <f>IF(Presentation!$D$2="Français",'TRAD-Children YEAR(1)'!D53,IF(Presentation!$D$2="Anglais",'TRAD-Children YEAR(1)'!E53,""))</f>
        <v>boites</v>
      </c>
      <c r="D53" s="1622" t="s">
        <v>95</v>
      </c>
      <c r="E53" s="1622" t="s">
        <v>1174</v>
      </c>
      <c r="F53" s="1620"/>
      <c r="G53" s="1620"/>
      <c r="H53" s="1620"/>
      <c r="K53" s="1622"/>
      <c r="L53" s="1622"/>
      <c r="M53" s="1622"/>
      <c r="N53" s="1622"/>
      <c r="O53" s="1622"/>
      <c r="P53" s="1622"/>
      <c r="Q53" s="1622"/>
      <c r="R53" s="1622"/>
      <c r="S53" s="1622"/>
      <c r="T53" s="1622"/>
      <c r="U53" s="1622"/>
      <c r="V53" s="1622"/>
      <c r="W53" s="1622"/>
      <c r="X53" s="1622"/>
      <c r="Y53" s="1622"/>
      <c r="Z53" s="1622"/>
      <c r="AA53" s="1622"/>
      <c r="AB53" s="1622"/>
      <c r="AC53" s="1622"/>
      <c r="AD53" s="1622"/>
      <c r="AE53" s="1622"/>
      <c r="AF53" s="1622"/>
      <c r="AG53" s="1622"/>
      <c r="AH53" s="1622"/>
      <c r="AI53" s="1622"/>
      <c r="AJ53" s="1622"/>
    </row>
    <row r="54" spans="2:36" s="1623" customFormat="1" x14ac:dyDescent="0.2">
      <c r="B54" s="1631" t="str">
        <f>IF(Presentation!$D$2="Français",'TRAD-Children YEAR(1)'!D54,IF(Presentation!$D$2="Anglais",'TRAD-Children YEAR(1)'!E54,""))</f>
        <v xml:space="preserve">Forme galénique </v>
      </c>
      <c r="D54" s="1622" t="s">
        <v>1172</v>
      </c>
      <c r="E54" s="1622" t="s">
        <v>958</v>
      </c>
      <c r="I54" s="1620"/>
      <c r="K54" s="1622"/>
      <c r="L54" s="1622"/>
      <c r="M54" s="1622"/>
      <c r="N54" s="1622"/>
      <c r="O54" s="1622"/>
      <c r="P54" s="1622"/>
      <c r="Q54" s="1622"/>
      <c r="R54" s="1622"/>
      <c r="S54" s="1622"/>
      <c r="T54" s="1622"/>
      <c r="U54" s="1622"/>
      <c r="V54" s="1622"/>
      <c r="W54" s="1622"/>
      <c r="X54" s="1622"/>
      <c r="Y54" s="1622"/>
      <c r="Z54" s="1622"/>
      <c r="AA54" s="1622"/>
      <c r="AB54" s="1622"/>
      <c r="AC54" s="1622"/>
      <c r="AD54" s="1622"/>
      <c r="AE54" s="1622"/>
      <c r="AF54" s="1622"/>
      <c r="AG54" s="1622"/>
      <c r="AH54" s="1622"/>
      <c r="AI54" s="1622"/>
      <c r="AJ54" s="1622"/>
    </row>
    <row r="55" spans="2:36" s="1623" customFormat="1" x14ac:dyDescent="0.2">
      <c r="B55" s="1631" t="str">
        <f>IF(Presentation!$D$2="Français",'TRAD-Children YEAR(1)'!D55,IF(Presentation!$D$2="Anglais",'TRAD-Children YEAR(1)'!E55,""))</f>
        <v>Matin</v>
      </c>
      <c r="D55" s="1622" t="s">
        <v>99</v>
      </c>
      <c r="E55" s="1622" t="s">
        <v>1113</v>
      </c>
      <c r="G55" s="2209"/>
      <c r="H55" s="2209"/>
      <c r="I55" s="2209"/>
      <c r="J55" s="2209"/>
      <c r="K55" s="1622"/>
      <c r="L55" s="1622"/>
      <c r="M55" s="1622"/>
      <c r="N55" s="1622"/>
      <c r="O55" s="1622"/>
      <c r="P55" s="1622"/>
      <c r="Q55" s="1622"/>
      <c r="R55" s="1622"/>
      <c r="S55" s="1622"/>
      <c r="T55" s="1622"/>
      <c r="U55" s="1622"/>
      <c r="V55" s="1622"/>
      <c r="W55" s="1622"/>
      <c r="X55" s="1622"/>
      <c r="Y55" s="1622"/>
      <c r="Z55" s="1622"/>
      <c r="AA55" s="1622"/>
      <c r="AB55" s="1622"/>
      <c r="AC55" s="1622"/>
      <c r="AD55" s="1622"/>
      <c r="AE55" s="1622"/>
      <c r="AF55" s="1622"/>
      <c r="AG55" s="1622"/>
      <c r="AH55" s="1622"/>
      <c r="AI55" s="1622"/>
      <c r="AJ55" s="1622"/>
    </row>
    <row r="56" spans="2:36" s="1623" customFormat="1" x14ac:dyDescent="0.2">
      <c r="B56" s="1631" t="str">
        <f>IF(Presentation!$D$2="Français",'TRAD-Children YEAR(1)'!D56,IF(Presentation!$D$2="Anglais",'TRAD-Children YEAR(1)'!E56,""))</f>
        <v>Soir</v>
      </c>
      <c r="D56" s="1622" t="s">
        <v>100</v>
      </c>
      <c r="E56" s="1622" t="s">
        <v>1114</v>
      </c>
      <c r="F56" s="1620"/>
      <c r="G56" s="2209"/>
      <c r="H56" s="2209"/>
      <c r="I56" s="2209"/>
      <c r="J56" s="2209"/>
      <c r="K56" s="1622"/>
      <c r="L56" s="1622"/>
      <c r="M56" s="1622"/>
      <c r="N56" s="1622"/>
      <c r="O56" s="1622"/>
      <c r="P56" s="1622"/>
      <c r="Q56" s="1622"/>
      <c r="R56" s="1622"/>
      <c r="S56" s="1622"/>
      <c r="T56" s="1622"/>
      <c r="U56" s="1622"/>
      <c r="V56" s="1622"/>
      <c r="W56" s="1622"/>
      <c r="X56" s="1622"/>
      <c r="Y56" s="1622"/>
      <c r="Z56" s="1622"/>
      <c r="AA56" s="1622"/>
      <c r="AB56" s="1622"/>
      <c r="AC56" s="1622"/>
      <c r="AD56" s="1622"/>
      <c r="AE56" s="1622"/>
      <c r="AF56" s="1622"/>
      <c r="AG56" s="1622"/>
      <c r="AH56" s="1622"/>
      <c r="AI56" s="1622"/>
      <c r="AJ56" s="1622"/>
    </row>
    <row r="57" spans="2:36" s="1623" customFormat="1" x14ac:dyDescent="0.2">
      <c r="B57" s="1631" t="str">
        <f>IF(Presentation!$D$2="Français",'TRAD-Children YEAR(1)'!D57,IF(Presentation!$D$2="Anglais",'TRAD-Children YEAR(1)'!E57,""))</f>
        <v>boites</v>
      </c>
      <c r="D57" s="1622" t="s">
        <v>95</v>
      </c>
      <c r="E57" s="1622" t="s">
        <v>1174</v>
      </c>
      <c r="F57" s="1622"/>
      <c r="G57" s="2209"/>
      <c r="H57" s="2209"/>
      <c r="I57" s="2209"/>
      <c r="J57" s="2209"/>
      <c r="K57" s="1622"/>
      <c r="L57" s="1622"/>
      <c r="M57" s="1622"/>
      <c r="N57" s="1622"/>
      <c r="O57" s="1622"/>
      <c r="P57" s="1622"/>
      <c r="Q57" s="1622"/>
      <c r="R57" s="1622"/>
      <c r="S57" s="1622"/>
      <c r="T57" s="1622"/>
      <c r="U57" s="1622"/>
      <c r="V57" s="1622"/>
      <c r="W57" s="1622"/>
      <c r="X57" s="1622"/>
      <c r="Y57" s="1622"/>
      <c r="Z57" s="1622"/>
      <c r="AA57" s="1622"/>
      <c r="AB57" s="1622"/>
      <c r="AC57" s="1622"/>
      <c r="AD57" s="1622"/>
      <c r="AE57" s="1622"/>
      <c r="AF57" s="1622"/>
      <c r="AG57" s="1622"/>
      <c r="AH57" s="1622"/>
      <c r="AI57" s="1622"/>
      <c r="AJ57" s="1622"/>
    </row>
    <row r="58" spans="2:36" s="1623" customFormat="1" x14ac:dyDescent="0.2">
      <c r="B58" s="1631" t="str">
        <f>IF(Presentation!$D$2="Français",'TRAD-Children YEAR(1)'!D58,IF(Presentation!$D$2="Anglais",'TRAD-Children YEAR(1)'!E58,""))</f>
        <v>Si enfants &gt; 15 kg : formes adultes à prendre en compte</v>
      </c>
      <c r="D58" s="1623" t="s">
        <v>391</v>
      </c>
      <c r="E58" s="1622" t="s">
        <v>1115</v>
      </c>
    </row>
    <row r="59" spans="2:36" s="1623" customFormat="1" ht="30" x14ac:dyDescent="0.2">
      <c r="B59" s="1631" t="str">
        <f>IF(Presentation!$D$2="Français",'TRAD-Children YEAR(1)'!D59,IF(Presentation!$D$2="Anglais",'TRAD-Children YEAR(1)'!E59,""))</f>
        <v>Initiation du traitement NVP pour les enfants recevant la TRIOMUNE bébé</v>
      </c>
      <c r="D59" s="1710" t="s">
        <v>1116</v>
      </c>
      <c r="E59" s="1710" t="s">
        <v>1397</v>
      </c>
      <c r="F59" s="1711"/>
      <c r="G59" s="1711"/>
      <c r="H59" s="1711"/>
      <c r="I59" s="1622"/>
      <c r="J59" s="1622"/>
      <c r="K59" s="1622"/>
      <c r="L59" s="1622"/>
      <c r="M59" s="1622"/>
      <c r="N59" s="1622"/>
      <c r="O59" s="1622"/>
      <c r="P59" s="1622"/>
      <c r="Q59" s="1622"/>
      <c r="R59" s="1622"/>
      <c r="S59" s="1622"/>
      <c r="T59" s="1622"/>
      <c r="U59" s="1622"/>
      <c r="V59" s="1622"/>
      <c r="W59" s="1622"/>
      <c r="X59" s="1622"/>
      <c r="Y59" s="1622"/>
      <c r="Z59" s="1622"/>
      <c r="AA59" s="1622"/>
      <c r="AB59" s="1622"/>
      <c r="AC59" s="1622"/>
      <c r="AD59" s="1622"/>
      <c r="AE59" s="1622"/>
      <c r="AF59" s="1622"/>
      <c r="AG59" s="1622"/>
      <c r="AH59" s="1622"/>
      <c r="AI59" s="1622"/>
      <c r="AJ59" s="1622"/>
    </row>
    <row r="60" spans="2:36" s="1623" customFormat="1" x14ac:dyDescent="0.2">
      <c r="B60" s="1631" t="str">
        <f>IF(Presentation!$D$2="Français",'TRAD-Children YEAR(1)'!D60,IF(Presentation!$D$2="Anglais",'TRAD-Children YEAR(1)'!E60,""))</f>
        <v>Qté / enfant</v>
      </c>
      <c r="D60" s="1622" t="s">
        <v>115</v>
      </c>
      <c r="E60" s="1622" t="s">
        <v>1117</v>
      </c>
      <c r="F60" s="1622"/>
      <c r="G60" s="1622"/>
      <c r="H60" s="1622"/>
      <c r="I60" s="1622"/>
      <c r="J60" s="1622"/>
      <c r="K60" s="1622"/>
      <c r="L60" s="1622"/>
      <c r="M60" s="1622"/>
      <c r="N60" s="1622"/>
      <c r="O60" s="1622"/>
      <c r="P60" s="1622"/>
      <c r="Q60" s="1622"/>
      <c r="R60" s="1622"/>
      <c r="S60" s="1622"/>
      <c r="T60" s="1622"/>
      <c r="U60" s="1622"/>
      <c r="V60" s="1622"/>
      <c r="W60" s="1622"/>
      <c r="X60" s="1622"/>
      <c r="Y60" s="1622"/>
      <c r="Z60" s="1622"/>
      <c r="AA60" s="1622"/>
      <c r="AB60" s="1622"/>
      <c r="AC60" s="1622"/>
      <c r="AD60" s="1622"/>
      <c r="AE60" s="1622"/>
      <c r="AF60" s="1622"/>
      <c r="AG60" s="1622"/>
      <c r="AH60" s="1622"/>
      <c r="AI60" s="1622"/>
      <c r="AJ60" s="1622"/>
    </row>
    <row r="61" spans="2:36" s="1623" customFormat="1" x14ac:dyDescent="0.2">
      <c r="B61" s="1631" t="str">
        <f>IF(Presentation!$D$2="Français",'TRAD-Children YEAR(1)'!D61,IF(Presentation!$D$2="Anglais",'TRAD-Children YEAR(1)'!E61,""))</f>
        <v>Nb total de flacon pour les nouveaux enfants de l'année</v>
      </c>
      <c r="D61" s="1622" t="s">
        <v>203</v>
      </c>
      <c r="E61" s="1623" t="s">
        <v>1398</v>
      </c>
      <c r="J61" s="1622"/>
      <c r="K61" s="1622"/>
      <c r="L61" s="1622"/>
      <c r="M61" s="1622"/>
      <c r="N61" s="1622"/>
      <c r="O61" s="1622"/>
      <c r="P61" s="1622"/>
      <c r="Q61" s="1622"/>
      <c r="R61" s="1622"/>
      <c r="S61" s="1622"/>
      <c r="T61" s="1622"/>
      <c r="U61" s="1622"/>
      <c r="V61" s="1622"/>
      <c r="W61" s="1622"/>
      <c r="X61" s="1622"/>
      <c r="Y61" s="1622"/>
      <c r="Z61" s="1622"/>
      <c r="AA61" s="1622"/>
      <c r="AB61" s="1622"/>
      <c r="AC61" s="1622"/>
      <c r="AD61" s="1622"/>
      <c r="AE61" s="1622"/>
      <c r="AF61" s="1622"/>
      <c r="AG61" s="1622"/>
      <c r="AH61" s="1622"/>
      <c r="AI61" s="1622"/>
      <c r="AJ61" s="1622"/>
    </row>
    <row r="62" spans="2:36" s="1623" customFormat="1" ht="30" x14ac:dyDescent="0.2">
      <c r="B62" s="1631" t="str">
        <f>IF(Presentation!$D$2="Français",'TRAD-Children YEAR(1)'!D62,IF(Presentation!$D$2="Anglais",'TRAD-Children YEAR(1)'!E62,""))</f>
        <v>Nb total de flacon pour les nouveaux enfants sur période AVEC marge sécu</v>
      </c>
      <c r="D62" s="1622" t="s">
        <v>267</v>
      </c>
      <c r="E62" s="1623" t="s">
        <v>1399</v>
      </c>
      <c r="F62" s="1711"/>
      <c r="G62" s="1711"/>
      <c r="H62" s="1711"/>
      <c r="I62" s="1711"/>
      <c r="J62" s="1622"/>
      <c r="K62" s="1622"/>
      <c r="L62" s="1622"/>
      <c r="M62" s="1622"/>
      <c r="N62" s="1622"/>
      <c r="O62" s="1622"/>
      <c r="P62" s="1622"/>
      <c r="Q62" s="1622"/>
      <c r="R62" s="1622"/>
      <c r="S62" s="1622"/>
      <c r="T62" s="1622"/>
      <c r="U62" s="1622"/>
      <c r="V62" s="1622"/>
      <c r="W62" s="1622"/>
      <c r="X62" s="1622"/>
      <c r="Y62" s="1622"/>
      <c r="Z62" s="1622"/>
      <c r="AA62" s="1622"/>
      <c r="AB62" s="1622"/>
      <c r="AC62" s="1622"/>
      <c r="AD62" s="1622"/>
      <c r="AE62" s="1622"/>
      <c r="AF62" s="1622"/>
      <c r="AG62" s="1622"/>
      <c r="AH62" s="1622"/>
      <c r="AI62" s="1622"/>
      <c r="AJ62" s="1622"/>
    </row>
    <row r="63" spans="2:36" s="1623" customFormat="1" x14ac:dyDescent="0.2">
      <c r="B63" s="1631" t="str">
        <f>IF(Presentation!$D$2="Français",'TRAD-Children YEAR(1)'!D63,IF(Presentation!$D$2="Anglais",'TRAD-Children YEAR(1)'!E63,""))</f>
        <v>15 premiers jours</v>
      </c>
      <c r="D63" s="1622" t="s">
        <v>116</v>
      </c>
      <c r="E63" s="1622" t="s">
        <v>1118</v>
      </c>
      <c r="F63" s="1622"/>
      <c r="G63" s="1622"/>
      <c r="H63" s="1620"/>
      <c r="L63" s="1622"/>
      <c r="M63" s="1622"/>
      <c r="N63" s="1622"/>
      <c r="O63" s="1622"/>
      <c r="P63" s="1622"/>
      <c r="Q63" s="1622"/>
      <c r="R63" s="1622"/>
      <c r="S63" s="1622"/>
      <c r="T63" s="1622"/>
      <c r="U63" s="1622"/>
      <c r="V63" s="1622"/>
      <c r="W63" s="1622"/>
      <c r="X63" s="1622"/>
      <c r="Y63" s="1622"/>
      <c r="Z63" s="1622"/>
      <c r="AA63" s="1622"/>
      <c r="AB63" s="1622"/>
      <c r="AC63" s="1622"/>
      <c r="AD63" s="1622"/>
      <c r="AE63" s="1622"/>
      <c r="AF63" s="1622"/>
      <c r="AG63" s="1622"/>
      <c r="AH63" s="1622"/>
      <c r="AI63" s="1622"/>
      <c r="AJ63" s="1622"/>
    </row>
    <row r="64" spans="2:36" s="1623" customFormat="1" x14ac:dyDescent="0.2">
      <c r="B64" s="1631" t="str">
        <f>IF(Presentation!$D$2="Français",'TRAD-Children YEAR(1)'!D64,IF(Presentation!$D$2="Anglais",'TRAD-Children YEAR(1)'!E64,""))</f>
        <v>1 flacon</v>
      </c>
      <c r="D64" s="1622" t="s">
        <v>117</v>
      </c>
      <c r="E64" s="1622" t="s">
        <v>1175</v>
      </c>
      <c r="F64" s="1622"/>
      <c r="G64" s="1622"/>
      <c r="H64" s="1620"/>
      <c r="L64" s="1622"/>
      <c r="M64" s="1622"/>
      <c r="N64" s="1622"/>
      <c r="O64" s="1622"/>
      <c r="P64" s="1622"/>
      <c r="Q64" s="1622"/>
      <c r="R64" s="1622"/>
      <c r="S64" s="1622"/>
      <c r="T64" s="1622"/>
      <c r="U64" s="1622"/>
      <c r="V64" s="1622"/>
      <c r="W64" s="1622"/>
      <c r="X64" s="1622"/>
      <c r="Y64" s="1622"/>
      <c r="Z64" s="1622"/>
      <c r="AA64" s="1622"/>
      <c r="AB64" s="1622"/>
      <c r="AC64" s="1622"/>
      <c r="AD64" s="1622"/>
      <c r="AE64" s="1622"/>
      <c r="AF64" s="1622"/>
      <c r="AG64" s="1622"/>
      <c r="AH64" s="1622"/>
      <c r="AI64" s="1622"/>
      <c r="AJ64" s="1622"/>
    </row>
    <row r="65" spans="2:36" s="1623" customFormat="1" x14ac:dyDescent="0.2">
      <c r="B65" s="1631" t="str">
        <f>IF(Presentation!$D$2="Français",'TRAD-Children YEAR(1)'!D65,IF(Presentation!$D$2="Anglais",'TRAD-Children YEAR(1)'!E65,""))</f>
        <v>15 cp</v>
      </c>
      <c r="D65" s="1622" t="s">
        <v>723</v>
      </c>
      <c r="E65" s="1622" t="s">
        <v>1176</v>
      </c>
      <c r="F65" s="1622"/>
      <c r="G65" s="1622"/>
      <c r="H65" s="1620"/>
      <c r="L65" s="1622"/>
      <c r="M65" s="1622"/>
      <c r="N65" s="1622"/>
      <c r="O65" s="1622"/>
      <c r="P65" s="1622"/>
      <c r="Q65" s="1622"/>
      <c r="R65" s="1622"/>
      <c r="S65" s="1622"/>
      <c r="T65" s="1622"/>
      <c r="U65" s="1622"/>
      <c r="V65" s="1622"/>
      <c r="W65" s="1622"/>
      <c r="X65" s="1622"/>
      <c r="Y65" s="1622"/>
      <c r="Z65" s="1622"/>
      <c r="AA65" s="1622"/>
      <c r="AB65" s="1622"/>
      <c r="AC65" s="1622"/>
      <c r="AD65" s="1622"/>
      <c r="AE65" s="1622"/>
      <c r="AF65" s="1622"/>
      <c r="AG65" s="1622"/>
      <c r="AH65" s="1622"/>
      <c r="AI65" s="1622"/>
      <c r="AJ65" s="1622"/>
    </row>
    <row r="66" spans="2:36" s="1623" customFormat="1" x14ac:dyDescent="0.2">
      <c r="B66" s="1631" t="str">
        <f>IF(Presentation!$D$2="Français",'TRAD-Children YEAR(1)'!D66,IF(Presentation!$D$2="Anglais",'TRAD-Children YEAR(1)'!E66,""))</f>
        <v>Autres schémas (1ères et 2èmes lignes)</v>
      </c>
      <c r="D66" s="1622" t="s">
        <v>118</v>
      </c>
      <c r="E66" s="1623" t="s">
        <v>1119</v>
      </c>
      <c r="F66" s="1618"/>
      <c r="G66" s="1618"/>
      <c r="H66" s="1618"/>
      <c r="I66" s="1618"/>
      <c r="J66" s="2154"/>
      <c r="K66" s="2154"/>
      <c r="L66" s="2154"/>
      <c r="M66" s="2154"/>
      <c r="N66" s="2154"/>
      <c r="O66" s="2154"/>
      <c r="P66" s="2154"/>
      <c r="Q66" s="1622"/>
      <c r="R66" s="1622"/>
      <c r="S66" s="1622"/>
      <c r="T66" s="1698"/>
      <c r="U66" s="1622"/>
      <c r="V66" s="1622"/>
      <c r="W66" s="1622"/>
      <c r="X66" s="1622"/>
      <c r="Y66" s="1622"/>
      <c r="Z66" s="1622"/>
      <c r="AA66" s="1622"/>
      <c r="AB66" s="1622"/>
      <c r="AC66" s="1622"/>
      <c r="AD66" s="1622"/>
      <c r="AE66" s="1622"/>
      <c r="AF66" s="1622"/>
      <c r="AG66" s="1622"/>
      <c r="AH66" s="1622"/>
      <c r="AI66" s="1622"/>
      <c r="AJ66" s="1622"/>
    </row>
    <row r="67" spans="2:36" s="1623" customFormat="1" x14ac:dyDescent="0.2">
      <c r="B67" s="1631" t="str">
        <f>IF(Presentation!$D$2="Français",'TRAD-Children YEAR(1)'!D67,IF(Presentation!$D$2="Anglais",'TRAD-Children YEAR(1)'!E67,""))</f>
        <v>Composition</v>
      </c>
      <c r="D67" s="1622" t="s">
        <v>0</v>
      </c>
      <c r="E67" s="1622" t="s">
        <v>1120</v>
      </c>
      <c r="F67" s="1622"/>
      <c r="G67" s="1622"/>
      <c r="H67" s="1622"/>
      <c r="I67" s="1622"/>
      <c r="J67" s="1622"/>
      <c r="K67" s="1622"/>
      <c r="L67" s="1622"/>
      <c r="M67" s="1622"/>
      <c r="N67" s="1622"/>
      <c r="O67" s="1622"/>
      <c r="P67" s="1622"/>
      <c r="Q67" s="1622"/>
      <c r="R67" s="1622"/>
      <c r="S67" s="1622"/>
      <c r="T67" s="1622"/>
      <c r="U67" s="1622"/>
      <c r="V67" s="1622"/>
      <c r="W67" s="1622"/>
      <c r="X67" s="1622"/>
      <c r="Y67" s="1622"/>
      <c r="Z67" s="1622"/>
      <c r="AA67" s="1622"/>
      <c r="AB67" s="1622"/>
      <c r="AC67" s="1622"/>
      <c r="AD67" s="1622"/>
      <c r="AE67" s="1622"/>
      <c r="AF67" s="1622"/>
      <c r="AG67" s="1622"/>
      <c r="AH67" s="1622"/>
      <c r="AI67" s="1622"/>
      <c r="AJ67" s="1622"/>
    </row>
    <row r="68" spans="2:36" s="1623" customFormat="1" x14ac:dyDescent="0.2">
      <c r="B68" s="1631" t="str">
        <f>IF(Presentation!$D$2="Français",'TRAD-Children YEAR(1)'!D68,IF(Presentation!$D$2="Anglais",'TRAD-Children YEAR(1)'!E68,""))</f>
        <v>Dosage</v>
      </c>
      <c r="D68" s="1622" t="s">
        <v>2</v>
      </c>
      <c r="E68" s="1622" t="s">
        <v>2</v>
      </c>
      <c r="G68" s="1620"/>
      <c r="M68" s="1622"/>
      <c r="N68" s="1622"/>
      <c r="O68" s="1622"/>
      <c r="P68" s="1622"/>
      <c r="Q68" s="1622"/>
      <c r="R68" s="1622"/>
      <c r="S68" s="1622"/>
      <c r="T68" s="1622"/>
      <c r="U68" s="1622"/>
      <c r="V68" s="1622"/>
      <c r="W68" s="1622"/>
      <c r="X68" s="1622"/>
      <c r="Y68" s="1622"/>
      <c r="Z68" s="1622"/>
      <c r="AA68" s="1622"/>
      <c r="AB68" s="1622"/>
      <c r="AC68" s="1622"/>
      <c r="AD68" s="1622"/>
      <c r="AE68" s="1622"/>
      <c r="AF68" s="1622"/>
      <c r="AG68" s="1622"/>
      <c r="AH68" s="1622"/>
      <c r="AI68" s="1622"/>
      <c r="AJ68" s="1622"/>
    </row>
    <row r="69" spans="2:36" s="1623" customFormat="1" x14ac:dyDescent="0.2">
      <c r="B69" s="1631" t="str">
        <f>IF(Presentation!$D$2="Français",'TRAD-Children YEAR(1)'!D69,IF(Presentation!$D$2="Anglais",'TRAD-Children YEAR(1)'!E69,""))</f>
        <v>Nom de spécialité</v>
      </c>
      <c r="D69" s="1622" t="s">
        <v>3</v>
      </c>
      <c r="E69" s="1622" t="s">
        <v>1060</v>
      </c>
      <c r="F69" s="1622"/>
      <c r="G69" s="1622"/>
      <c r="H69" s="1622"/>
      <c r="I69" s="1622"/>
      <c r="J69" s="1622"/>
      <c r="K69" s="1622"/>
      <c r="L69" s="1622"/>
      <c r="M69" s="1622"/>
      <c r="N69" s="1622"/>
      <c r="O69" s="1622"/>
      <c r="P69" s="1622"/>
      <c r="Q69" s="1622"/>
      <c r="R69" s="1622"/>
      <c r="S69" s="1622"/>
      <c r="T69" s="1622"/>
      <c r="U69" s="1622"/>
      <c r="V69" s="1622"/>
      <c r="W69" s="1622"/>
      <c r="X69" s="1622"/>
      <c r="Y69" s="1622"/>
      <c r="Z69" s="1622"/>
      <c r="AA69" s="1622"/>
      <c r="AB69" s="1622"/>
      <c r="AC69" s="1622"/>
      <c r="AD69" s="1622"/>
      <c r="AE69" s="1622"/>
      <c r="AF69" s="1622"/>
      <c r="AG69" s="1622"/>
      <c r="AH69" s="1622"/>
      <c r="AI69" s="1622"/>
      <c r="AJ69" s="1622"/>
    </row>
    <row r="70" spans="2:36" s="1623" customFormat="1" x14ac:dyDescent="0.2">
      <c r="B70" s="1631" t="str">
        <f>IF(Presentation!$D$2="Français",'TRAD-Children YEAR(1)'!D70,IF(Presentation!$D$2="Anglais",'TRAD-Children YEAR(1)'!E70,""))</f>
        <v>Volume conditionnement primaire (mL)</v>
      </c>
      <c r="D70" s="1622" t="s">
        <v>37</v>
      </c>
      <c r="E70" s="1622" t="s">
        <v>1121</v>
      </c>
      <c r="F70" s="1622"/>
      <c r="G70" s="1622"/>
      <c r="H70" s="1622"/>
      <c r="I70" s="1622"/>
      <c r="J70" s="1622"/>
      <c r="K70" s="1622"/>
      <c r="L70" s="1622"/>
      <c r="M70" s="1622"/>
      <c r="N70" s="1622"/>
      <c r="O70" s="1622"/>
      <c r="P70" s="1622"/>
      <c r="Q70" s="1622"/>
      <c r="R70" s="1622"/>
      <c r="S70" s="1622"/>
      <c r="T70" s="1622"/>
      <c r="U70" s="1622"/>
      <c r="V70" s="1622"/>
      <c r="W70" s="1622"/>
      <c r="X70" s="1622"/>
      <c r="Y70" s="1622"/>
      <c r="Z70" s="1622"/>
      <c r="AA70" s="1622"/>
      <c r="AB70" s="1622"/>
      <c r="AC70" s="1622"/>
      <c r="AD70" s="1622"/>
      <c r="AE70" s="1622"/>
      <c r="AF70" s="1622"/>
      <c r="AG70" s="1622"/>
      <c r="AH70" s="1622"/>
      <c r="AI70" s="1622"/>
      <c r="AJ70" s="1622"/>
    </row>
    <row r="71" spans="2:36" s="1623" customFormat="1" x14ac:dyDescent="0.2">
      <c r="B71" s="1631" t="str">
        <f>IF(Presentation!$D$2="Français",'TRAD-Children YEAR(1)'!D71,IF(Presentation!$D$2="Anglais",'TRAD-Children YEAR(1)'!E71,""))</f>
        <v>Conditionement secondaire</v>
      </c>
      <c r="D71" s="1622" t="s">
        <v>38</v>
      </c>
      <c r="E71" s="1622" t="s">
        <v>1122</v>
      </c>
      <c r="F71" s="1622"/>
      <c r="G71" s="1622"/>
      <c r="H71" s="1622"/>
      <c r="I71" s="1622"/>
      <c r="J71" s="1622"/>
      <c r="K71" s="1622"/>
      <c r="L71" s="1622"/>
      <c r="M71" s="1622"/>
      <c r="N71" s="1622"/>
      <c r="O71" s="1622"/>
      <c r="P71" s="1622"/>
      <c r="Q71" s="1622"/>
      <c r="R71" s="1622"/>
      <c r="S71" s="1622"/>
      <c r="T71" s="1622"/>
      <c r="U71" s="1622"/>
      <c r="V71" s="1622"/>
      <c r="W71" s="1622"/>
      <c r="X71" s="1622"/>
      <c r="Y71" s="1622"/>
      <c r="Z71" s="1622"/>
      <c r="AA71" s="1622"/>
      <c r="AB71" s="1622"/>
      <c r="AC71" s="1622"/>
      <c r="AD71" s="1622"/>
      <c r="AE71" s="1622"/>
      <c r="AF71" s="1622"/>
      <c r="AG71" s="1622"/>
      <c r="AH71" s="1622"/>
      <c r="AI71" s="1622"/>
      <c r="AJ71" s="1622"/>
    </row>
    <row r="72" spans="2:36" s="1623" customFormat="1" x14ac:dyDescent="0.2">
      <c r="B72" s="1631" t="str">
        <f>IF(Presentation!$D$2="Français",'TRAD-Children YEAR(1)'!D72,IF(Presentation!$D$2="Anglais",'TRAD-Children YEAR(1)'!E72,""))</f>
        <v>Qtés de patients - mois</v>
      </c>
      <c r="D72" s="1622" t="s">
        <v>119</v>
      </c>
      <c r="E72" s="1622" t="s">
        <v>1123</v>
      </c>
      <c r="F72" s="1622"/>
      <c r="G72" s="1622"/>
      <c r="H72" s="1622"/>
      <c r="I72" s="1622"/>
      <c r="J72" s="1622"/>
      <c r="K72" s="1622"/>
      <c r="L72" s="1622"/>
      <c r="M72" s="1622"/>
      <c r="N72" s="1622"/>
      <c r="O72" s="1622"/>
      <c r="P72" s="1622"/>
      <c r="Q72" s="1622"/>
      <c r="R72" s="1622"/>
      <c r="S72" s="1622"/>
      <c r="T72" s="1622"/>
      <c r="U72" s="1622"/>
      <c r="V72" s="1622"/>
      <c r="W72" s="1622"/>
      <c r="X72" s="1622"/>
      <c r="Y72" s="1622"/>
      <c r="Z72" s="1622"/>
      <c r="AA72" s="1622"/>
      <c r="AB72" s="1622"/>
      <c r="AC72" s="1622"/>
      <c r="AD72" s="1622"/>
      <c r="AE72" s="1622"/>
      <c r="AF72" s="1622"/>
      <c r="AG72" s="1622"/>
      <c r="AH72" s="1622"/>
      <c r="AI72" s="1622"/>
      <c r="AJ72" s="1622"/>
    </row>
    <row r="73" spans="2:36" s="1623" customFormat="1" x14ac:dyDescent="0.2">
      <c r="B73" s="1631" t="str">
        <f>IF(Presentation!$D$2="Français",'TRAD-Children YEAR(1)'!D73,IF(Presentation!$D$2="Anglais",'TRAD-Children YEAR(1)'!E73,""))</f>
        <v>Qtés totales Nb de boites / flacons</v>
      </c>
      <c r="D73" s="1622" t="s">
        <v>217</v>
      </c>
      <c r="E73" s="1622" t="s">
        <v>1181</v>
      </c>
      <c r="F73" s="1622"/>
      <c r="G73" s="1622"/>
      <c r="H73" s="1622"/>
      <c r="I73" s="1622"/>
      <c r="J73" s="1622"/>
      <c r="K73" s="1622"/>
      <c r="L73" s="1622"/>
      <c r="M73" s="1622"/>
      <c r="N73" s="1622"/>
      <c r="O73" s="1622"/>
      <c r="P73" s="1622"/>
      <c r="Q73" s="1622"/>
      <c r="R73" s="1622"/>
      <c r="S73" s="1622"/>
      <c r="T73" s="1622"/>
      <c r="U73" s="1622"/>
      <c r="V73" s="1622"/>
      <c r="W73" s="1622"/>
      <c r="X73" s="1622"/>
      <c r="Y73" s="1622"/>
      <c r="Z73" s="1622"/>
      <c r="AA73" s="1622"/>
      <c r="AB73" s="1622"/>
      <c r="AC73" s="1622"/>
      <c r="AD73" s="1622"/>
      <c r="AE73" s="1622"/>
      <c r="AF73" s="1622"/>
      <c r="AG73" s="1622"/>
      <c r="AH73" s="1622"/>
      <c r="AI73" s="1622"/>
      <c r="AJ73" s="1622"/>
    </row>
    <row r="74" spans="2:36" s="1623" customFormat="1" x14ac:dyDescent="0.2">
      <c r="B74" s="1631" t="str">
        <f>IF(Presentation!$D$2="Français",'TRAD-Children YEAR(1)'!D74,IF(Presentation!$D$2="Anglais",'TRAD-Children YEAR(1)'!E74,""))</f>
        <v>sol buv</v>
      </c>
      <c r="D74" s="1622" t="s">
        <v>40</v>
      </c>
      <c r="E74" s="1622" t="s">
        <v>1177</v>
      </c>
      <c r="F74" s="1622"/>
      <c r="G74" s="1622"/>
      <c r="H74" s="1622"/>
      <c r="I74" s="1622"/>
      <c r="J74" s="1622"/>
      <c r="K74" s="1622"/>
      <c r="L74" s="1622"/>
      <c r="M74" s="1622"/>
      <c r="N74" s="1622"/>
      <c r="O74" s="1622"/>
      <c r="P74" s="1622"/>
      <c r="Q74" s="1622"/>
      <c r="R74" s="1622"/>
      <c r="S74" s="1622"/>
      <c r="T74" s="1622"/>
      <c r="U74" s="1622"/>
      <c r="V74" s="1622"/>
      <c r="W74" s="1622"/>
      <c r="X74" s="1622"/>
      <c r="Y74" s="1622"/>
      <c r="Z74" s="1622"/>
      <c r="AA74" s="1622"/>
      <c r="AB74" s="1622"/>
      <c r="AC74" s="1622"/>
      <c r="AD74" s="1622"/>
      <c r="AE74" s="1622"/>
      <c r="AF74" s="1622"/>
      <c r="AG74" s="1622"/>
      <c r="AH74" s="1622"/>
      <c r="AI74" s="1622"/>
      <c r="AJ74" s="1622"/>
    </row>
    <row r="75" spans="2:36" s="1623" customFormat="1" ht="30" x14ac:dyDescent="0.2">
      <c r="B75" s="1631" t="str">
        <f>IF(Presentation!$D$2="Français",'TRAD-Children YEAR(1)'!D75,IF(Presentation!$D$2="Anglais",'TRAD-Children YEAR(1)'!E75,""))</f>
        <v>Si enfant de 6 - 7 kg (pris en compte pour la tranche 3 - 9,9 kg)</v>
      </c>
      <c r="D75" s="1712" t="s">
        <v>1207</v>
      </c>
      <c r="E75" s="1623" t="s">
        <v>1130</v>
      </c>
      <c r="F75" s="1713"/>
      <c r="G75" s="1713"/>
      <c r="H75" s="1713"/>
      <c r="I75" s="1713"/>
      <c r="J75" s="1713"/>
      <c r="K75" s="1713"/>
      <c r="L75" s="1622"/>
      <c r="M75" s="1622"/>
      <c r="N75" s="1622"/>
      <c r="O75" s="1622"/>
      <c r="P75" s="1622"/>
      <c r="Q75" s="1622"/>
      <c r="R75" s="1622"/>
      <c r="S75" s="1622"/>
      <c r="T75" s="1622"/>
      <c r="U75" s="1622"/>
      <c r="V75" s="1622"/>
      <c r="W75" s="1622"/>
      <c r="X75" s="1622"/>
      <c r="Y75" s="1622"/>
      <c r="Z75" s="1622"/>
      <c r="AA75" s="1622"/>
      <c r="AB75" s="1622"/>
      <c r="AC75" s="1622"/>
      <c r="AD75" s="1622"/>
      <c r="AE75" s="1622"/>
      <c r="AF75" s="1622"/>
      <c r="AG75" s="1622"/>
      <c r="AH75" s="1622"/>
      <c r="AI75" s="1622"/>
      <c r="AJ75" s="1622"/>
    </row>
    <row r="76" spans="2:36" s="1623" customFormat="1" x14ac:dyDescent="0.2">
      <c r="B76" s="1631" t="str">
        <f>IF(Presentation!$D$2="Français",'TRAD-Children YEAR(1)'!D76,IF(Presentation!$D$2="Anglais",'TRAD-Children YEAR(1)'!E76,""))</f>
        <v>volume (mL) / jour</v>
      </c>
      <c r="D76" s="1622" t="s">
        <v>120</v>
      </c>
      <c r="E76" s="1622" t="s">
        <v>1124</v>
      </c>
      <c r="F76" s="1622"/>
      <c r="G76" s="1622"/>
      <c r="H76" s="1622"/>
      <c r="I76" s="1622"/>
      <c r="J76" s="1622"/>
      <c r="K76" s="1622"/>
      <c r="L76" s="1622"/>
      <c r="M76" s="1622"/>
      <c r="N76" s="1622"/>
      <c r="O76" s="1622"/>
      <c r="P76" s="1622"/>
      <c r="Q76" s="1622"/>
      <c r="R76" s="1622"/>
      <c r="S76" s="1622"/>
      <c r="T76" s="1622"/>
      <c r="U76" s="1622"/>
      <c r="V76" s="1622"/>
      <c r="W76" s="1622"/>
      <c r="X76" s="1622"/>
      <c r="Y76" s="1622"/>
      <c r="Z76" s="1622"/>
      <c r="AA76" s="1622"/>
      <c r="AB76" s="1622"/>
      <c r="AC76" s="1622"/>
      <c r="AD76" s="1622"/>
      <c r="AE76" s="1622"/>
      <c r="AF76" s="1622"/>
      <c r="AG76" s="1622"/>
      <c r="AH76" s="1622"/>
      <c r="AI76" s="1622"/>
      <c r="AJ76" s="1622"/>
    </row>
    <row r="77" spans="2:36" s="1623" customFormat="1" x14ac:dyDescent="0.2">
      <c r="B77" s="1631" t="str">
        <f>IF(Presentation!$D$2="Français",'TRAD-Children YEAR(1)'!D77,IF(Presentation!$D$2="Anglais",'TRAD-Children YEAR(1)'!E77,""))</f>
        <v>volume (mL) / mois</v>
      </c>
      <c r="D77" s="1622" t="s">
        <v>121</v>
      </c>
      <c r="E77" s="1622" t="s">
        <v>1125</v>
      </c>
      <c r="F77" s="1620"/>
      <c r="M77" s="1622"/>
      <c r="N77" s="1622"/>
      <c r="O77" s="1622"/>
      <c r="P77" s="1622"/>
      <c r="Q77" s="1622"/>
      <c r="R77" s="1622"/>
      <c r="S77" s="1622"/>
      <c r="T77" s="1622"/>
      <c r="U77" s="1622"/>
      <c r="V77" s="1622"/>
      <c r="W77" s="1622"/>
      <c r="X77" s="1622"/>
      <c r="Y77" s="1622"/>
      <c r="Z77" s="1622"/>
      <c r="AA77" s="1622"/>
      <c r="AB77" s="1622"/>
      <c r="AC77" s="1622"/>
      <c r="AD77" s="1622"/>
      <c r="AE77" s="1622"/>
      <c r="AF77" s="1622"/>
      <c r="AG77" s="1622"/>
      <c r="AH77" s="1622"/>
      <c r="AI77" s="1622"/>
      <c r="AJ77" s="1622"/>
    </row>
    <row r="78" spans="2:36" s="1623" customFormat="1" x14ac:dyDescent="0.2">
      <c r="B78" s="1631" t="str">
        <f>IF(Presentation!$D$2="Français",'TRAD-Children YEAR(1)'!D78,IF(Presentation!$D$2="Anglais",'TRAD-Children YEAR(1)'!E78,""))</f>
        <v>volume flacon (mL)</v>
      </c>
      <c r="D78" s="1622" t="s">
        <v>122</v>
      </c>
      <c r="E78" s="1622" t="s">
        <v>1126</v>
      </c>
      <c r="F78" s="1622"/>
      <c r="G78" s="1714"/>
      <c r="H78" s="1715"/>
      <c r="I78" s="1622"/>
      <c r="J78" s="1715"/>
      <c r="K78" s="1715"/>
      <c r="L78" s="1715"/>
      <c r="M78" s="1622"/>
      <c r="N78" s="1622"/>
      <c r="O78" s="1622"/>
      <c r="P78" s="1622"/>
      <c r="Q78" s="1622"/>
      <c r="R78" s="1622"/>
      <c r="S78" s="1622"/>
      <c r="T78" s="1622"/>
      <c r="U78" s="1622"/>
      <c r="V78" s="1622"/>
      <c r="W78" s="1622"/>
      <c r="X78" s="1622"/>
      <c r="Y78" s="1622"/>
      <c r="Z78" s="1622"/>
      <c r="AA78" s="1622"/>
      <c r="AB78" s="1622"/>
      <c r="AC78" s="1622"/>
      <c r="AD78" s="1622"/>
      <c r="AE78" s="1622"/>
      <c r="AF78" s="1622"/>
      <c r="AG78" s="1622"/>
      <c r="AH78" s="1622"/>
      <c r="AI78" s="1622"/>
      <c r="AJ78" s="1622"/>
    </row>
    <row r="79" spans="2:36" s="1623" customFormat="1" x14ac:dyDescent="0.2">
      <c r="B79" s="1631" t="str">
        <f>IF(Presentation!$D$2="Français",'TRAD-Children YEAR(1)'!D79,IF(Presentation!$D$2="Anglais",'TRAD-Children YEAR(1)'!E79,""))</f>
        <v>nb de flacons / mois</v>
      </c>
      <c r="D79" s="1622" t="s">
        <v>215</v>
      </c>
      <c r="E79" s="1622" t="s">
        <v>1127</v>
      </c>
      <c r="F79" s="1622"/>
      <c r="G79" s="1714"/>
      <c r="H79" s="1715"/>
      <c r="I79" s="1622"/>
      <c r="J79" s="1715"/>
      <c r="K79" s="1715"/>
      <c r="L79" s="1715"/>
      <c r="M79" s="1622"/>
      <c r="N79" s="1622"/>
      <c r="O79" s="1622"/>
      <c r="P79" s="1622"/>
      <c r="Q79" s="1622"/>
      <c r="R79" s="1622"/>
      <c r="S79" s="1622"/>
      <c r="T79" s="1622"/>
      <c r="U79" s="1622"/>
      <c r="V79" s="1622"/>
      <c r="W79" s="1622"/>
      <c r="X79" s="1622"/>
      <c r="Y79" s="1622"/>
      <c r="Z79" s="1622"/>
      <c r="AA79" s="1622"/>
      <c r="AB79" s="1622"/>
      <c r="AC79" s="1622"/>
      <c r="AD79" s="1622"/>
      <c r="AE79" s="1622"/>
      <c r="AF79" s="1622"/>
      <c r="AG79" s="1622"/>
      <c r="AH79" s="1622"/>
      <c r="AI79" s="1622"/>
      <c r="AJ79" s="1622"/>
    </row>
    <row r="80" spans="2:36" s="1623" customFormat="1" x14ac:dyDescent="0.2">
      <c r="B80" s="1631" t="str">
        <f>IF(Presentation!$D$2="Français",'TRAD-Children YEAR(1)'!D80,IF(Presentation!$D$2="Anglais",'TRAD-Children YEAR(1)'!E80,""))</f>
        <v>nb de flacons / mois arrondi</v>
      </c>
      <c r="D80" s="1622" t="s">
        <v>216</v>
      </c>
      <c r="E80" s="1622" t="s">
        <v>1128</v>
      </c>
      <c r="F80" s="1622"/>
      <c r="G80" s="1714"/>
      <c r="H80" s="1715"/>
      <c r="I80" s="1622"/>
      <c r="J80" s="1715"/>
      <c r="K80" s="1715"/>
      <c r="L80" s="1715"/>
      <c r="M80" s="1622"/>
      <c r="N80" s="1622"/>
      <c r="O80" s="1622"/>
      <c r="P80" s="1622"/>
      <c r="Q80" s="1622"/>
      <c r="R80" s="1622"/>
      <c r="S80" s="1622"/>
      <c r="T80" s="1622"/>
      <c r="U80" s="1622"/>
      <c r="V80" s="1622"/>
      <c r="W80" s="1622"/>
      <c r="X80" s="1622"/>
      <c r="Y80" s="1622"/>
      <c r="Z80" s="1622"/>
      <c r="AA80" s="1622"/>
      <c r="AB80" s="1622"/>
      <c r="AC80" s="1622"/>
      <c r="AD80" s="1622"/>
      <c r="AE80" s="1622"/>
      <c r="AF80" s="1622"/>
      <c r="AG80" s="1622"/>
      <c r="AH80" s="1622"/>
      <c r="AI80" s="1622"/>
      <c r="AJ80" s="1622"/>
    </row>
    <row r="81" spans="2:36" s="1623" customFormat="1" x14ac:dyDescent="0.2">
      <c r="B81" s="1631" t="str">
        <f>IF(Presentation!$D$2="Français",'TRAD-Children YEAR(1)'!D81,IF(Presentation!$D$2="Anglais",'TRAD-Children YEAR(1)'!E81,""))</f>
        <v>reste (mL)</v>
      </c>
      <c r="D81" s="1622" t="s">
        <v>123</v>
      </c>
      <c r="E81" s="1622" t="s">
        <v>1129</v>
      </c>
      <c r="F81" s="1622"/>
      <c r="G81" s="1714"/>
      <c r="H81" s="1715"/>
      <c r="I81" s="1622"/>
      <c r="J81" s="1715"/>
      <c r="K81" s="1715"/>
      <c r="L81" s="1715"/>
      <c r="M81" s="1622"/>
      <c r="N81" s="1622"/>
      <c r="O81" s="1622"/>
      <c r="P81" s="1622"/>
      <c r="Q81" s="1622"/>
      <c r="R81" s="1622"/>
      <c r="S81" s="1622"/>
      <c r="T81" s="1622"/>
      <c r="U81" s="1622"/>
      <c r="V81" s="1622"/>
      <c r="W81" s="1622"/>
      <c r="X81" s="1622"/>
      <c r="Y81" s="1622"/>
      <c r="Z81" s="1622"/>
      <c r="AA81" s="1622"/>
      <c r="AB81" s="1622"/>
      <c r="AC81" s="1622"/>
      <c r="AD81" s="1622"/>
      <c r="AE81" s="1622"/>
      <c r="AF81" s="1622"/>
      <c r="AG81" s="1622"/>
      <c r="AH81" s="1622"/>
      <c r="AI81" s="1622"/>
      <c r="AJ81" s="1622"/>
    </row>
    <row r="82" spans="2:36" s="1623" customFormat="1" ht="30" x14ac:dyDescent="0.2">
      <c r="B82" s="1631" t="str">
        <f>IF(Presentation!$D$2="Français",'TRAD-Children YEAR(1)'!D82,IF(Presentation!$D$2="Anglais",'TRAD-Children YEAR(1)'!E82,""))</f>
        <v>Si enfant de 12 - 14 kg (pris en compte pour la tranche 10 - 14,9 kg)</v>
      </c>
      <c r="D82" s="1712" t="s">
        <v>1208</v>
      </c>
      <c r="E82" s="1623" t="s">
        <v>1400</v>
      </c>
      <c r="F82" s="1713"/>
      <c r="G82" s="1713"/>
      <c r="H82" s="1713"/>
      <c r="I82" s="1713"/>
      <c r="J82" s="1713"/>
      <c r="K82" s="1713"/>
      <c r="L82" s="1622"/>
      <c r="M82" s="1622"/>
      <c r="N82" s="1622"/>
      <c r="O82" s="1622"/>
      <c r="P82" s="1622"/>
      <c r="Q82" s="1622"/>
      <c r="R82" s="1622"/>
      <c r="S82" s="1622"/>
      <c r="T82" s="1622"/>
      <c r="U82" s="1622"/>
      <c r="V82" s="1622"/>
      <c r="W82" s="1622"/>
      <c r="X82" s="1622"/>
      <c r="Y82" s="1622"/>
      <c r="Z82" s="1622"/>
      <c r="AA82" s="1622"/>
      <c r="AB82" s="1622"/>
      <c r="AC82" s="1622"/>
      <c r="AD82" s="1622"/>
      <c r="AE82" s="1622"/>
      <c r="AF82" s="1622"/>
      <c r="AG82" s="1622"/>
      <c r="AH82" s="1622"/>
      <c r="AI82" s="1622"/>
      <c r="AJ82" s="1622"/>
    </row>
    <row r="83" spans="2:36" s="1623" customFormat="1" ht="30" x14ac:dyDescent="0.2">
      <c r="B83" s="1631" t="str">
        <f>IF(Presentation!$D$2="Français",'TRAD-Children YEAR(1)'!D83,IF(Presentation!$D$2="Anglais",'TRAD-Children YEAR(1)'!E83,""))</f>
        <v>Si enfant de 15 - 19,9 kg (pris en compte pour la tranche 17 - 19,9 kg)</v>
      </c>
      <c r="D83" s="1712" t="s">
        <v>1209</v>
      </c>
      <c r="E83" s="1623" t="s">
        <v>1401</v>
      </c>
      <c r="F83" s="1713"/>
      <c r="G83" s="1713"/>
      <c r="H83" s="1713"/>
      <c r="I83" s="1713"/>
      <c r="J83" s="1713"/>
      <c r="K83" s="1622"/>
      <c r="L83" s="1622"/>
      <c r="M83" s="1622"/>
      <c r="N83" s="1622"/>
      <c r="O83" s="1622"/>
      <c r="P83" s="1622"/>
      <c r="Q83" s="1622"/>
      <c r="R83" s="1622"/>
      <c r="S83" s="1622"/>
      <c r="T83" s="1622"/>
      <c r="U83" s="1622"/>
      <c r="V83" s="1622"/>
      <c r="W83" s="1622"/>
      <c r="X83" s="1622"/>
      <c r="Y83" s="1622"/>
      <c r="Z83" s="1622"/>
      <c r="AA83" s="1622"/>
      <c r="AB83" s="1622"/>
      <c r="AC83" s="1622"/>
      <c r="AD83" s="1622"/>
      <c r="AE83" s="1622"/>
      <c r="AF83" s="1622"/>
      <c r="AG83" s="1622"/>
      <c r="AH83" s="1622"/>
      <c r="AI83" s="1622"/>
      <c r="AJ83" s="1622"/>
    </row>
    <row r="84" spans="2:36" s="1623" customFormat="1" x14ac:dyDescent="0.2">
      <c r="B84" s="1631" t="str">
        <f>IF(Presentation!$D$2="Français",'TRAD-Children YEAR(1)'!D84,IF(Presentation!$D$2="Anglais",'TRAD-Children YEAR(1)'!E84,""))</f>
        <v>Si enfant &gt; 15 kg pouvant recevoir des formes adultes</v>
      </c>
      <c r="D84" s="1710" t="s">
        <v>213</v>
      </c>
      <c r="E84" s="1622" t="s">
        <v>1402</v>
      </c>
      <c r="F84" s="1711"/>
      <c r="G84" s="1711"/>
      <c r="H84" s="1711"/>
      <c r="I84" s="1711"/>
      <c r="J84" s="1711"/>
      <c r="L84" s="1622"/>
      <c r="M84" s="1622"/>
      <c r="N84" s="1622"/>
      <c r="O84" s="1622"/>
      <c r="P84" s="1622"/>
      <c r="Q84" s="1622"/>
      <c r="R84" s="1622"/>
      <c r="S84" s="1622"/>
      <c r="T84" s="1622"/>
      <c r="U84" s="1622"/>
      <c r="V84" s="1622"/>
      <c r="W84" s="1622"/>
      <c r="X84" s="1622"/>
      <c r="Y84" s="1622"/>
      <c r="Z84" s="1622"/>
      <c r="AA84" s="1622"/>
      <c r="AB84" s="1622"/>
      <c r="AC84" s="1622"/>
      <c r="AD84" s="1622"/>
      <c r="AE84" s="1622"/>
      <c r="AF84" s="1622"/>
      <c r="AG84" s="1622"/>
      <c r="AH84" s="1622"/>
      <c r="AI84" s="1622"/>
      <c r="AJ84" s="1622"/>
    </row>
    <row r="85" spans="2:36" s="1623" customFormat="1" x14ac:dyDescent="0.2">
      <c r="B85" s="1631" t="str">
        <f>IF(Presentation!$D$2="Français",'TRAD-Children YEAR(1)'!D85,IF(Presentation!$D$2="Anglais",'TRAD-Children YEAR(1)'!E85,""))</f>
        <v>Formes adultes</v>
      </c>
      <c r="D85" s="1622" t="s">
        <v>214</v>
      </c>
      <c r="E85" s="1622" t="s">
        <v>1131</v>
      </c>
      <c r="F85" s="1622"/>
      <c r="G85" s="1622"/>
      <c r="H85" s="1622"/>
      <c r="I85" s="1622"/>
      <c r="J85" s="1622"/>
      <c r="K85" s="1622"/>
      <c r="L85" s="1622"/>
      <c r="M85" s="1622"/>
      <c r="N85" s="1622"/>
      <c r="O85" s="1622"/>
      <c r="P85" s="1622"/>
      <c r="Q85" s="1622"/>
      <c r="R85" s="1622"/>
      <c r="S85" s="1622"/>
      <c r="T85" s="1622"/>
      <c r="U85" s="1622"/>
      <c r="V85" s="1622"/>
      <c r="W85" s="1622"/>
      <c r="X85" s="1622"/>
      <c r="Y85" s="1622"/>
      <c r="Z85" s="1622"/>
      <c r="AA85" s="1622"/>
      <c r="AB85" s="1622"/>
      <c r="AC85" s="1622"/>
      <c r="AD85" s="1622"/>
      <c r="AE85" s="1622"/>
      <c r="AF85" s="1622"/>
      <c r="AG85" s="1622"/>
      <c r="AH85" s="1622"/>
      <c r="AI85" s="1622"/>
      <c r="AJ85" s="1622"/>
    </row>
    <row r="86" spans="2:36" s="1623" customFormat="1" x14ac:dyDescent="0.2">
      <c r="B86" s="1631" t="str">
        <f>IF(Presentation!$D$2="Français",'TRAD-Children YEAR(1)'!D86,IF(Presentation!$D$2="Anglais",'TRAD-Children YEAR(1)'!E86,""))</f>
        <v>Poids envisagés</v>
      </c>
      <c r="D86" s="1622" t="s">
        <v>126</v>
      </c>
      <c r="E86" s="1622" t="s">
        <v>1132</v>
      </c>
      <c r="F86" s="1622"/>
      <c r="H86" s="1620"/>
      <c r="I86" s="1620"/>
      <c r="J86" s="1620"/>
      <c r="K86" s="1622"/>
      <c r="L86" s="1622"/>
      <c r="M86" s="1622"/>
      <c r="N86" s="1622"/>
      <c r="O86" s="1622"/>
      <c r="P86" s="1622"/>
      <c r="Q86" s="1622"/>
      <c r="R86" s="1622"/>
      <c r="S86" s="1622"/>
      <c r="T86" s="1622"/>
      <c r="U86" s="1622"/>
      <c r="V86" s="1622"/>
      <c r="W86" s="1622"/>
      <c r="X86" s="1622"/>
      <c r="Y86" s="1622"/>
      <c r="Z86" s="1622"/>
      <c r="AA86" s="1622"/>
      <c r="AB86" s="1622"/>
      <c r="AC86" s="1622"/>
      <c r="AD86" s="1622"/>
      <c r="AE86" s="1622"/>
      <c r="AF86" s="1622"/>
      <c r="AG86" s="1622"/>
      <c r="AH86" s="1622"/>
      <c r="AI86" s="1622"/>
      <c r="AJ86" s="1622"/>
    </row>
    <row r="87" spans="2:36" s="1623" customFormat="1" x14ac:dyDescent="0.2">
      <c r="B87" s="1631" t="str">
        <f>IF(Presentation!$D$2="Français",'TRAD-Children YEAR(1)'!D87,IF(Presentation!$D$2="Anglais",'TRAD-Children YEAR(1)'!E87,""))</f>
        <v>Nb de boites / mois / patient</v>
      </c>
      <c r="D87" s="1622" t="s">
        <v>127</v>
      </c>
      <c r="E87" s="1622" t="s">
        <v>1133</v>
      </c>
      <c r="G87" s="1622"/>
      <c r="H87" s="1620"/>
      <c r="I87" s="1620"/>
      <c r="J87" s="1620"/>
      <c r="K87" s="1620"/>
      <c r="L87" s="1622"/>
      <c r="M87" s="1622"/>
      <c r="N87" s="1622"/>
      <c r="O87" s="1622"/>
      <c r="P87" s="1622"/>
      <c r="Q87" s="1622"/>
      <c r="R87" s="1622"/>
      <c r="S87" s="1622"/>
      <c r="T87" s="1622"/>
      <c r="U87" s="1622"/>
      <c r="V87" s="1622"/>
      <c r="W87" s="1622"/>
      <c r="X87" s="1622"/>
      <c r="Y87" s="1622"/>
      <c r="Z87" s="1622"/>
      <c r="AA87" s="1622"/>
      <c r="AB87" s="1622"/>
      <c r="AC87" s="1622"/>
      <c r="AD87" s="1622"/>
      <c r="AE87" s="1622"/>
      <c r="AF87" s="1622"/>
      <c r="AG87" s="1622"/>
      <c r="AH87" s="1622"/>
      <c r="AI87" s="1622"/>
      <c r="AJ87" s="1622"/>
    </row>
    <row r="88" spans="2:36" s="1623" customFormat="1" x14ac:dyDescent="0.2">
      <c r="B88" s="1631" t="str">
        <f>IF(Presentation!$D$2="Français",'TRAD-Children YEAR(1)'!D88,IF(Presentation!$D$2="Anglais",'TRAD-Children YEAR(1)'!E88,""))</f>
        <v>Total + marge</v>
      </c>
      <c r="D88" s="1622" t="s">
        <v>218</v>
      </c>
      <c r="E88" s="1622" t="s">
        <v>1182</v>
      </c>
      <c r="G88" s="1622"/>
      <c r="H88" s="1620"/>
      <c r="I88" s="1620"/>
      <c r="J88" s="1620"/>
      <c r="K88" s="1620"/>
      <c r="L88" s="1622"/>
      <c r="M88" s="1622"/>
      <c r="N88" s="1622"/>
      <c r="O88" s="1622"/>
      <c r="P88" s="1622"/>
      <c r="Q88" s="1622"/>
      <c r="R88" s="1622"/>
      <c r="S88" s="1622"/>
      <c r="T88" s="1622"/>
      <c r="U88" s="1622"/>
      <c r="V88" s="1622"/>
      <c r="W88" s="1622"/>
      <c r="X88" s="1622"/>
      <c r="Y88" s="1622"/>
      <c r="Z88" s="1622"/>
      <c r="AA88" s="1622"/>
      <c r="AB88" s="1622"/>
      <c r="AC88" s="1622"/>
      <c r="AD88" s="1622"/>
      <c r="AE88" s="1622"/>
      <c r="AF88" s="1622"/>
      <c r="AG88" s="1622"/>
      <c r="AH88" s="1622"/>
      <c r="AI88" s="1622"/>
      <c r="AJ88" s="1622"/>
    </row>
    <row r="89" spans="2:36" s="1623" customFormat="1" x14ac:dyDescent="0.2">
      <c r="B89" s="1631" t="str">
        <f>IF(Presentation!$D$2="Français",'TRAD-Children YEAR(1)'!D89,IF(Presentation!$D$2="Anglais",'TRAD-Children YEAR(1)'!E89,""))</f>
        <v>Récapitulatif</v>
      </c>
      <c r="D89" s="1645" t="s">
        <v>664</v>
      </c>
      <c r="E89" s="1623" t="s">
        <v>1134</v>
      </c>
      <c r="F89" s="1646"/>
      <c r="G89" s="1646"/>
      <c r="H89" s="1646"/>
      <c r="I89" s="1646"/>
      <c r="J89" s="1646"/>
      <c r="K89" s="1646"/>
      <c r="L89" s="1646"/>
      <c r="M89" s="1646"/>
      <c r="N89" s="1646"/>
      <c r="O89" s="1646"/>
      <c r="P89" s="1646"/>
      <c r="Q89" s="1645"/>
      <c r="R89" s="1645"/>
      <c r="S89" s="1645"/>
      <c r="T89" s="1684"/>
      <c r="U89" s="1645"/>
      <c r="V89" s="1645"/>
      <c r="W89" s="1645"/>
      <c r="X89" s="1645"/>
      <c r="Y89" s="1645"/>
      <c r="Z89" s="1645"/>
      <c r="AA89" s="1645"/>
      <c r="AB89" s="1645"/>
      <c r="AC89" s="1645"/>
      <c r="AD89" s="1645"/>
      <c r="AE89" s="1645"/>
      <c r="AF89" s="1645"/>
      <c r="AG89" s="1645"/>
      <c r="AH89" s="1645"/>
      <c r="AI89" s="1645"/>
      <c r="AJ89" s="1645"/>
    </row>
    <row r="90" spans="2:36" s="1623" customFormat="1" x14ac:dyDescent="0.2">
      <c r="B90" s="1631" t="str">
        <f>IF(Presentation!$D$2="Français",'TRAD-Children YEAR(1)'!D90,IF(Presentation!$D$2="Anglais",'TRAD-Children YEAR(1)'!E90,""))</f>
        <v>Solutions buvables</v>
      </c>
      <c r="D90" s="1645" t="s">
        <v>204</v>
      </c>
      <c r="E90" s="1645" t="s">
        <v>1135</v>
      </c>
      <c r="F90" s="1645"/>
      <c r="G90" s="1645"/>
      <c r="H90" s="1645"/>
      <c r="I90" s="1645"/>
      <c r="J90" s="1645"/>
      <c r="K90" s="1645"/>
      <c r="L90" s="1645"/>
      <c r="M90" s="1645"/>
      <c r="N90" s="1645"/>
      <c r="O90" s="1645"/>
      <c r="P90" s="1645"/>
      <c r="Q90" s="1645"/>
      <c r="R90" s="1645"/>
      <c r="S90" s="1645"/>
      <c r="T90" s="1645"/>
      <c r="U90" s="1645"/>
      <c r="V90" s="1645"/>
      <c r="W90" s="1645"/>
      <c r="X90" s="1645"/>
      <c r="Y90" s="1645"/>
      <c r="Z90" s="1645"/>
      <c r="AA90" s="1645"/>
      <c r="AB90" s="1645"/>
      <c r="AC90" s="1645"/>
      <c r="AD90" s="1645"/>
      <c r="AE90" s="1645"/>
      <c r="AF90" s="1645"/>
      <c r="AG90" s="1645"/>
      <c r="AH90" s="1645"/>
      <c r="AI90" s="1645"/>
      <c r="AJ90" s="1645"/>
    </row>
    <row r="91" spans="2:36" s="1623" customFormat="1" x14ac:dyDescent="0.2">
      <c r="B91" s="1631" t="str">
        <f>IF(Presentation!$D$2="Français",'TRAD-Children YEAR(1)'!D91,IF(Presentation!$D$2="Anglais",'TRAD-Children YEAR(1)'!E91,""))</f>
        <v>Comprimés</v>
      </c>
      <c r="D91" s="1645" t="s">
        <v>205</v>
      </c>
      <c r="E91" s="1645" t="s">
        <v>510</v>
      </c>
      <c r="F91" s="1645"/>
      <c r="G91" s="2210"/>
      <c r="H91" s="2210"/>
      <c r="I91" s="2210"/>
      <c r="J91" s="2210"/>
      <c r="K91" s="1645"/>
      <c r="L91" s="1645"/>
      <c r="M91" s="1645"/>
      <c r="N91" s="1645"/>
      <c r="O91" s="1645"/>
      <c r="P91" s="1645"/>
      <c r="Q91" s="1645"/>
      <c r="R91" s="1645"/>
      <c r="S91" s="1645"/>
      <c r="T91" s="1645"/>
      <c r="U91" s="1645"/>
      <c r="V91" s="1645"/>
      <c r="W91" s="1645"/>
      <c r="X91" s="1645"/>
      <c r="Y91" s="1645"/>
      <c r="Z91" s="1645"/>
      <c r="AA91" s="1645"/>
      <c r="AB91" s="1645"/>
      <c r="AC91" s="1645"/>
      <c r="AD91" s="1645"/>
      <c r="AE91" s="1645"/>
      <c r="AF91" s="1645"/>
      <c r="AG91" s="1645"/>
      <c r="AH91" s="1645"/>
      <c r="AI91" s="1645"/>
      <c r="AJ91" s="1645"/>
    </row>
    <row r="92" spans="2:36" s="1623" customFormat="1" x14ac:dyDescent="0.2">
      <c r="B92" s="1631" t="str">
        <f>IF(Presentation!$D$2="Français",'TRAD-Children YEAR(1)'!D92,IF(Presentation!$D$2="Anglais",'TRAD-Children YEAR(1)'!E92,""))</f>
        <v>AZT+3TC+NVP adulte</v>
      </c>
      <c r="D92" s="1622" t="s">
        <v>394</v>
      </c>
      <c r="E92" s="1622" t="s">
        <v>1146</v>
      </c>
      <c r="F92" s="1716"/>
      <c r="G92" s="1716"/>
      <c r="H92" s="1716"/>
      <c r="I92" s="1716"/>
      <c r="J92" s="1716"/>
      <c r="K92" s="1645"/>
      <c r="L92" s="1645"/>
      <c r="M92" s="1645"/>
      <c r="N92" s="1645"/>
      <c r="O92" s="1645"/>
      <c r="P92" s="1645"/>
      <c r="Q92" s="1645"/>
      <c r="R92" s="1645"/>
      <c r="S92" s="1645"/>
      <c r="T92" s="1645"/>
      <c r="U92" s="1645"/>
      <c r="V92" s="1645"/>
      <c r="W92" s="1645"/>
      <c r="X92" s="1645"/>
      <c r="Y92" s="1645"/>
      <c r="Z92" s="1645"/>
      <c r="AA92" s="1645"/>
      <c r="AB92" s="1645"/>
      <c r="AC92" s="1645"/>
      <c r="AD92" s="1645"/>
      <c r="AE92" s="1645"/>
      <c r="AF92" s="1645"/>
      <c r="AG92" s="1645"/>
      <c r="AH92" s="1645"/>
      <c r="AI92" s="1645"/>
      <c r="AJ92" s="1645"/>
    </row>
    <row r="93" spans="2:36" s="1623" customFormat="1" x14ac:dyDescent="0.2">
      <c r="B93" s="1631" t="str">
        <f>IF(Presentation!$D$2="Français",'TRAD-Children YEAR(1)'!D93,IF(Presentation!$D$2="Anglais",'TRAD-Children YEAR(1)'!E93,""))</f>
        <v>AZT+3TC+NVP bébé</v>
      </c>
      <c r="D93" s="1622" t="s">
        <v>1136</v>
      </c>
      <c r="E93" s="1622" t="s">
        <v>386</v>
      </c>
      <c r="F93" s="2210"/>
      <c r="G93" s="2210"/>
      <c r="H93" s="2210"/>
      <c r="I93" s="2210"/>
      <c r="J93" s="2210"/>
      <c r="K93" s="1645"/>
      <c r="L93" s="1645"/>
      <c r="M93" s="1645"/>
      <c r="N93" s="1645"/>
      <c r="O93" s="1645"/>
      <c r="P93" s="1645"/>
      <c r="Q93" s="1645"/>
      <c r="R93" s="1645"/>
      <c r="S93" s="1645"/>
      <c r="T93" s="1645"/>
      <c r="U93" s="1645"/>
      <c r="V93" s="1645"/>
      <c r="W93" s="1645"/>
      <c r="X93" s="1645"/>
      <c r="Y93" s="1645"/>
      <c r="Z93" s="1645"/>
      <c r="AA93" s="1645"/>
      <c r="AB93" s="1645"/>
      <c r="AC93" s="1645"/>
      <c r="AD93" s="1645"/>
      <c r="AE93" s="1645"/>
      <c r="AF93" s="1645"/>
      <c r="AG93" s="1645"/>
      <c r="AH93" s="1645"/>
      <c r="AI93" s="1645"/>
      <c r="AJ93" s="1645"/>
    </row>
    <row r="94" spans="2:36" s="1623" customFormat="1" x14ac:dyDescent="0.2">
      <c r="B94" s="1631" t="str">
        <f>IF(Presentation!$D$2="Français",'TRAD-Children YEAR(1)'!D94,IF(Presentation!$D$2="Anglais",'TRAD-Children YEAR(1)'!E94,""))</f>
        <v>AZT+3TC adulte</v>
      </c>
      <c r="D94" s="1622" t="s">
        <v>395</v>
      </c>
      <c r="E94" s="1622" t="s">
        <v>1147</v>
      </c>
      <c r="F94" s="1631"/>
      <c r="G94" s="1717"/>
      <c r="H94" s="1718"/>
      <c r="I94" s="1717"/>
      <c r="J94" s="1717"/>
      <c r="K94" s="1645"/>
      <c r="L94" s="1645"/>
      <c r="M94" s="1645"/>
      <c r="N94" s="1645"/>
      <c r="O94" s="1645"/>
      <c r="P94" s="1645"/>
      <c r="Q94" s="1645"/>
      <c r="R94" s="1645"/>
      <c r="S94" s="1645"/>
      <c r="T94" s="1645"/>
      <c r="U94" s="1645"/>
      <c r="V94" s="1645"/>
      <c r="W94" s="1645"/>
      <c r="X94" s="1645"/>
      <c r="Y94" s="1645"/>
      <c r="Z94" s="1645"/>
      <c r="AA94" s="1645"/>
      <c r="AB94" s="1645"/>
      <c r="AC94" s="1645"/>
      <c r="AD94" s="1645"/>
      <c r="AE94" s="1645"/>
      <c r="AF94" s="1645"/>
      <c r="AG94" s="1645"/>
      <c r="AH94" s="1645"/>
      <c r="AI94" s="1645"/>
      <c r="AJ94" s="1645"/>
    </row>
    <row r="95" spans="2:36" s="1623" customFormat="1" x14ac:dyDescent="0.2">
      <c r="B95" s="1631" t="str">
        <f>IF(Presentation!$D$2="Français",'TRAD-Children YEAR(1)'!D95,IF(Presentation!$D$2="Anglais",'TRAD-Children YEAR(1)'!E95,""))</f>
        <v>AZT+3TC bébé</v>
      </c>
      <c r="D95" s="1622" t="s">
        <v>1137</v>
      </c>
      <c r="E95" s="1622" t="s">
        <v>387</v>
      </c>
      <c r="F95" s="1631"/>
      <c r="G95" s="1717"/>
      <c r="H95" s="1718"/>
      <c r="I95" s="1717"/>
      <c r="J95" s="1718"/>
      <c r="K95" s="1645"/>
      <c r="L95" s="1645"/>
      <c r="M95" s="1645"/>
      <c r="N95" s="1645"/>
      <c r="O95" s="1645"/>
      <c r="P95" s="1645"/>
      <c r="Q95" s="1645"/>
      <c r="R95" s="1645"/>
      <c r="S95" s="1645"/>
      <c r="T95" s="1645"/>
      <c r="U95" s="1645"/>
      <c r="V95" s="1645"/>
      <c r="W95" s="1645"/>
      <c r="X95" s="1645"/>
      <c r="Y95" s="1645"/>
      <c r="Z95" s="1645"/>
      <c r="AA95" s="1645"/>
      <c r="AB95" s="1645"/>
      <c r="AC95" s="1645"/>
      <c r="AD95" s="1645"/>
      <c r="AE95" s="1645"/>
      <c r="AF95" s="1645"/>
      <c r="AG95" s="1645"/>
      <c r="AH95" s="1645"/>
      <c r="AI95" s="1645"/>
      <c r="AJ95" s="1645"/>
    </row>
    <row r="96" spans="2:36" s="1623" customFormat="1" x14ac:dyDescent="0.2">
      <c r="B96" s="1631" t="str">
        <f>IF(Presentation!$D$2="Français",'TRAD-Children YEAR(1)'!D96,IF(Presentation!$D$2="Anglais",'TRAD-Children YEAR(1)'!E96,""))</f>
        <v>D4T+3TC+NVP adulte</v>
      </c>
      <c r="D96" s="1622" t="s">
        <v>393</v>
      </c>
      <c r="E96" s="1622" t="s">
        <v>1148</v>
      </c>
      <c r="F96" s="1631"/>
      <c r="G96" s="1717"/>
      <c r="H96" s="1718"/>
      <c r="I96" s="1717"/>
      <c r="J96" s="1717"/>
      <c r="K96" s="1645"/>
      <c r="L96" s="1645"/>
      <c r="M96" s="1645"/>
      <c r="N96" s="1645"/>
      <c r="O96" s="1645"/>
      <c r="P96" s="1645"/>
      <c r="Q96" s="1645"/>
      <c r="R96" s="1645"/>
      <c r="S96" s="1645"/>
      <c r="T96" s="1645"/>
      <c r="U96" s="1645"/>
      <c r="V96" s="1645"/>
      <c r="W96" s="1645"/>
      <c r="X96" s="1645"/>
      <c r="Y96" s="1645"/>
      <c r="Z96" s="1645"/>
      <c r="AA96" s="1645"/>
      <c r="AB96" s="1645"/>
      <c r="AC96" s="1645"/>
      <c r="AD96" s="1645"/>
      <c r="AE96" s="1645"/>
      <c r="AF96" s="1645"/>
      <c r="AG96" s="1645"/>
      <c r="AH96" s="1645"/>
      <c r="AI96" s="1645"/>
      <c r="AJ96" s="1645"/>
    </row>
    <row r="97" spans="2:36" s="1623" customFormat="1" x14ac:dyDescent="0.2">
      <c r="B97" s="1631" t="str">
        <f>IF(Presentation!$D$2="Français",'TRAD-Children YEAR(1)'!D97,IF(Presentation!$D$2="Anglais",'TRAD-Children YEAR(1)'!E97,""))</f>
        <v>D4T+3TC+NVP bébé</v>
      </c>
      <c r="D97" s="1622" t="s">
        <v>1138</v>
      </c>
      <c r="E97" s="1622" t="s">
        <v>392</v>
      </c>
      <c r="F97" s="1631"/>
      <c r="G97" s="1717"/>
      <c r="H97" s="1718"/>
      <c r="I97" s="1717"/>
      <c r="J97" s="1717"/>
      <c r="K97" s="1645"/>
      <c r="L97" s="1645"/>
      <c r="M97" s="1645"/>
      <c r="N97" s="1645"/>
      <c r="O97" s="1645"/>
      <c r="P97" s="1645"/>
      <c r="Q97" s="1645"/>
      <c r="R97" s="1645"/>
      <c r="S97" s="1645"/>
      <c r="T97" s="1645"/>
      <c r="U97" s="1645"/>
      <c r="V97" s="1645"/>
      <c r="W97" s="1645"/>
      <c r="X97" s="1645"/>
      <c r="Y97" s="1645"/>
      <c r="Z97" s="1645"/>
      <c r="AA97" s="1645"/>
      <c r="AB97" s="1645"/>
      <c r="AC97" s="1645"/>
      <c r="AD97" s="1645"/>
      <c r="AE97" s="1645"/>
      <c r="AF97" s="1645"/>
      <c r="AG97" s="1645"/>
      <c r="AH97" s="1645"/>
      <c r="AI97" s="1645"/>
      <c r="AJ97" s="1645"/>
    </row>
    <row r="98" spans="2:36" s="1623" customFormat="1" x14ac:dyDescent="0.2">
      <c r="B98" s="1631" t="str">
        <f>IF(Presentation!$D$2="Français",'TRAD-Children YEAR(1)'!D98,IF(Presentation!$D$2="Anglais",'TRAD-Children YEAR(1)'!E98,""))</f>
        <v>D4T+3TC bébé</v>
      </c>
      <c r="D98" s="1622" t="s">
        <v>1139</v>
      </c>
      <c r="E98" s="1622" t="s">
        <v>735</v>
      </c>
      <c r="F98" s="1631"/>
      <c r="G98" s="1717"/>
      <c r="H98" s="1718"/>
      <c r="I98" s="1717"/>
      <c r="J98" s="1717"/>
      <c r="K98" s="1645"/>
      <c r="L98" s="1645"/>
      <c r="M98" s="1645"/>
      <c r="N98" s="1645"/>
      <c r="O98" s="1645"/>
      <c r="P98" s="1645"/>
      <c r="Q98" s="1645"/>
      <c r="R98" s="1645"/>
      <c r="S98" s="1645"/>
      <c r="T98" s="1645"/>
      <c r="U98" s="1645"/>
      <c r="V98" s="1645"/>
      <c r="W98" s="1645"/>
      <c r="X98" s="1645"/>
      <c r="Y98" s="1645"/>
      <c r="Z98" s="1645"/>
      <c r="AA98" s="1645"/>
      <c r="AB98" s="1645"/>
      <c r="AC98" s="1645"/>
      <c r="AD98" s="1645"/>
      <c r="AE98" s="1645"/>
      <c r="AF98" s="1645"/>
      <c r="AG98" s="1645"/>
      <c r="AH98" s="1645"/>
      <c r="AI98" s="1645"/>
      <c r="AJ98" s="1645"/>
    </row>
    <row r="99" spans="2:36" s="1623" customFormat="1" x14ac:dyDescent="0.2">
      <c r="B99" s="1631" t="str">
        <f>IF(Presentation!$D$2="Français",'TRAD-Children YEAR(1)'!D99,IF(Presentation!$D$2="Anglais",'TRAD-Children YEAR(1)'!E99,""))</f>
        <v>AZT+3TC+ABC adulte</v>
      </c>
      <c r="D99" s="1622" t="s">
        <v>650</v>
      </c>
      <c r="E99" s="1622" t="s">
        <v>1149</v>
      </c>
      <c r="F99" s="1631"/>
      <c r="G99" s="1717"/>
      <c r="H99" s="1718"/>
      <c r="I99" s="1717"/>
      <c r="J99" s="1717"/>
      <c r="K99" s="1645"/>
      <c r="L99" s="1645"/>
      <c r="M99" s="1645"/>
      <c r="N99" s="1645"/>
      <c r="O99" s="1645"/>
      <c r="P99" s="1645"/>
      <c r="Q99" s="1645"/>
      <c r="R99" s="1645"/>
      <c r="S99" s="1645"/>
      <c r="T99" s="1645"/>
      <c r="U99" s="1645"/>
      <c r="V99" s="1645"/>
      <c r="W99" s="1645"/>
      <c r="X99" s="1645"/>
      <c r="Y99" s="1645"/>
      <c r="Z99" s="1645"/>
      <c r="AA99" s="1645"/>
      <c r="AB99" s="1645"/>
      <c r="AC99" s="1645"/>
      <c r="AD99" s="1645"/>
      <c r="AE99" s="1645"/>
      <c r="AF99" s="1645"/>
      <c r="AG99" s="1645"/>
      <c r="AH99" s="1645"/>
      <c r="AI99" s="1645"/>
      <c r="AJ99" s="1645"/>
    </row>
    <row r="100" spans="2:36" s="1623" customFormat="1" x14ac:dyDescent="0.2">
      <c r="B100" s="1631" t="str">
        <f>IF(Presentation!$D$2="Français",'TRAD-Children YEAR(1)'!D100,IF(Presentation!$D$2="Anglais",'TRAD-Children YEAR(1)'!E100,""))</f>
        <v>AZT+3TC+ABC bébé</v>
      </c>
      <c r="D100" s="1622" t="s">
        <v>1140</v>
      </c>
      <c r="E100" s="1622" t="s">
        <v>635</v>
      </c>
      <c r="F100" s="1631"/>
      <c r="G100" s="1717"/>
      <c r="H100" s="1718"/>
      <c r="I100" s="1717"/>
      <c r="J100" s="1717"/>
      <c r="K100" s="1645"/>
      <c r="L100" s="1645"/>
      <c r="M100" s="1645"/>
      <c r="N100" s="1645"/>
      <c r="O100" s="1645"/>
      <c r="P100" s="1645"/>
      <c r="Q100" s="1645"/>
      <c r="R100" s="1645"/>
      <c r="S100" s="1645"/>
      <c r="T100" s="1645"/>
      <c r="U100" s="1645"/>
      <c r="V100" s="1645"/>
      <c r="W100" s="1645"/>
      <c r="X100" s="1645"/>
      <c r="Y100" s="1645"/>
      <c r="Z100" s="1645"/>
      <c r="AA100" s="1645"/>
      <c r="AB100" s="1645"/>
      <c r="AC100" s="1645"/>
      <c r="AD100" s="1645"/>
      <c r="AE100" s="1645"/>
      <c r="AF100" s="1645"/>
      <c r="AG100" s="1645"/>
      <c r="AH100" s="1645"/>
      <c r="AI100" s="1645"/>
      <c r="AJ100" s="1645"/>
    </row>
    <row r="101" spans="2:36" s="1623" customFormat="1" x14ac:dyDescent="0.2">
      <c r="B101" s="1631" t="str">
        <f>IF(Presentation!$D$2="Français",'TRAD-Children YEAR(1)'!D101,IF(Presentation!$D$2="Anglais",'TRAD-Children YEAR(1)'!E101,""))</f>
        <v>ABC+3TC adulte</v>
      </c>
      <c r="D101" s="1622" t="s">
        <v>743</v>
      </c>
      <c r="E101" s="1622" t="s">
        <v>1150</v>
      </c>
      <c r="F101" s="1631"/>
      <c r="G101" s="1717"/>
      <c r="H101" s="1718"/>
      <c r="I101" s="1717"/>
      <c r="J101" s="1718"/>
      <c r="K101" s="1645"/>
      <c r="L101" s="1645"/>
      <c r="M101" s="1645"/>
      <c r="N101" s="1645"/>
      <c r="O101" s="1645"/>
      <c r="P101" s="1645"/>
      <c r="Q101" s="1645"/>
      <c r="R101" s="1645"/>
      <c r="S101" s="1645"/>
      <c r="T101" s="1645"/>
      <c r="U101" s="1645"/>
      <c r="V101" s="1645"/>
      <c r="W101" s="1645"/>
      <c r="X101" s="1645"/>
      <c r="Y101" s="1645"/>
      <c r="Z101" s="1645"/>
      <c r="AA101" s="1645"/>
      <c r="AB101" s="1645"/>
      <c r="AC101" s="1645"/>
      <c r="AD101" s="1645"/>
      <c r="AE101" s="1645"/>
      <c r="AF101" s="1645"/>
      <c r="AG101" s="1645"/>
      <c r="AH101" s="1645"/>
      <c r="AI101" s="1645"/>
      <c r="AJ101" s="1645"/>
    </row>
    <row r="102" spans="2:36" s="1623" customFormat="1" x14ac:dyDescent="0.2">
      <c r="B102" s="1631" t="str">
        <f>IF(Presentation!$D$2="Français",'TRAD-Children YEAR(1)'!D102,IF(Presentation!$D$2="Anglais",'TRAD-Children YEAR(1)'!E102,""))</f>
        <v>ABC+3TC bébé</v>
      </c>
      <c r="D102" s="1622" t="s">
        <v>1141</v>
      </c>
      <c r="E102" s="1622" t="s">
        <v>575</v>
      </c>
      <c r="G102" s="1718"/>
      <c r="H102" s="1718"/>
      <c r="I102" s="1718"/>
      <c r="J102" s="1718"/>
      <c r="K102" s="1625"/>
      <c r="L102" s="1622"/>
      <c r="M102" s="1645"/>
      <c r="N102" s="1645"/>
      <c r="O102" s="1645"/>
      <c r="P102" s="1645"/>
      <c r="Q102" s="1645"/>
      <c r="R102" s="1645"/>
      <c r="S102" s="1645"/>
      <c r="T102" s="1645"/>
      <c r="U102" s="1645"/>
      <c r="V102" s="1645"/>
      <c r="W102" s="1645"/>
      <c r="X102" s="1645"/>
      <c r="Y102" s="1645"/>
      <c r="Z102" s="1645"/>
      <c r="AA102" s="1645"/>
      <c r="AB102" s="1645"/>
      <c r="AC102" s="1645"/>
      <c r="AD102" s="1645"/>
      <c r="AE102" s="1645"/>
      <c r="AF102" s="1645"/>
      <c r="AG102" s="1645"/>
      <c r="AH102" s="1645"/>
      <c r="AI102" s="1645"/>
      <c r="AJ102" s="1645"/>
    </row>
    <row r="103" spans="2:36" s="1623" customFormat="1" x14ac:dyDescent="0.2">
      <c r="B103" s="1631" t="str">
        <f>IF(Presentation!$D$2="Français",'TRAD-Children YEAR(1)'!D103,IF(Presentation!$D$2="Anglais",'TRAD-Children YEAR(1)'!E103,""))</f>
        <v>3TC bébé</v>
      </c>
      <c r="D103" s="1622" t="s">
        <v>1142</v>
      </c>
      <c r="E103" s="1622" t="s">
        <v>749</v>
      </c>
      <c r="G103" s="1718"/>
      <c r="H103" s="1718"/>
      <c r="I103" s="1718"/>
      <c r="J103" s="1718"/>
      <c r="K103" s="1625"/>
      <c r="L103" s="1622"/>
      <c r="M103" s="1645"/>
      <c r="N103" s="1645"/>
      <c r="O103" s="1645"/>
      <c r="P103" s="1645"/>
      <c r="Q103" s="1645"/>
      <c r="R103" s="1645"/>
      <c r="S103" s="1645"/>
      <c r="T103" s="1645"/>
      <c r="U103" s="1645"/>
      <c r="V103" s="1645"/>
      <c r="W103" s="1645"/>
      <c r="X103" s="1645"/>
      <c r="Y103" s="1645"/>
      <c r="Z103" s="1645"/>
      <c r="AA103" s="1645"/>
      <c r="AB103" s="1645"/>
      <c r="AC103" s="1645"/>
      <c r="AD103" s="1645"/>
      <c r="AE103" s="1645"/>
      <c r="AF103" s="1645"/>
      <c r="AG103" s="1645"/>
      <c r="AH103" s="1645"/>
      <c r="AI103" s="1645"/>
      <c r="AJ103" s="1645"/>
    </row>
    <row r="104" spans="2:36" s="1623" customFormat="1" x14ac:dyDescent="0.2">
      <c r="B104" s="1631" t="str">
        <f>IF(Presentation!$D$2="Français",'TRAD-Children YEAR(1)'!D104,IF(Presentation!$D$2="Anglais",'TRAD-Children YEAR(1)'!E104,""))</f>
        <v>ABC adulte</v>
      </c>
      <c r="D104" s="1622" t="s">
        <v>651</v>
      </c>
      <c r="E104" s="1622" t="s">
        <v>1151</v>
      </c>
      <c r="G104" s="1718"/>
      <c r="H104" s="1718"/>
      <c r="I104" s="1718"/>
      <c r="J104" s="1718"/>
      <c r="K104" s="1625"/>
      <c r="L104" s="1622"/>
      <c r="M104" s="1645"/>
      <c r="N104" s="1645"/>
      <c r="O104" s="1645"/>
      <c r="P104" s="1645"/>
      <c r="Q104" s="1645"/>
      <c r="R104" s="1645"/>
      <c r="S104" s="1645"/>
      <c r="T104" s="1645"/>
      <c r="U104" s="1645"/>
      <c r="V104" s="1645"/>
      <c r="W104" s="1645"/>
      <c r="X104" s="1645"/>
      <c r="Y104" s="1645"/>
      <c r="Z104" s="1645"/>
      <c r="AA104" s="1645"/>
      <c r="AB104" s="1645"/>
      <c r="AC104" s="1645"/>
      <c r="AD104" s="1645"/>
      <c r="AE104" s="1645"/>
      <c r="AF104" s="1645"/>
      <c r="AG104" s="1645"/>
      <c r="AH104" s="1645"/>
      <c r="AI104" s="1645"/>
      <c r="AJ104" s="1645"/>
    </row>
    <row r="105" spans="2:36" s="1623" customFormat="1" x14ac:dyDescent="0.2">
      <c r="B105" s="1631" t="str">
        <f>IF(Presentation!$D$2="Français",'TRAD-Children YEAR(1)'!D105,IF(Presentation!$D$2="Anglais",'TRAD-Children YEAR(1)'!E105,""))</f>
        <v>ABC bébé</v>
      </c>
      <c r="D105" s="1622" t="s">
        <v>1143</v>
      </c>
      <c r="E105" s="1622" t="s">
        <v>648</v>
      </c>
      <c r="G105" s="1718"/>
      <c r="H105" s="1718"/>
      <c r="I105" s="1718"/>
      <c r="J105" s="1718"/>
      <c r="K105" s="1625"/>
      <c r="L105" s="1622"/>
      <c r="M105" s="1645"/>
      <c r="N105" s="1645"/>
      <c r="O105" s="1645"/>
      <c r="P105" s="1645"/>
      <c r="Q105" s="1645"/>
      <c r="R105" s="1645"/>
      <c r="S105" s="1645"/>
      <c r="T105" s="1645"/>
      <c r="U105" s="1645"/>
      <c r="V105" s="1645"/>
      <c r="W105" s="1645"/>
      <c r="X105" s="1645"/>
      <c r="Y105" s="1645"/>
      <c r="Z105" s="1645"/>
      <c r="AA105" s="1645"/>
      <c r="AB105" s="1645"/>
      <c r="AC105" s="1645"/>
      <c r="AD105" s="1645"/>
      <c r="AE105" s="1645"/>
      <c r="AF105" s="1645"/>
      <c r="AG105" s="1645"/>
      <c r="AH105" s="1645"/>
      <c r="AI105" s="1645"/>
      <c r="AJ105" s="1645"/>
    </row>
    <row r="106" spans="2:36" s="1623" customFormat="1" x14ac:dyDescent="0.2">
      <c r="B106" s="1631" t="str">
        <f>IF(Presentation!$D$2="Français",'TRAD-Children YEAR(1)'!D106,IF(Presentation!$D$2="Anglais",'TRAD-Children YEAR(1)'!E106,""))</f>
        <v>NVP CP</v>
      </c>
      <c r="D106" s="1622" t="s">
        <v>1178</v>
      </c>
      <c r="E106" s="1622" t="s">
        <v>1179</v>
      </c>
      <c r="G106" s="1718"/>
      <c r="H106" s="1718"/>
      <c r="I106" s="1718"/>
      <c r="J106" s="1718"/>
      <c r="K106" s="1625"/>
      <c r="L106" s="1622"/>
      <c r="M106" s="1645"/>
      <c r="N106" s="1645"/>
      <c r="O106" s="1645"/>
      <c r="P106" s="1645"/>
      <c r="Q106" s="1645"/>
      <c r="R106" s="1645"/>
      <c r="S106" s="1645"/>
      <c r="T106" s="1645"/>
      <c r="U106" s="1645"/>
      <c r="V106" s="1645"/>
      <c r="W106" s="1645"/>
      <c r="X106" s="1645"/>
      <c r="Y106" s="1645"/>
      <c r="Z106" s="1645"/>
      <c r="AA106" s="1645"/>
      <c r="AB106" s="1645"/>
      <c r="AC106" s="1645"/>
      <c r="AD106" s="1645"/>
      <c r="AE106" s="1645"/>
      <c r="AF106" s="1645"/>
      <c r="AG106" s="1645"/>
      <c r="AH106" s="1645"/>
      <c r="AI106" s="1645"/>
      <c r="AJ106" s="1645"/>
    </row>
    <row r="107" spans="2:36" s="1623" customFormat="1" x14ac:dyDescent="0.2">
      <c r="B107" s="1631" t="str">
        <f>IF(Presentation!$D$2="Français",'TRAD-Children YEAR(1)'!D107,IF(Presentation!$D$2="Anglais",'TRAD-Children YEAR(1)'!E107,""))</f>
        <v>NVP bébé</v>
      </c>
      <c r="D107" s="1622" t="s">
        <v>1144</v>
      </c>
      <c r="E107" s="1622" t="s">
        <v>747</v>
      </c>
      <c r="G107" s="1718"/>
      <c r="H107" s="1718"/>
      <c r="I107" s="1718"/>
      <c r="J107" s="1718"/>
      <c r="K107" s="1625"/>
      <c r="L107" s="1622"/>
      <c r="M107" s="1645"/>
      <c r="N107" s="1645"/>
      <c r="O107" s="1645"/>
      <c r="P107" s="1645"/>
      <c r="Q107" s="1645"/>
      <c r="R107" s="1645"/>
      <c r="S107" s="1645"/>
      <c r="T107" s="1645"/>
      <c r="U107" s="1645"/>
      <c r="V107" s="1645"/>
      <c r="W107" s="1645"/>
      <c r="X107" s="1645"/>
      <c r="Y107" s="1645"/>
      <c r="Z107" s="1645"/>
      <c r="AA107" s="1645"/>
      <c r="AB107" s="1645"/>
      <c r="AC107" s="1645"/>
      <c r="AD107" s="1645"/>
      <c r="AE107" s="1645"/>
      <c r="AF107" s="1645"/>
      <c r="AG107" s="1645"/>
      <c r="AH107" s="1645"/>
      <c r="AI107" s="1645"/>
      <c r="AJ107" s="1645"/>
    </row>
    <row r="108" spans="2:36" s="1623" customFormat="1" x14ac:dyDescent="0.2">
      <c r="B108" s="1631" t="str">
        <f>IF(Presentation!$D$2="Français",'TRAD-Children YEAR(1)'!D108,IF(Presentation!$D$2="Anglais",'TRAD-Children YEAR(1)'!E108,""))</f>
        <v xml:space="preserve">LPV/r adulte </v>
      </c>
      <c r="D108" s="1622" t="s">
        <v>748</v>
      </c>
      <c r="E108" s="1622" t="s">
        <v>1152</v>
      </c>
      <c r="G108" s="1718"/>
      <c r="H108" s="1718"/>
      <c r="I108" s="1718"/>
      <c r="J108" s="1718"/>
      <c r="K108" s="1625"/>
      <c r="L108" s="1622"/>
      <c r="M108" s="1645"/>
      <c r="N108" s="1645"/>
      <c r="O108" s="1645"/>
      <c r="P108" s="1645"/>
      <c r="Q108" s="1645"/>
      <c r="R108" s="1645"/>
      <c r="S108" s="1645"/>
      <c r="T108" s="1645"/>
      <c r="U108" s="1645"/>
      <c r="V108" s="1645"/>
      <c r="W108" s="1645"/>
      <c r="X108" s="1645"/>
      <c r="Y108" s="1645"/>
      <c r="Z108" s="1645"/>
      <c r="AA108" s="1645"/>
      <c r="AB108" s="1645"/>
      <c r="AC108" s="1645"/>
      <c r="AD108" s="1645"/>
      <c r="AE108" s="1645"/>
      <c r="AF108" s="1645"/>
      <c r="AG108" s="1645"/>
      <c r="AH108" s="1645"/>
      <c r="AI108" s="1645"/>
      <c r="AJ108" s="1645"/>
    </row>
    <row r="109" spans="2:36" s="1623" customFormat="1" x14ac:dyDescent="0.2">
      <c r="B109" s="1631" t="str">
        <f>IF(Presentation!$D$2="Français",'TRAD-Children YEAR(1)'!D109,IF(Presentation!$D$2="Anglais",'TRAD-Children YEAR(1)'!E109,""))</f>
        <v>LPV/r bébé</v>
      </c>
      <c r="D109" s="1622" t="s">
        <v>1145</v>
      </c>
      <c r="E109" s="1622" t="s">
        <v>638</v>
      </c>
      <c r="G109" s="1718"/>
      <c r="H109" s="1718"/>
      <c r="I109" s="1718"/>
      <c r="J109" s="1718"/>
      <c r="K109" s="1625"/>
      <c r="L109" s="1622"/>
      <c r="M109" s="1645"/>
      <c r="N109" s="1645"/>
      <c r="O109" s="1645"/>
      <c r="P109" s="1645"/>
      <c r="Q109" s="1645"/>
      <c r="R109" s="1645"/>
      <c r="S109" s="1645"/>
      <c r="T109" s="1645"/>
      <c r="U109" s="1645"/>
      <c r="V109" s="1645"/>
      <c r="W109" s="1645"/>
      <c r="X109" s="1645"/>
      <c r="Y109" s="1645"/>
      <c r="Z109" s="1645"/>
      <c r="AA109" s="1645"/>
      <c r="AB109" s="1645"/>
      <c r="AC109" s="1645"/>
      <c r="AD109" s="1645"/>
      <c r="AE109" s="1645"/>
      <c r="AF109" s="1645"/>
      <c r="AG109" s="1645"/>
      <c r="AH109" s="1645"/>
      <c r="AI109" s="1645"/>
      <c r="AJ109" s="1645"/>
    </row>
    <row r="110" spans="2:36" s="1623" customFormat="1" x14ac:dyDescent="0.2">
      <c r="B110" s="1631" t="str">
        <f>IF(Presentation!$D$2="Français",'TRAD-Children YEAR(1)'!D110,IF(Presentation!$D$2="Anglais",'TRAD-Children YEAR(1)'!E110,""))</f>
        <v>Récapitulatif</v>
      </c>
      <c r="D110" s="1622" t="s">
        <v>664</v>
      </c>
      <c r="E110" s="1622" t="s">
        <v>1134</v>
      </c>
      <c r="G110" s="1718"/>
      <c r="H110" s="1718"/>
      <c r="I110" s="1718"/>
      <c r="J110" s="1718"/>
      <c r="K110" s="1625"/>
      <c r="L110" s="1622"/>
      <c r="M110" s="1645"/>
      <c r="N110" s="1645"/>
      <c r="O110" s="1645"/>
      <c r="P110" s="1645"/>
      <c r="Q110" s="1645"/>
      <c r="R110" s="1645"/>
      <c r="S110" s="1645"/>
      <c r="T110" s="1645"/>
      <c r="U110" s="1645"/>
      <c r="V110" s="1645"/>
      <c r="W110" s="1645"/>
      <c r="X110" s="1645"/>
      <c r="Y110" s="1645"/>
      <c r="Z110" s="1645"/>
      <c r="AA110" s="1645"/>
      <c r="AB110" s="1645"/>
      <c r="AC110" s="1645"/>
      <c r="AD110" s="1645"/>
      <c r="AE110" s="1645"/>
      <c r="AF110" s="1645"/>
      <c r="AG110" s="1645"/>
      <c r="AH110" s="1645"/>
      <c r="AI110" s="1645"/>
      <c r="AJ110" s="1645"/>
    </row>
    <row r="111" spans="2:36" s="1623" customFormat="1" x14ac:dyDescent="0.2">
      <c r="B111" s="1631" t="str">
        <f>IF(Presentation!$D$2="Français",'TRAD-Children YEAR(1)'!D111,IF(Presentation!$D$2="Anglais",'TRAD-Children YEAR(1)'!E111,""))</f>
        <v>Détails des calculs Quantification</v>
      </c>
      <c r="D111" s="1645" t="s">
        <v>670</v>
      </c>
      <c r="E111" s="1645" t="s">
        <v>1403</v>
      </c>
      <c r="F111" s="1646"/>
      <c r="G111" s="1646"/>
      <c r="H111" s="1646"/>
      <c r="I111" s="1646"/>
      <c r="J111" s="1646"/>
      <c r="K111" s="1646"/>
      <c r="L111" s="1646"/>
      <c r="M111" s="1646"/>
      <c r="N111" s="1646"/>
      <c r="O111" s="1646"/>
      <c r="P111" s="1645"/>
      <c r="Q111" s="1645"/>
      <c r="R111" s="1645"/>
      <c r="S111" s="1645"/>
      <c r="T111" s="1645"/>
      <c r="U111" s="1645"/>
      <c r="V111" s="1645"/>
      <c r="W111" s="1645"/>
      <c r="X111" s="1645"/>
      <c r="Y111" s="1645"/>
      <c r="Z111" s="1645"/>
      <c r="AA111" s="1645"/>
      <c r="AB111" s="1645"/>
      <c r="AC111" s="1645"/>
      <c r="AD111" s="1645"/>
      <c r="AE111" s="1645"/>
      <c r="AF111" s="1645"/>
      <c r="AG111" s="1645"/>
      <c r="AH111" s="1645"/>
      <c r="AI111" s="1645"/>
      <c r="AJ111" s="1645"/>
    </row>
    <row r="112" spans="2:36" s="1623" customFormat="1" x14ac:dyDescent="0.2">
      <c r="B112" s="1631" t="str">
        <f>IF(Presentation!$D$2="Français",'TRAD-Children YEAR(1)'!D112,IF(Presentation!$D$2="Anglais",'TRAD-Children YEAR(1)'!E112,""))</f>
        <v>Tranche 3 - 9,9 kg</v>
      </c>
      <c r="D112" s="1719" t="s">
        <v>652</v>
      </c>
      <c r="E112" s="1645" t="s">
        <v>1153</v>
      </c>
      <c r="F112" s="1645"/>
      <c r="G112" s="1645"/>
      <c r="H112" s="1645"/>
      <c r="I112" s="1645"/>
      <c r="J112" s="1645"/>
      <c r="K112" s="1645"/>
      <c r="L112" s="1645"/>
      <c r="M112" s="1645"/>
      <c r="N112" s="1645"/>
      <c r="O112" s="1645"/>
      <c r="P112" s="1645"/>
      <c r="Q112" s="1645"/>
      <c r="R112" s="1645"/>
      <c r="S112" s="1645"/>
      <c r="T112" s="1645"/>
      <c r="U112" s="1645"/>
      <c r="V112" s="1645"/>
      <c r="W112" s="1645"/>
      <c r="X112" s="1645"/>
      <c r="Y112" s="1645"/>
      <c r="Z112" s="1645"/>
      <c r="AA112" s="1645"/>
      <c r="AB112" s="1645"/>
      <c r="AC112" s="1645"/>
      <c r="AD112" s="1645"/>
      <c r="AE112" s="1645"/>
      <c r="AF112" s="1645"/>
      <c r="AG112" s="1645"/>
      <c r="AH112" s="1645"/>
      <c r="AI112" s="1645"/>
      <c r="AJ112" s="1645"/>
    </row>
    <row r="113" spans="2:36" s="1623" customFormat="1" x14ac:dyDescent="0.2">
      <c r="B113" s="1631" t="str">
        <f>IF(Presentation!$D$2="Français",'TRAD-Children YEAR(1)'!D113,IF(Presentation!$D$2="Anglais",'TRAD-Children YEAR(1)'!E113,""))</f>
        <v>Nb de boites / mois pour l'ensemble des patients</v>
      </c>
      <c r="D113" s="1622" t="s">
        <v>128</v>
      </c>
      <c r="E113" s="1623" t="s">
        <v>1154</v>
      </c>
      <c r="F113" s="1645"/>
      <c r="G113" s="1720"/>
      <c r="H113" s="1720"/>
      <c r="I113" s="1720"/>
      <c r="J113" s="1720"/>
      <c r="K113" s="1720"/>
      <c r="L113" s="1720"/>
      <c r="M113" s="1645"/>
      <c r="N113" s="1645"/>
      <c r="O113" s="1645"/>
      <c r="P113" s="1645"/>
      <c r="Q113" s="1645"/>
      <c r="R113" s="1645"/>
      <c r="S113" s="1645"/>
      <c r="T113" s="1645"/>
      <c r="U113" s="1645"/>
      <c r="V113" s="1645"/>
      <c r="W113" s="1645"/>
      <c r="X113" s="1645"/>
      <c r="Y113" s="1645"/>
      <c r="Z113" s="1645"/>
      <c r="AA113" s="1645"/>
      <c r="AB113" s="1645"/>
      <c r="AC113" s="1645"/>
      <c r="AD113" s="1645"/>
      <c r="AE113" s="1645"/>
      <c r="AF113" s="1645"/>
      <c r="AG113" s="1645"/>
      <c r="AH113" s="1645"/>
      <c r="AI113" s="1645"/>
      <c r="AJ113" s="1645"/>
    </row>
    <row r="114" spans="2:36" s="1623" customFormat="1" x14ac:dyDescent="0.2">
      <c r="B114" s="1631" t="str">
        <f>IF(Presentation!$D$2="Français",'TRAD-Children YEAR(1)'!D114,IF(Presentation!$D$2="Anglais",'TRAD-Children YEAR(1)'!E114,""))</f>
        <v>Dosage</v>
      </c>
      <c r="D114" s="1622" t="s">
        <v>2</v>
      </c>
      <c r="E114" s="1719" t="s">
        <v>512</v>
      </c>
      <c r="F114" s="1645"/>
      <c r="G114" s="1720"/>
      <c r="H114" s="1720"/>
      <c r="I114" s="1720"/>
      <c r="J114" s="1720"/>
      <c r="K114" s="1720"/>
      <c r="L114" s="1720"/>
      <c r="M114" s="1645"/>
      <c r="N114" s="1645"/>
      <c r="O114" s="1645"/>
      <c r="P114" s="1645"/>
      <c r="Q114" s="1645"/>
      <c r="R114" s="1645"/>
      <c r="S114" s="1645"/>
      <c r="T114" s="1645"/>
      <c r="U114" s="1645"/>
      <c r="V114" s="1645"/>
      <c r="W114" s="1645"/>
      <c r="X114" s="1645"/>
      <c r="Y114" s="1645"/>
      <c r="Z114" s="1645"/>
      <c r="AA114" s="1645"/>
      <c r="AB114" s="1645"/>
      <c r="AC114" s="1645"/>
      <c r="AD114" s="1645"/>
      <c r="AE114" s="1645"/>
      <c r="AF114" s="1645"/>
      <c r="AG114" s="1645"/>
      <c r="AH114" s="1645"/>
      <c r="AI114" s="1645"/>
      <c r="AJ114" s="1645"/>
    </row>
    <row r="115" spans="2:36" s="1623" customFormat="1" x14ac:dyDescent="0.2">
      <c r="B115" s="1631" t="str">
        <f>IF(Presentation!$D$2="Français",'TRAD-Children YEAR(1)'!D115,IF(Presentation!$D$2="Anglais",'TRAD-Children YEAR(1)'!E115,""))</f>
        <v>Nb de cdt/mois pour la tranche</v>
      </c>
      <c r="D115" s="1623" t="s">
        <v>653</v>
      </c>
      <c r="E115" s="1645" t="s">
        <v>1155</v>
      </c>
      <c r="F115" s="1645"/>
      <c r="G115" s="1721"/>
      <c r="H115" s="1645"/>
      <c r="I115" s="1645"/>
      <c r="J115" s="1645"/>
      <c r="K115" s="1645"/>
      <c r="L115" s="1645"/>
      <c r="M115" s="1645"/>
      <c r="N115" s="1645"/>
      <c r="O115" s="1721"/>
      <c r="P115" s="1645"/>
      <c r="Q115" s="1645"/>
      <c r="R115" s="1645"/>
      <c r="S115" s="1645"/>
      <c r="T115" s="1645"/>
      <c r="U115" s="1645"/>
      <c r="V115" s="1645"/>
      <c r="W115" s="1645"/>
      <c r="X115" s="1645"/>
      <c r="Y115" s="1645"/>
      <c r="Z115" s="1645"/>
      <c r="AA115" s="1645"/>
      <c r="AB115" s="1645"/>
      <c r="AC115" s="1645"/>
      <c r="AD115" s="1645"/>
      <c r="AE115" s="1645"/>
      <c r="AF115" s="1645"/>
      <c r="AG115" s="1645"/>
      <c r="AH115" s="1645"/>
      <c r="AI115" s="1645"/>
      <c r="AJ115" s="1645"/>
    </row>
    <row r="116" spans="2:36" s="1623" customFormat="1" x14ac:dyDescent="0.2">
      <c r="B116" s="1631" t="str">
        <f>IF(Presentation!$D$2="Français",'TRAD-Children YEAR(1)'!D116,IF(Presentation!$D$2="Anglais",'TRAD-Children YEAR(1)'!E116,""))</f>
        <v>Premières lignes</v>
      </c>
      <c r="D116" s="1623" t="s">
        <v>655</v>
      </c>
      <c r="E116" s="1645" t="s">
        <v>1156</v>
      </c>
      <c r="G116" s="1625"/>
      <c r="H116" s="1625"/>
      <c r="I116" s="1625"/>
      <c r="J116" s="1625"/>
      <c r="K116" s="1625"/>
      <c r="L116" s="1625"/>
      <c r="M116" s="1625"/>
      <c r="N116" s="1625"/>
      <c r="O116" s="1618"/>
      <c r="P116" s="1618"/>
      <c r="Q116" s="1618"/>
      <c r="R116" s="1618"/>
      <c r="S116" s="1618"/>
      <c r="T116" s="1618"/>
      <c r="U116" s="1618"/>
      <c r="V116" s="1618"/>
      <c r="W116" s="1618"/>
      <c r="X116" s="1618"/>
      <c r="Y116" s="1618"/>
      <c r="Z116" s="1618"/>
      <c r="AA116" s="1618"/>
      <c r="AB116" s="1618"/>
      <c r="AC116" s="1618"/>
      <c r="AD116" s="1618"/>
      <c r="AE116" s="1618"/>
      <c r="AF116" s="1618"/>
      <c r="AG116" s="1618"/>
      <c r="AH116" s="1618"/>
      <c r="AI116" s="1645"/>
      <c r="AJ116" s="1645"/>
    </row>
    <row r="117" spans="2:36" s="1623" customFormat="1" x14ac:dyDescent="0.2">
      <c r="B117" s="1631" t="str">
        <f>IF(Presentation!$D$2="Français",'TRAD-Children YEAR(1)'!D117,IF(Presentation!$D$2="Anglais",'TRAD-Children YEAR(1)'!E117,""))</f>
        <v>Deuxièmes lignes</v>
      </c>
      <c r="D117" s="1623" t="s">
        <v>656</v>
      </c>
      <c r="E117" s="1645" t="s">
        <v>1157</v>
      </c>
      <c r="G117" s="1625"/>
      <c r="H117" s="1625"/>
      <c r="I117" s="1625"/>
      <c r="J117" s="1625"/>
      <c r="K117" s="1625"/>
      <c r="L117" s="1625"/>
      <c r="M117" s="1625"/>
      <c r="N117" s="1625"/>
      <c r="O117" s="1618"/>
      <c r="P117" s="1618"/>
      <c r="Q117" s="1618"/>
      <c r="R117" s="1618"/>
      <c r="S117" s="1618"/>
      <c r="T117" s="1618"/>
      <c r="U117" s="1618"/>
      <c r="V117" s="1618"/>
      <c r="W117" s="1618"/>
      <c r="X117" s="1618"/>
      <c r="Y117" s="1618"/>
      <c r="Z117" s="1618"/>
      <c r="AA117" s="1618"/>
      <c r="AB117" s="1618"/>
      <c r="AC117" s="1618"/>
      <c r="AD117" s="1618"/>
      <c r="AE117" s="1618"/>
      <c r="AF117" s="1618"/>
      <c r="AG117" s="1618"/>
      <c r="AH117" s="1618"/>
      <c r="AI117" s="1645"/>
      <c r="AJ117" s="1645"/>
    </row>
    <row r="118" spans="2:36" s="1623" customFormat="1" ht="75" x14ac:dyDescent="0.2">
      <c r="B118" s="1631" t="str">
        <f>IF(Presentation!$D$2="Français",'TRAD-Children YEAR(1)'!D118,IF(Presentation!$D$2="Anglais",'TRAD-Children YEAR(1)'!E118,""))</f>
        <v>Nb de patients-mois / produit - SANS SS</v>
      </c>
      <c r="D118" s="1645" t="s">
        <v>680</v>
      </c>
      <c r="E118" s="1645" t="s">
        <v>1158</v>
      </c>
      <c r="G118" s="1722"/>
      <c r="H118" s="1722"/>
      <c r="I118" s="1722"/>
      <c r="J118" s="1722"/>
      <c r="K118" s="1722"/>
      <c r="L118" s="1722"/>
      <c r="M118" s="1722"/>
      <c r="N118" s="1716"/>
      <c r="O118" s="1716"/>
      <c r="P118" s="1716"/>
      <c r="Q118" s="1716"/>
      <c r="R118" s="1716"/>
      <c r="S118" s="1716"/>
      <c r="T118" s="1716"/>
      <c r="U118" s="1716"/>
      <c r="V118" s="1716"/>
      <c r="W118" s="1716"/>
      <c r="X118" s="1716"/>
      <c r="Y118" s="1716"/>
      <c r="Z118" s="1716"/>
      <c r="AA118" s="1716"/>
      <c r="AB118" s="1716"/>
      <c r="AC118" s="1716"/>
      <c r="AD118" s="1716"/>
      <c r="AE118" s="1716"/>
      <c r="AF118" s="1716"/>
      <c r="AG118" s="1716"/>
      <c r="AH118" s="1716"/>
      <c r="AI118" s="1716" t="s">
        <v>654</v>
      </c>
      <c r="AJ118" s="1645"/>
    </row>
    <row r="119" spans="2:36" s="1623" customFormat="1" x14ac:dyDescent="0.2">
      <c r="B119" s="1631" t="str">
        <f>IF(Presentation!$D$2="Français",'TRAD-Children YEAR(1)'!D119,IF(Presentation!$D$2="Anglais",'TRAD-Children YEAR(1)'!E119,""))</f>
        <v>Nb de patients-mois / produit - AVEC SS</v>
      </c>
      <c r="D119" s="1645" t="s">
        <v>681</v>
      </c>
      <c r="E119" s="1645" t="s">
        <v>1159</v>
      </c>
      <c r="G119" s="1723"/>
      <c r="H119" s="1723"/>
      <c r="I119" s="1723"/>
      <c r="J119" s="1723"/>
      <c r="K119" s="1723"/>
      <c r="L119" s="1723"/>
      <c r="M119" s="1723"/>
      <c r="N119" s="1723"/>
      <c r="O119" s="1723"/>
      <c r="P119" s="1723"/>
      <c r="Q119" s="1723"/>
      <c r="R119" s="1723"/>
      <c r="S119" s="1723"/>
      <c r="T119" s="1723"/>
      <c r="U119" s="1723"/>
      <c r="V119" s="1723"/>
      <c r="W119" s="1723"/>
      <c r="X119" s="1723"/>
      <c r="Y119" s="1723"/>
      <c r="Z119" s="1723"/>
      <c r="AA119" s="1723"/>
      <c r="AB119" s="1723"/>
      <c r="AC119" s="1723"/>
      <c r="AD119" s="1723"/>
      <c r="AE119" s="1723"/>
      <c r="AF119" s="1723"/>
      <c r="AG119" s="1723"/>
      <c r="AH119" s="1723"/>
    </row>
    <row r="120" spans="2:36" s="1623" customFormat="1" x14ac:dyDescent="0.2">
      <c r="B120" s="1631" t="str">
        <f>IF(Presentation!$D$2="Français",'TRAD-Children YEAR(1)'!D120,IF(Presentation!$D$2="Anglais",'TRAD-Children YEAR(1)'!E120,""))</f>
        <v>Nb de cdt - Estimation période SANS SS</v>
      </c>
      <c r="D120" s="1645" t="s">
        <v>683</v>
      </c>
      <c r="E120" s="1645" t="s">
        <v>1160</v>
      </c>
      <c r="F120" s="1721"/>
      <c r="G120" s="1722"/>
      <c r="H120" s="1722"/>
      <c r="I120" s="1722"/>
      <c r="J120" s="1722"/>
      <c r="K120" s="1722"/>
      <c r="L120" s="1722"/>
      <c r="M120" s="1722"/>
      <c r="N120" s="1722"/>
      <c r="O120" s="1722"/>
      <c r="P120" s="1722"/>
      <c r="Q120" s="1722"/>
      <c r="R120" s="1724"/>
      <c r="S120" s="1724"/>
      <c r="T120" s="1724"/>
      <c r="U120" s="1724"/>
      <c r="V120" s="1724"/>
      <c r="W120" s="1724"/>
      <c r="X120" s="1724"/>
      <c r="Y120" s="1724"/>
      <c r="Z120" s="1724"/>
      <c r="AA120" s="1724"/>
      <c r="AB120" s="1724"/>
      <c r="AC120" s="1724"/>
      <c r="AD120" s="1724"/>
      <c r="AE120" s="1724"/>
      <c r="AF120" s="1724"/>
      <c r="AG120" s="1724"/>
      <c r="AH120" s="1724"/>
      <c r="AI120" s="1725">
        <f>I43</f>
        <v>0</v>
      </c>
      <c r="AJ120" s="1725"/>
    </row>
    <row r="121" spans="2:36" s="1623" customFormat="1" x14ac:dyDescent="0.2">
      <c r="B121" s="1631" t="str">
        <f>IF(Presentation!$D$2="Français",'TRAD-Children YEAR(1)'!D121,IF(Presentation!$D$2="Anglais",'TRAD-Children YEAR(1)'!E121,""))</f>
        <v>Nb de cdt - Estimation période AVEC SS</v>
      </c>
      <c r="D121" s="1645" t="s">
        <v>682</v>
      </c>
      <c r="E121" s="1645" t="s">
        <v>1158</v>
      </c>
      <c r="F121" s="1721"/>
      <c r="G121" s="1722"/>
      <c r="H121" s="1722"/>
      <c r="I121" s="1722"/>
      <c r="J121" s="1722"/>
      <c r="K121" s="1722"/>
      <c r="L121" s="1722"/>
      <c r="M121" s="1722"/>
      <c r="N121" s="1722"/>
      <c r="O121" s="1722"/>
      <c r="P121" s="1722"/>
      <c r="Q121" s="1722"/>
      <c r="R121" s="1724"/>
      <c r="S121" s="1724"/>
      <c r="T121" s="1724"/>
      <c r="U121" s="1724"/>
      <c r="V121" s="1724"/>
      <c r="W121" s="1724"/>
      <c r="X121" s="1724"/>
      <c r="Y121" s="1724"/>
      <c r="Z121" s="1724"/>
      <c r="AA121" s="1724"/>
      <c r="AB121" s="1724"/>
      <c r="AC121" s="1724"/>
      <c r="AD121" s="1724"/>
      <c r="AE121" s="1724"/>
      <c r="AF121" s="1724"/>
      <c r="AG121" s="1724"/>
      <c r="AH121" s="1724"/>
      <c r="AI121" s="1725">
        <f>I44</f>
        <v>0</v>
      </c>
      <c r="AJ121" s="1725"/>
    </row>
    <row r="122" spans="2:36" s="1623" customFormat="1" x14ac:dyDescent="0.2">
      <c r="B122" s="1631" t="str">
        <f>IF(Presentation!$D$2="Français",'TRAD-Children YEAR(1)'!D122,IF(Presentation!$D$2="Anglais",'TRAD-Children YEAR(1)'!E122,""))</f>
        <v>nb de patients mois période quantifiée</v>
      </c>
      <c r="D122" s="1645" t="s">
        <v>662</v>
      </c>
      <c r="E122" s="1645" t="s">
        <v>1161</v>
      </c>
      <c r="F122" s="1721"/>
      <c r="G122" s="1722">
        <f>'Data &amp; hypothesis Children'!F122</f>
        <v>0</v>
      </c>
      <c r="H122" s="1722">
        <f>'Data &amp; hypothesis Children'!G122</f>
        <v>0</v>
      </c>
      <c r="I122" s="1722">
        <f>'Data &amp; hypothesis Children'!H122</f>
        <v>0</v>
      </c>
      <c r="J122" s="1722">
        <f>'Data &amp; hypothesis Children'!I122</f>
        <v>0</v>
      </c>
      <c r="K122" s="1722">
        <f>'Data &amp; hypothesis Children'!J122</f>
        <v>0</v>
      </c>
      <c r="L122" s="1722">
        <f>'Data &amp; hypothesis Children'!K122</f>
        <v>0</v>
      </c>
      <c r="M122" s="1722">
        <f>'Data &amp; hypothesis Children'!L122</f>
        <v>0</v>
      </c>
      <c r="N122" s="1722">
        <f>'Data &amp; hypothesis Children'!M122</f>
        <v>0</v>
      </c>
      <c r="O122" s="1722">
        <f>'Data &amp; hypothesis Children'!N122</f>
        <v>0</v>
      </c>
      <c r="P122" s="1722">
        <f>'Data &amp; hypothesis Children'!O122</f>
        <v>0</v>
      </c>
      <c r="Q122" s="1722">
        <f>'Data &amp; hypothesis Children'!P122</f>
        <v>0</v>
      </c>
      <c r="R122" s="1724">
        <f>'Data &amp; hypothesis Children'!Q122</f>
        <v>0</v>
      </c>
      <c r="S122" s="1724">
        <f>'Data &amp; hypothesis Children'!R122</f>
        <v>0</v>
      </c>
      <c r="T122" s="1724">
        <f>'Data &amp; hypothesis Children'!S122</f>
        <v>0</v>
      </c>
      <c r="U122" s="1724">
        <f>'Data &amp; hypothesis Children'!T122</f>
        <v>0</v>
      </c>
      <c r="V122" s="1724">
        <f>'Data &amp; hypothesis Children'!U122</f>
        <v>0</v>
      </c>
      <c r="W122" s="1724">
        <f>'Data &amp; hypothesis Children'!Y122</f>
        <v>0</v>
      </c>
      <c r="X122" s="1724">
        <f>'Data &amp; hypothesis Children'!Z122</f>
        <v>0</v>
      </c>
      <c r="Y122" s="1724">
        <f>'Data &amp; hypothesis Children'!AA122</f>
        <v>0</v>
      </c>
      <c r="Z122" s="1724">
        <f>'Data &amp; hypothesis Children'!AB122</f>
        <v>0</v>
      </c>
      <c r="AA122" s="1724">
        <f>'Data &amp; hypothesis Children'!AC122</f>
        <v>0</v>
      </c>
      <c r="AB122" s="1724">
        <f>'Data &amp; hypothesis Children'!AD122</f>
        <v>0</v>
      </c>
      <c r="AC122" s="1724">
        <f>'Data &amp; hypothesis Children'!AE122</f>
        <v>0</v>
      </c>
      <c r="AD122" s="1724">
        <f>'Data &amp; hypothesis Children'!AF122</f>
        <v>0</v>
      </c>
      <c r="AE122" s="1724">
        <f>'Data &amp; hypothesis Children'!AG122</f>
        <v>0</v>
      </c>
      <c r="AF122" s="1724">
        <f>'Data &amp; hypothesis Children'!AH122</f>
        <v>0</v>
      </c>
      <c r="AG122" s="1724">
        <f>'Data &amp; hypothesis Children'!AI122</f>
        <v>0</v>
      </c>
      <c r="AH122" s="1724">
        <f>'Data &amp; hypothesis Children'!AJ122</f>
        <v>0</v>
      </c>
      <c r="AI122" s="1725" t="e">
        <f>#REF!</f>
        <v>#REF!</v>
      </c>
      <c r="AJ122" s="1725"/>
    </row>
    <row r="123" spans="2:36" s="1623" customFormat="1" x14ac:dyDescent="0.2">
      <c r="B123" s="1631" t="str">
        <f>IF(Presentation!$D$2="Français",'TRAD-Children YEAR(1)'!D123,IF(Presentation!$D$2="Anglais",'TRAD-Children YEAR(1)'!E123,""))</f>
        <v>nb de patients mois avec période de sécurité</v>
      </c>
      <c r="D123" s="1645" t="s">
        <v>663</v>
      </c>
      <c r="E123" s="1645" t="s">
        <v>1162</v>
      </c>
      <c r="F123" s="1721"/>
      <c r="G123" s="1722">
        <f>'Data &amp; hypothesis Children'!F123</f>
        <v>0</v>
      </c>
      <c r="H123" s="1722">
        <f>'Data &amp; hypothesis Children'!G123</f>
        <v>0</v>
      </c>
      <c r="I123" s="1722" t="str">
        <f>'Data &amp; hypothesis Children'!H123</f>
        <v>X</v>
      </c>
      <c r="J123" s="1722">
        <f>'Data &amp; hypothesis Children'!I123</f>
        <v>0</v>
      </c>
      <c r="K123" s="1722">
        <f>'Data &amp; hypothesis Children'!J123</f>
        <v>0</v>
      </c>
      <c r="L123" s="1722">
        <f>'Data &amp; hypothesis Children'!K123</f>
        <v>0</v>
      </c>
      <c r="M123" s="1722">
        <f>'Data &amp; hypothesis Children'!L123</f>
        <v>0</v>
      </c>
      <c r="N123" s="1722">
        <f>'Data &amp; hypothesis Children'!M123</f>
        <v>0</v>
      </c>
      <c r="O123" s="1722">
        <f>'Data &amp; hypothesis Children'!N123</f>
        <v>0</v>
      </c>
      <c r="P123" s="1722">
        <f>'Data &amp; hypothesis Children'!O123</f>
        <v>0</v>
      </c>
      <c r="Q123" s="1722">
        <f>'Data &amp; hypothesis Children'!P123</f>
        <v>0</v>
      </c>
      <c r="R123" s="1724">
        <f>'Data &amp; hypothesis Children'!Q123</f>
        <v>0</v>
      </c>
      <c r="S123" s="1724">
        <f>'Data &amp; hypothesis Children'!R123</f>
        <v>0</v>
      </c>
      <c r="T123" s="1724">
        <f>'Data &amp; hypothesis Children'!S123</f>
        <v>0</v>
      </c>
      <c r="U123" s="1724" t="str">
        <f>'Data &amp; hypothesis Children'!T123</f>
        <v>X</v>
      </c>
      <c r="V123" s="1724">
        <f>'Data &amp; hypothesis Children'!U123</f>
        <v>0</v>
      </c>
      <c r="W123" s="1724">
        <f>'Data &amp; hypothesis Children'!Y123</f>
        <v>0</v>
      </c>
      <c r="X123" s="1724">
        <f>'Data &amp; hypothesis Children'!Z123</f>
        <v>0</v>
      </c>
      <c r="Y123" s="1724">
        <f>'Data &amp; hypothesis Children'!AA123</f>
        <v>0</v>
      </c>
      <c r="Z123" s="1724">
        <f>'Data &amp; hypothesis Children'!AB123</f>
        <v>0</v>
      </c>
      <c r="AA123" s="1724">
        <f>'Data &amp; hypothesis Children'!AC123</f>
        <v>0</v>
      </c>
      <c r="AB123" s="1724">
        <f>'Data &amp; hypothesis Children'!AD123</f>
        <v>0</v>
      </c>
      <c r="AC123" s="1724">
        <f>'Data &amp; hypothesis Children'!AE123</f>
        <v>0</v>
      </c>
      <c r="AD123" s="1724">
        <f>'Data &amp; hypothesis Children'!AF123</f>
        <v>0</v>
      </c>
      <c r="AE123" s="1724">
        <f>'Data &amp; hypothesis Children'!AG123</f>
        <v>0</v>
      </c>
      <c r="AF123" s="1724">
        <f>'Data &amp; hypothesis Children'!AH123</f>
        <v>0</v>
      </c>
      <c r="AG123" s="1724">
        <f>'Data &amp; hypothesis Children'!AI123</f>
        <v>0</v>
      </c>
      <c r="AH123" s="1724">
        <f>'Data &amp; hypothesis Children'!AJ123</f>
        <v>0</v>
      </c>
      <c r="AI123" s="1725" t="e">
        <f>#REF!</f>
        <v>#REF!</v>
      </c>
      <c r="AJ123" s="1725"/>
    </row>
    <row r="124" spans="2:36" s="1623" customFormat="1" x14ac:dyDescent="0.2">
      <c r="B124" s="1631" t="str">
        <f>IF(Presentation!$D$2="Français",'TRAD-Children YEAR(1)'!D124,IF(Presentation!$D$2="Anglais",'TRAD-Children YEAR(1)'!E124,""))</f>
        <v>Tranche 10 - 14,9 kg</v>
      </c>
      <c r="D124" s="1719" t="s">
        <v>657</v>
      </c>
      <c r="E124" s="1719" t="s">
        <v>1163</v>
      </c>
      <c r="F124" s="1645"/>
      <c r="G124" s="1720"/>
      <c r="H124" s="1720"/>
      <c r="I124" s="1720"/>
      <c r="J124" s="1720"/>
      <c r="K124" s="1720"/>
      <c r="L124" s="1720"/>
      <c r="M124" s="1645"/>
      <c r="N124" s="1645"/>
      <c r="O124" s="1645"/>
      <c r="P124" s="1645"/>
      <c r="Q124" s="1645"/>
      <c r="R124" s="1645"/>
      <c r="S124" s="1645"/>
      <c r="T124" s="1645"/>
      <c r="U124" s="1645"/>
      <c r="V124" s="1645"/>
      <c r="W124" s="1645"/>
      <c r="X124" s="1645"/>
      <c r="Y124" s="1645"/>
      <c r="Z124" s="1645"/>
      <c r="AA124" s="1645"/>
      <c r="AB124" s="1645"/>
      <c r="AC124" s="1645"/>
      <c r="AD124" s="1645"/>
      <c r="AE124" s="1645"/>
      <c r="AF124" s="1645"/>
      <c r="AG124" s="1645"/>
      <c r="AH124" s="1645"/>
      <c r="AI124" s="1645"/>
      <c r="AJ124" s="1645"/>
    </row>
    <row r="125" spans="2:36" s="1623" customFormat="1" x14ac:dyDescent="0.2">
      <c r="B125" s="1631" t="str">
        <f>IF(Presentation!$D$2="Français",'TRAD-Children YEAR(1)'!D125,IF(Presentation!$D$2="Anglais",'TRAD-Children YEAR(1)'!E125,""))</f>
        <v>Tranche 15 -19,9 kg</v>
      </c>
      <c r="D125" s="1719" t="s">
        <v>658</v>
      </c>
      <c r="E125" s="1719" t="s">
        <v>1164</v>
      </c>
      <c r="F125" s="1645"/>
      <c r="G125" s="1720"/>
      <c r="H125" s="1720"/>
      <c r="I125" s="1720"/>
      <c r="J125" s="1720"/>
      <c r="K125" s="1720"/>
      <c r="L125" s="1720"/>
      <c r="M125" s="1645"/>
      <c r="N125" s="1645"/>
      <c r="O125" s="1645"/>
      <c r="P125" s="1645"/>
      <c r="Q125" s="1645"/>
      <c r="R125" s="1645"/>
      <c r="S125" s="1645"/>
      <c r="T125" s="1645"/>
      <c r="U125" s="1645"/>
      <c r="V125" s="1645"/>
      <c r="W125" s="1645"/>
      <c r="X125" s="1645"/>
      <c r="Y125" s="1645"/>
      <c r="Z125" s="1645"/>
      <c r="AA125" s="1645"/>
      <c r="AB125" s="1645"/>
      <c r="AC125" s="1645"/>
      <c r="AD125" s="1645"/>
      <c r="AE125" s="1645"/>
      <c r="AF125" s="1645"/>
      <c r="AG125" s="1645"/>
      <c r="AH125" s="1645"/>
      <c r="AI125" s="1645"/>
      <c r="AJ125" s="1645"/>
    </row>
    <row r="126" spans="2:36" s="1623" customFormat="1" x14ac:dyDescent="0.2">
      <c r="B126" s="1631" t="str">
        <f>IF(Presentation!$D$2="Français",'TRAD-Children YEAR(1)'!D126,IF(Presentation!$D$2="Anglais",'TRAD-Children YEAR(1)'!E126,""))</f>
        <v>Répartition des patients mois / tranches de poids</v>
      </c>
      <c r="D126" s="1645" t="s">
        <v>212</v>
      </c>
      <c r="E126" s="1645" t="s">
        <v>1166</v>
      </c>
      <c r="F126" s="1645"/>
      <c r="G126" s="1645"/>
      <c r="H126" s="1645"/>
      <c r="I126" s="1645"/>
      <c r="J126" s="1645"/>
      <c r="K126" s="1645"/>
      <c r="L126" s="1645"/>
      <c r="M126" s="1645"/>
      <c r="N126" s="1645"/>
      <c r="O126" s="1645"/>
      <c r="P126" s="1645"/>
      <c r="Q126" s="1645"/>
      <c r="R126" s="1645"/>
      <c r="S126" s="1645"/>
      <c r="T126" s="1645"/>
      <c r="U126" s="1645"/>
      <c r="V126" s="1645"/>
      <c r="W126" s="1645"/>
      <c r="X126" s="1645"/>
      <c r="Y126" s="1645"/>
      <c r="Z126" s="1645"/>
      <c r="AA126" s="1645"/>
      <c r="AB126" s="1645"/>
      <c r="AC126" s="1645"/>
      <c r="AD126" s="1645"/>
      <c r="AE126" s="1645"/>
      <c r="AF126" s="1645"/>
      <c r="AG126" s="1645"/>
      <c r="AH126" s="1645"/>
      <c r="AI126" s="1645"/>
      <c r="AJ126" s="1645"/>
    </row>
    <row r="127" spans="2:36" s="1623" customFormat="1" x14ac:dyDescent="0.2">
      <c r="B127" s="1631" t="str">
        <f>IF(Presentation!$D$2="Français",'TRAD-Children YEAR(1)'!D127,IF(Presentation!$D$2="Anglais",'TRAD-Children YEAR(1)'!E127,""))</f>
        <v>Tranche 20 - 24,9 kg</v>
      </c>
      <c r="D127" s="1719" t="s">
        <v>660</v>
      </c>
      <c r="E127" s="1719" t="s">
        <v>1165</v>
      </c>
      <c r="F127" s="1645"/>
      <c r="G127" s="1645"/>
      <c r="H127" s="1645"/>
      <c r="I127" s="1645"/>
      <c r="J127" s="1645"/>
      <c r="K127" s="1645"/>
      <c r="L127" s="1645"/>
      <c r="M127" s="1645"/>
      <c r="N127" s="1645"/>
      <c r="O127" s="1645"/>
      <c r="P127" s="1645"/>
      <c r="Q127" s="1645"/>
      <c r="R127" s="1645"/>
      <c r="S127" s="1645"/>
      <c r="T127" s="1645"/>
      <c r="U127" s="1645"/>
      <c r="V127" s="1645"/>
      <c r="W127" s="1645"/>
      <c r="X127" s="1645"/>
      <c r="Y127" s="1645"/>
      <c r="Z127" s="1645"/>
      <c r="AA127" s="1645"/>
      <c r="AB127" s="1645"/>
      <c r="AC127" s="1645"/>
      <c r="AD127" s="1645"/>
      <c r="AE127" s="1645"/>
      <c r="AF127" s="1645"/>
      <c r="AG127" s="1645"/>
      <c r="AH127" s="1645"/>
      <c r="AI127" s="1645"/>
      <c r="AJ127" s="1645"/>
    </row>
    <row r="128" spans="2:36" s="1623" customFormat="1" ht="45" x14ac:dyDescent="0.2">
      <c r="B128" s="1631" t="str">
        <f>IF(Presentation!$D$2="Français",'TRAD-Children YEAR(1)'!D128,IF(Presentation!$D$2="Anglais",'TRAD-Children YEAR(1)'!E128,""))</f>
        <v>Quantification des besoins pour la prise en charge médicale pour la première année selon la répartition envisagée</v>
      </c>
      <c r="D128" s="1622" t="s">
        <v>265</v>
      </c>
      <c r="E128" s="1622" t="s">
        <v>1404</v>
      </c>
      <c r="F128" s="1618"/>
      <c r="G128" s="1618"/>
      <c r="H128" s="1618"/>
      <c r="I128" s="1618"/>
      <c r="J128" s="1618"/>
      <c r="K128" s="1618"/>
      <c r="L128" s="1618"/>
      <c r="M128" s="1618"/>
      <c r="N128" s="1618"/>
      <c r="O128" s="1618"/>
      <c r="P128" s="1622"/>
      <c r="Q128" s="1622"/>
      <c r="R128" s="1622"/>
      <c r="S128" s="1622"/>
      <c r="T128" s="1622"/>
      <c r="U128" s="1622"/>
      <c r="V128" s="1622"/>
      <c r="W128" s="1622"/>
      <c r="X128" s="1622"/>
      <c r="Y128" s="1622"/>
      <c r="Z128" s="1622"/>
      <c r="AA128" s="1622"/>
      <c r="AB128" s="1622"/>
      <c r="AC128" s="1622"/>
      <c r="AD128" s="1622"/>
      <c r="AE128" s="1622"/>
      <c r="AF128" s="1622"/>
      <c r="AG128" s="1622"/>
      <c r="AH128" s="1622"/>
      <c r="AI128" s="1622"/>
      <c r="AJ128" s="1622"/>
    </row>
    <row r="129" spans="2:36" s="1623" customFormat="1" ht="30" x14ac:dyDescent="0.2">
      <c r="B129" s="1631" t="str">
        <f>IF(Presentation!$D$2="Français",'TRAD-Children YEAR(1)'!D129,IF(Presentation!$D$2="Anglais",'TRAD-Children YEAR(1)'!E129,""))</f>
        <v>Quantification des besoins en ARV pour la prise en charge pédiatrique sur la première année SANS stock de sécurité</v>
      </c>
      <c r="D129" s="1622" t="s">
        <v>1087</v>
      </c>
      <c r="E129" s="1623" t="s">
        <v>1405</v>
      </c>
      <c r="F129" s="1618"/>
      <c r="G129" s="1618"/>
      <c r="H129" s="1618"/>
      <c r="I129" s="1618"/>
      <c r="J129" s="1618"/>
      <c r="K129" s="1618"/>
      <c r="L129" s="1618"/>
      <c r="M129" s="1618"/>
      <c r="N129" s="1618"/>
      <c r="O129" s="1618"/>
      <c r="P129" s="1622"/>
      <c r="Q129" s="1622"/>
      <c r="R129" s="1622"/>
      <c r="S129" s="1622"/>
      <c r="T129" s="1622"/>
      <c r="U129" s="1622"/>
      <c r="V129" s="1622"/>
      <c r="W129" s="1622"/>
      <c r="X129" s="1622"/>
      <c r="Y129" s="1622"/>
      <c r="Z129" s="1622"/>
      <c r="AA129" s="1622"/>
      <c r="AB129" s="1622"/>
      <c r="AC129" s="1622"/>
      <c r="AD129" s="1622"/>
      <c r="AE129" s="1622"/>
      <c r="AF129" s="1622"/>
      <c r="AG129" s="1622"/>
      <c r="AH129" s="1622"/>
      <c r="AI129" s="1622"/>
      <c r="AJ129" s="1622"/>
    </row>
    <row r="130" spans="2:36" s="1623" customFormat="1" x14ac:dyDescent="0.2">
      <c r="B130" s="1631" t="str">
        <f>IF(Presentation!$D$2="Français",'TRAD-Children YEAR(1)'!D130,IF(Presentation!$D$2="Anglais",'TRAD-Children YEAR(1)'!E130,""))</f>
        <v>Soit un stock de sécurité de</v>
      </c>
      <c r="D130" s="1622" t="s">
        <v>1180</v>
      </c>
      <c r="E130" s="1702" t="s">
        <v>1406</v>
      </c>
      <c r="F130" s="1618"/>
      <c r="G130" s="1618"/>
      <c r="H130" s="1618"/>
      <c r="I130" s="1618"/>
      <c r="J130" s="1618"/>
      <c r="K130" s="1618"/>
      <c r="L130" s="1618"/>
      <c r="M130" s="1618"/>
      <c r="N130" s="1618"/>
      <c r="O130" s="1618"/>
      <c r="P130" s="1622"/>
      <c r="Q130" s="1622"/>
      <c r="R130" s="1622"/>
      <c r="S130" s="1622"/>
      <c r="T130" s="1622"/>
      <c r="U130" s="1622"/>
      <c r="V130" s="1622"/>
      <c r="W130" s="1622"/>
      <c r="X130" s="1622"/>
      <c r="Y130" s="1622"/>
      <c r="Z130" s="1622"/>
      <c r="AA130" s="1622"/>
      <c r="AB130" s="1622"/>
      <c r="AC130" s="1622"/>
      <c r="AD130" s="1622"/>
      <c r="AE130" s="1622"/>
      <c r="AF130" s="1622"/>
      <c r="AG130" s="1622"/>
      <c r="AH130" s="1622"/>
      <c r="AI130" s="1622"/>
      <c r="AJ130" s="1622"/>
    </row>
    <row r="131" spans="2:36" s="1623" customFormat="1" ht="30" x14ac:dyDescent="0.2">
      <c r="B131" s="1631" t="str">
        <f>IF(Presentation!$D$2="Français",'TRAD-Children YEAR(1)'!D131,IF(Presentation!$D$2="Anglais",'TRAD-Children YEAR(1)'!E131,""))</f>
        <v>Quantification des besoins en ARV pour la prise en charge pédiatrique sur la première année AVEC stock de sécurité</v>
      </c>
      <c r="D131" s="1622" t="s">
        <v>1088</v>
      </c>
      <c r="E131" s="1623" t="s">
        <v>1407</v>
      </c>
      <c r="F131" s="1618"/>
      <c r="G131" s="1618"/>
      <c r="H131" s="1618"/>
      <c r="I131" s="1618"/>
      <c r="J131" s="1618"/>
      <c r="K131" s="1618"/>
      <c r="L131" s="1618"/>
      <c r="M131" s="1618"/>
      <c r="N131" s="1618"/>
      <c r="O131" s="1618"/>
      <c r="P131" s="1618"/>
      <c r="Q131" s="1622"/>
      <c r="R131" s="1622"/>
      <c r="S131" s="1622"/>
      <c r="T131" s="1622"/>
      <c r="U131" s="1622"/>
      <c r="V131" s="1622"/>
      <c r="W131" s="1622"/>
      <c r="X131" s="1622"/>
      <c r="Y131" s="1622"/>
      <c r="Z131" s="1622"/>
      <c r="AA131" s="1622"/>
      <c r="AB131" s="1622"/>
      <c r="AC131" s="1622"/>
      <c r="AD131" s="1622"/>
      <c r="AE131" s="1622"/>
      <c r="AF131" s="1622"/>
      <c r="AG131" s="1622"/>
      <c r="AH131" s="1622"/>
      <c r="AI131" s="1622"/>
      <c r="AJ131" s="1622"/>
    </row>
    <row r="132" spans="2:36" s="1623" customFormat="1" x14ac:dyDescent="0.2">
      <c r="B132" s="1631" t="str">
        <f>IF(Presentation!$D$2="Français",'TRAD-Children YEAR(1)'!D132,IF(Presentation!$D$2="Anglais",'TRAD-Children YEAR(1)'!E132,""))</f>
        <v>Synthèse</v>
      </c>
      <c r="D132" s="1622" t="s">
        <v>130</v>
      </c>
      <c r="E132" s="1622" t="s">
        <v>1134</v>
      </c>
      <c r="F132" s="1618"/>
      <c r="G132" s="1618"/>
      <c r="H132" s="1618"/>
      <c r="I132" s="1618"/>
      <c r="J132" s="1618"/>
      <c r="K132" s="1618"/>
      <c r="L132" s="1618"/>
      <c r="M132" s="1618"/>
      <c r="N132" s="1618"/>
      <c r="O132" s="1618"/>
      <c r="P132" s="1618"/>
      <c r="Q132" s="1618"/>
      <c r="R132" s="1622"/>
      <c r="S132" s="1622"/>
      <c r="T132" s="1622"/>
      <c r="U132" s="1622"/>
      <c r="V132" s="1622"/>
      <c r="W132" s="1622"/>
      <c r="X132" s="1622"/>
      <c r="Y132" s="1622"/>
      <c r="Z132" s="1622"/>
      <c r="AA132" s="1622"/>
      <c r="AB132" s="1622"/>
      <c r="AC132" s="1622"/>
      <c r="AD132" s="1622"/>
      <c r="AE132" s="1622"/>
      <c r="AF132" s="1622"/>
      <c r="AG132" s="1622"/>
      <c r="AH132" s="1622"/>
      <c r="AI132" s="1622"/>
      <c r="AJ132" s="1622"/>
    </row>
    <row r="133" spans="2:36" s="1623" customFormat="1" ht="30" x14ac:dyDescent="0.2">
      <c r="B133" s="1631" t="str">
        <f>IF(Presentation!$D$2="Français",'TRAD-Children YEAR(1)'!D133,IF(Presentation!$D$2="Anglais",'TRAD-Children YEAR(1)'!E133,""))</f>
        <v>Quantification des besoins en ARV pour la prise en charge pédiatrique sur l'année 1</v>
      </c>
      <c r="D133" s="1622" t="s">
        <v>269</v>
      </c>
      <c r="E133" s="1623" t="s">
        <v>1408</v>
      </c>
      <c r="F133" s="1618"/>
      <c r="G133" s="1618"/>
      <c r="H133" s="1618"/>
      <c r="I133" s="1618"/>
      <c r="J133" s="1618"/>
      <c r="K133" s="1618"/>
      <c r="L133" s="1618"/>
      <c r="M133" s="1618"/>
      <c r="N133" s="1618"/>
      <c r="O133" s="1618"/>
      <c r="P133" s="1622"/>
      <c r="Q133" s="1622"/>
      <c r="R133" s="1622"/>
      <c r="S133" s="1622"/>
      <c r="T133" s="1622"/>
      <c r="U133" s="1622"/>
      <c r="V133" s="1622"/>
      <c r="W133" s="1622"/>
      <c r="X133" s="1622"/>
      <c r="Y133" s="1622"/>
      <c r="Z133" s="1622"/>
      <c r="AA133" s="1622"/>
      <c r="AB133" s="1622"/>
      <c r="AC133" s="1622"/>
      <c r="AD133" s="1622"/>
      <c r="AE133" s="1622"/>
      <c r="AF133" s="1622"/>
      <c r="AG133" s="1622"/>
      <c r="AH133" s="1622"/>
      <c r="AI133" s="1622"/>
      <c r="AJ133" s="1622"/>
    </row>
    <row r="134" spans="2:36" s="1623" customFormat="1" x14ac:dyDescent="0.2">
      <c r="B134" s="1631" t="str">
        <f>IF(Presentation!$D$2="Français",'TRAD-Children YEAR(1)'!D134,IF(Presentation!$D$2="Anglais",'TRAD-Children YEAR(1)'!E134,""))</f>
        <v>Nom de spécialité</v>
      </c>
      <c r="D134" s="1622" t="s">
        <v>3</v>
      </c>
      <c r="E134" s="1622" t="s">
        <v>1060</v>
      </c>
      <c r="Q134" s="1622"/>
      <c r="R134" s="1622"/>
      <c r="S134" s="1622"/>
      <c r="T134" s="1622"/>
      <c r="U134" s="1622"/>
      <c r="V134" s="1622"/>
      <c r="W134" s="1622"/>
      <c r="X134" s="1622"/>
      <c r="Y134" s="1622"/>
      <c r="Z134" s="1622"/>
      <c r="AA134" s="1622"/>
      <c r="AB134" s="1622"/>
      <c r="AC134" s="1622"/>
      <c r="AD134" s="1622"/>
      <c r="AE134" s="1622"/>
      <c r="AF134" s="1622"/>
      <c r="AG134" s="1622"/>
      <c r="AH134" s="1622"/>
      <c r="AI134" s="1622"/>
      <c r="AJ134" s="1622"/>
    </row>
    <row r="135" spans="2:36" s="1623" customFormat="1" x14ac:dyDescent="0.2">
      <c r="B135" s="1631" t="str">
        <f>IF(Presentation!$D$2="Français",'TRAD-Children YEAR(1)'!D135,IF(Presentation!$D$2="Anglais",'TRAD-Children YEAR(1)'!E135,""))</f>
        <v>Nom de générique possible</v>
      </c>
      <c r="D135" s="1622" t="s">
        <v>4</v>
      </c>
      <c r="E135" s="1622" t="s">
        <v>1409</v>
      </c>
      <c r="F135" s="1622"/>
      <c r="G135" s="1622"/>
      <c r="H135" s="1622"/>
      <c r="I135" s="1622"/>
      <c r="J135" s="1622"/>
      <c r="K135" s="1622"/>
      <c r="L135" s="1622"/>
      <c r="M135" s="1622"/>
      <c r="N135" s="1622"/>
      <c r="O135" s="1622"/>
      <c r="P135" s="1622"/>
      <c r="Q135" s="1622"/>
      <c r="R135" s="1622"/>
      <c r="S135" s="1622"/>
      <c r="T135" s="1622"/>
      <c r="U135" s="1622"/>
      <c r="V135" s="1622"/>
      <c r="W135" s="1622"/>
      <c r="X135" s="1622"/>
      <c r="Y135" s="1622"/>
      <c r="Z135" s="1622"/>
      <c r="AA135" s="1622"/>
      <c r="AB135" s="1622"/>
      <c r="AC135" s="1622"/>
      <c r="AD135" s="1622"/>
      <c r="AE135" s="1622"/>
      <c r="AF135" s="1622"/>
      <c r="AG135" s="1622"/>
      <c r="AH135" s="1622"/>
      <c r="AI135" s="1622"/>
      <c r="AJ135" s="1622"/>
    </row>
    <row r="136" spans="2:36" s="1623" customFormat="1" ht="60" x14ac:dyDescent="0.2">
      <c r="B136" s="1631" t="str">
        <f>IF(Presentation!$D$2="Français",'TRAD-Children YEAR(1)'!D136,IF(Presentation!$D$2="Anglais",'TRAD-Children YEAR(1)'!E136,""))</f>
        <v>Conditionnement</v>
      </c>
      <c r="D136" s="1622" t="s">
        <v>5</v>
      </c>
      <c r="E136" s="1622" t="s">
        <v>1410</v>
      </c>
      <c r="F136" s="1620"/>
      <c r="G136" s="1620"/>
      <c r="H136" s="1620"/>
      <c r="I136" s="1620"/>
      <c r="J136" s="1620"/>
      <c r="K136" s="1620"/>
      <c r="L136" s="1620" t="s">
        <v>38</v>
      </c>
      <c r="M136" s="1620" t="s">
        <v>217</v>
      </c>
      <c r="N136" s="1620" t="s">
        <v>268</v>
      </c>
      <c r="O136" s="1620" t="s">
        <v>218</v>
      </c>
      <c r="P136" s="1622"/>
      <c r="Q136" s="1622"/>
      <c r="R136" s="1622"/>
      <c r="S136" s="1622"/>
      <c r="T136" s="1622"/>
      <c r="U136" s="1622"/>
      <c r="V136" s="1622"/>
      <c r="W136" s="1622"/>
      <c r="X136" s="1622"/>
      <c r="Y136" s="1622"/>
      <c r="Z136" s="1622"/>
      <c r="AA136" s="1622"/>
      <c r="AB136" s="1622"/>
      <c r="AC136" s="1622"/>
      <c r="AD136" s="1622"/>
      <c r="AE136" s="1622"/>
      <c r="AF136" s="1622"/>
      <c r="AG136" s="1622"/>
      <c r="AH136" s="1622"/>
      <c r="AI136" s="1622"/>
      <c r="AJ136" s="1622"/>
    </row>
    <row r="137" spans="2:36" s="1623" customFormat="1" ht="30" x14ac:dyDescent="0.2">
      <c r="B137" s="1631" t="str">
        <f>IF(Presentation!$D$2="Français",'TRAD-Children YEAR(1)'!D137,IF(Presentation!$D$2="Anglais",'TRAD-Children YEAR(1)'!E137,""))</f>
        <v>Répartition file active pédiatrique sous traitement à la fin de l'année 1</v>
      </c>
      <c r="D137" s="1622" t="s">
        <v>270</v>
      </c>
      <c r="E137" s="1623" t="s">
        <v>1167</v>
      </c>
      <c r="F137" s="1618"/>
      <c r="G137" s="1618"/>
      <c r="H137" s="1618"/>
      <c r="I137" s="1618"/>
      <c r="J137" s="1618"/>
      <c r="K137" s="1618"/>
      <c r="L137" s="1618"/>
      <c r="M137" s="1618"/>
      <c r="N137" s="1618"/>
      <c r="O137" s="1618"/>
      <c r="P137" s="1618"/>
      <c r="Q137" s="1622"/>
      <c r="R137" s="1622"/>
      <c r="S137" s="1622"/>
      <c r="T137" s="1622"/>
      <c r="U137" s="1622"/>
      <c r="V137" s="1622"/>
      <c r="W137" s="1622"/>
      <c r="X137" s="1622"/>
      <c r="Y137" s="1622"/>
      <c r="Z137" s="1622"/>
      <c r="AA137" s="1622"/>
      <c r="AB137" s="1622"/>
      <c r="AC137" s="1622"/>
      <c r="AD137" s="1622"/>
      <c r="AE137" s="1622"/>
      <c r="AF137" s="1622"/>
      <c r="AG137" s="1622"/>
      <c r="AH137" s="1622"/>
      <c r="AI137" s="1622"/>
      <c r="AJ137" s="1622"/>
    </row>
    <row r="138" spans="2:36" s="1623" customFormat="1" ht="30" x14ac:dyDescent="0.2">
      <c r="B138" s="1631" t="str">
        <f>IF(Presentation!$D$2="Français",'TRAD-Children YEAR(1)'!D138,IF(Presentation!$D$2="Anglais",'TRAD-Children YEAR(1)'!E138,""))</f>
        <v>SANS DEFALCATION des passages en 2èmes lignes sur les 1ères lignes</v>
      </c>
      <c r="D138" s="1622" t="s">
        <v>273</v>
      </c>
      <c r="E138" s="1622" t="s">
        <v>949</v>
      </c>
      <c r="F138" s="1622"/>
      <c r="G138" s="1622"/>
      <c r="H138" s="1622"/>
      <c r="I138" s="1622"/>
      <c r="J138" s="1622"/>
      <c r="K138" s="1622"/>
      <c r="L138" s="1622"/>
      <c r="M138" s="1622"/>
      <c r="N138" s="1622"/>
      <c r="O138" s="1622"/>
      <c r="P138" s="1622"/>
      <c r="Q138" s="1622"/>
      <c r="R138" s="1622"/>
      <c r="S138" s="1622"/>
      <c r="T138" s="1622"/>
      <c r="U138" s="1622"/>
      <c r="V138" s="1622"/>
      <c r="W138" s="1622"/>
      <c r="X138" s="1622"/>
      <c r="Y138" s="1622"/>
      <c r="Z138" s="1622"/>
      <c r="AA138" s="1622"/>
      <c r="AB138" s="1622"/>
      <c r="AC138" s="1622"/>
      <c r="AD138" s="1622"/>
      <c r="AE138" s="1622"/>
      <c r="AF138" s="1622"/>
      <c r="AG138" s="1622"/>
      <c r="AH138" s="1622"/>
      <c r="AI138" s="1622"/>
      <c r="AJ138" s="1622"/>
    </row>
    <row r="139" spans="2:36" s="1623" customFormat="1" ht="30" x14ac:dyDescent="0.2">
      <c r="B139" s="1631" t="str">
        <f>IF(Presentation!$D$2="Français",'TRAD-Children YEAR(1)'!D139,IF(Presentation!$D$2="Anglais",'TRAD-Children YEAR(1)'!E139,""))</f>
        <v>AVEC DEFALCATION PROPORTIONNELLE à la répartition des patients en 1ère ligne</v>
      </c>
      <c r="D139" s="1622" t="s">
        <v>274</v>
      </c>
      <c r="E139" s="1622" t="s">
        <v>1411</v>
      </c>
      <c r="F139" s="1622"/>
      <c r="M139" s="1622"/>
      <c r="N139" s="1622"/>
      <c r="O139" s="1622"/>
      <c r="P139" s="1622"/>
      <c r="Q139" s="1622"/>
      <c r="R139" s="1622"/>
      <c r="S139" s="1622"/>
      <c r="T139" s="1622"/>
      <c r="U139" s="1622"/>
      <c r="V139" s="1622"/>
      <c r="W139" s="1622"/>
      <c r="X139" s="1622"/>
      <c r="Y139" s="1622"/>
      <c r="Z139" s="1622"/>
      <c r="AA139" s="1622"/>
      <c r="AB139" s="1622"/>
      <c r="AC139" s="1622"/>
      <c r="AD139" s="1622"/>
      <c r="AE139" s="1622"/>
      <c r="AF139" s="1622"/>
      <c r="AG139" s="1622"/>
      <c r="AH139" s="1622"/>
      <c r="AI139" s="1622"/>
      <c r="AJ139" s="1622"/>
    </row>
    <row r="140" spans="2:36" s="1623" customFormat="1" ht="30" x14ac:dyDescent="0.2">
      <c r="B140" s="1631" t="str">
        <f>IF(Presentation!$D$2="Français",'TRAD-Children YEAR(1)'!D140,IF(Presentation!$D$2="Anglais",'TRAD-Children YEAR(1)'!E140,""))</f>
        <v>AVEC DEFALCATION SUR SCHEMA MAJORITAIRE 1ère ligne</v>
      </c>
      <c r="D140" s="1622" t="s">
        <v>275</v>
      </c>
      <c r="E140" s="1622" t="s">
        <v>1170</v>
      </c>
      <c r="F140" s="1620"/>
      <c r="H140" s="1620"/>
      <c r="I140" s="1620"/>
      <c r="J140" s="1620"/>
      <c r="K140" s="1620"/>
      <c r="L140" s="1620" t="s">
        <v>278</v>
      </c>
      <c r="M140" s="1622"/>
      <c r="N140" s="1622"/>
      <c r="O140" s="1622"/>
      <c r="P140" s="1622"/>
      <c r="Q140" s="1622"/>
      <c r="R140" s="1622"/>
      <c r="S140" s="1622"/>
      <c r="T140" s="1622"/>
      <c r="U140" s="1622"/>
      <c r="V140" s="1622"/>
      <c r="W140" s="1622"/>
      <c r="X140" s="1622"/>
      <c r="Y140" s="1622"/>
      <c r="Z140" s="1622"/>
      <c r="AA140" s="1622"/>
      <c r="AB140" s="1622"/>
      <c r="AC140" s="1622"/>
      <c r="AD140" s="1622"/>
      <c r="AE140" s="1622"/>
      <c r="AF140" s="1622"/>
      <c r="AG140" s="1622"/>
      <c r="AH140" s="1622"/>
      <c r="AI140" s="1622"/>
      <c r="AJ140" s="1622"/>
    </row>
    <row r="141" spans="2:36" s="1623" customFormat="1" x14ac:dyDescent="0.2">
      <c r="B141" s="1631" t="str">
        <f>IF(Presentation!$D$2="Français",'TRAD-Children YEAR(1)'!D141,IF(Presentation!$D$2="Anglais",'TRAD-Children YEAR(1)'!E141,""))</f>
        <v>Nb d'enfants</v>
      </c>
      <c r="D141" s="1622" t="s">
        <v>277</v>
      </c>
      <c r="E141" s="1622" t="s">
        <v>1168</v>
      </c>
      <c r="F141" s="1625"/>
      <c r="G141" s="1726"/>
      <c r="H141" s="1727"/>
      <c r="I141" s="1726"/>
      <c r="J141" s="1727"/>
      <c r="K141" s="1726"/>
      <c r="L141" s="1727" t="e">
        <f>K141/#REF!</f>
        <v>#REF!</v>
      </c>
      <c r="M141" s="1622"/>
      <c r="N141" s="1622"/>
      <c r="O141" s="1622"/>
      <c r="P141" s="1622"/>
      <c r="Q141" s="1622"/>
      <c r="R141" s="1622"/>
      <c r="S141" s="1622"/>
      <c r="T141" s="1622"/>
      <c r="U141" s="1622"/>
      <c r="V141" s="1622"/>
      <c r="W141" s="1622"/>
      <c r="X141" s="1622"/>
      <c r="Y141" s="1622"/>
      <c r="Z141" s="1622"/>
      <c r="AA141" s="1622"/>
      <c r="AB141" s="1622"/>
      <c r="AC141" s="1622"/>
      <c r="AD141" s="1622"/>
      <c r="AE141" s="1622"/>
      <c r="AF141" s="1622"/>
      <c r="AG141" s="1622"/>
      <c r="AH141" s="1622"/>
      <c r="AI141" s="1622"/>
      <c r="AJ141" s="1622"/>
    </row>
    <row r="142" spans="2:36" s="1623" customFormat="1" x14ac:dyDescent="0.2">
      <c r="B142" s="1631" t="str">
        <f>IF(Presentation!$D$2="Français",'TRAD-Children YEAR(1)'!D142,IF(Presentation!$D$2="Anglais",'TRAD-Children YEAR(1)'!E142,""))</f>
        <v>Remarque</v>
      </c>
      <c r="D142" s="1622" t="s">
        <v>186</v>
      </c>
      <c r="E142" s="1623" t="s">
        <v>1169</v>
      </c>
      <c r="F142" s="1622"/>
      <c r="G142" s="1622"/>
      <c r="H142" s="1622"/>
      <c r="I142" s="1622"/>
      <c r="J142" s="1622"/>
      <c r="K142" s="1622"/>
      <c r="L142" s="1622"/>
      <c r="M142" s="1622"/>
      <c r="N142" s="1622"/>
      <c r="O142" s="1622"/>
      <c r="P142" s="1622"/>
      <c r="Q142" s="1622"/>
      <c r="R142" s="1622"/>
      <c r="S142" s="1622"/>
      <c r="T142" s="1622"/>
      <c r="U142" s="1622"/>
      <c r="V142" s="1622"/>
      <c r="W142" s="1622"/>
      <c r="X142" s="1622"/>
      <c r="Y142" s="1622"/>
      <c r="Z142" s="1622"/>
      <c r="AA142" s="1622"/>
      <c r="AB142" s="1622"/>
      <c r="AC142" s="1622"/>
      <c r="AD142" s="1622"/>
      <c r="AE142" s="1622"/>
      <c r="AF142" s="1622"/>
      <c r="AG142" s="1622"/>
      <c r="AH142" s="1622"/>
      <c r="AI142" s="1622"/>
      <c r="AJ142" s="1622"/>
    </row>
    <row r="143" spans="2:36" s="1623" customFormat="1" ht="30" x14ac:dyDescent="0.2">
      <c r="B143" s="1631" t="str">
        <f>IF(Presentation!$D$2="Français",'TRAD-Children YEAR(1)'!D143,IF(Presentation!$D$2="Anglais",'TRAD-Children YEAR(1)'!E143,""))</f>
        <v>Pour plus de précision, une défalcation peut être prise en compte.</v>
      </c>
      <c r="D143" s="1622" t="s">
        <v>279</v>
      </c>
      <c r="E143" s="1622" t="s">
        <v>1171</v>
      </c>
      <c r="G143" s="1622"/>
      <c r="H143" s="1622"/>
      <c r="I143" s="1622"/>
      <c r="J143" s="1622"/>
      <c r="K143" s="1622"/>
      <c r="L143" s="1622"/>
      <c r="M143" s="1622"/>
      <c r="N143" s="1622"/>
      <c r="O143" s="1622"/>
      <c r="P143" s="1622"/>
      <c r="Q143" s="1622"/>
      <c r="R143" s="1622"/>
      <c r="S143" s="1622"/>
      <c r="T143" s="1622"/>
      <c r="U143" s="1622"/>
      <c r="V143" s="1622"/>
      <c r="W143" s="1622"/>
      <c r="X143" s="1622"/>
      <c r="Y143" s="1622"/>
      <c r="Z143" s="1622"/>
      <c r="AA143" s="1622"/>
      <c r="AB143" s="1622"/>
      <c r="AC143" s="1622"/>
      <c r="AD143" s="1622"/>
      <c r="AE143" s="1622"/>
      <c r="AF143" s="1622"/>
      <c r="AG143" s="1622"/>
      <c r="AH143" s="1622"/>
      <c r="AI143" s="1622"/>
      <c r="AJ143" s="1622"/>
    </row>
    <row r="144" spans="2:36" s="1623" customFormat="1" ht="75" x14ac:dyDescent="0.2">
      <c r="B144" s="1631" t="str">
        <f>IF(Presentation!$D$2="Français",'TRAD-Children YEAR(1)'!D144,IF(Presentation!$D$2="Anglais",'TRAD-Children YEAR(1)'!E144,""))</f>
        <v>Les données défalquées sur le schéma majoritaire en 1ère ligne ont été prises en compte pour les années suivantes. (le schéma majoritaire est généralement le moins chers, cette option a été retenue dans le cadre d'une estimation budgétaire)</v>
      </c>
      <c r="D144" s="1622" t="s">
        <v>284</v>
      </c>
      <c r="E144" s="1622" t="s">
        <v>1412</v>
      </c>
      <c r="G144" s="1622"/>
      <c r="H144" s="1622"/>
      <c r="I144" s="1622"/>
      <c r="J144" s="1622"/>
      <c r="K144" s="1622"/>
      <c r="L144" s="1622"/>
      <c r="M144" s="1622"/>
      <c r="N144" s="1622"/>
      <c r="O144" s="1622"/>
      <c r="P144" s="1622"/>
      <c r="Q144" s="1622"/>
      <c r="R144" s="1622"/>
      <c r="S144" s="1622"/>
      <c r="T144" s="1622"/>
      <c r="U144" s="1622"/>
      <c r="V144" s="1622"/>
      <c r="W144" s="1622"/>
      <c r="X144" s="1622"/>
      <c r="Y144" s="1622"/>
      <c r="Z144" s="1622"/>
      <c r="AA144" s="1622"/>
      <c r="AB144" s="1622"/>
      <c r="AC144" s="1622"/>
      <c r="AD144" s="1622"/>
      <c r="AE144" s="1622"/>
      <c r="AF144" s="1622"/>
      <c r="AG144" s="1622"/>
      <c r="AH144" s="1622"/>
      <c r="AI144" s="1622"/>
      <c r="AJ144" s="1622"/>
    </row>
    <row r="145" spans="2:5" s="1623" customFormat="1" x14ac:dyDescent="0.2">
      <c r="B145" s="1631" t="str">
        <f>IF(Presentation!$D$2="Français",'TRAD-Children YEAR(1)'!D145,IF(Presentation!$D$2="Anglais",'TRAD-Children YEAR(1)'!E145,""))</f>
        <v>Quantités totales</v>
      </c>
      <c r="D145" s="1623" t="s">
        <v>1184</v>
      </c>
      <c r="E145" s="1623" t="s">
        <v>1183</v>
      </c>
    </row>
    <row r="146" spans="2:5" s="1623" customFormat="1" x14ac:dyDescent="0.2">
      <c r="B146" s="1631" t="str">
        <f>IF(Presentation!$D$2="Français",'TRAD-Children YEAR(1)'!D146,IF(Presentation!$D$2="Anglais",'TRAD-Children YEAR(1)'!E146,""))</f>
        <v>Marge de stock de sécurité</v>
      </c>
      <c r="D146" s="1623" t="s">
        <v>1186</v>
      </c>
      <c r="E146" s="1623" t="s">
        <v>1185</v>
      </c>
    </row>
    <row r="147" spans="2:5" s="1623" customFormat="1" x14ac:dyDescent="0.2">
      <c r="B147" s="1631" t="str">
        <f>IF(Presentation!$D$2="Français",'TRAD-Children YEAR(1)'!D147,IF(Presentation!$D$2="Anglais",'TRAD-Children YEAR(1)'!E147,""))</f>
        <v>Marge de sécurité (nb de boites / flacons)</v>
      </c>
      <c r="D147" s="1623" t="s">
        <v>295</v>
      </c>
      <c r="E147" s="1622" t="s">
        <v>1219</v>
      </c>
    </row>
    <row r="148" spans="2:5" s="1623" customFormat="1" ht="30" x14ac:dyDescent="0.2">
      <c r="B148" s="1631" t="str">
        <f>IF(Presentation!$D$2="Français",'TRAD-Children YEAR(1)'!D148,IF(Presentation!$D$2="Anglais",'TRAD-Children YEAR(1)'!E148,""))</f>
        <v>Différence de marge de sécurité / année précédente (nb de boites / flacons)</v>
      </c>
      <c r="D148" s="1623" t="s">
        <v>296</v>
      </c>
      <c r="E148" s="1622" t="s">
        <v>1220</v>
      </c>
    </row>
    <row r="149" spans="2:5" s="1623" customFormat="1" x14ac:dyDescent="0.2">
      <c r="B149" s="1631" t="str">
        <f>IF(Presentation!$D$2="Français",'TRAD-Children YEAR(1)'!D149,IF(Presentation!$D$2="Anglais",'TRAD-Children YEAR(1)'!E149,""))</f>
        <v>Total + Différence de marge (nb de boîtes / flacons)</v>
      </c>
      <c r="D149" s="1623" t="s">
        <v>1221</v>
      </c>
      <c r="E149" s="1622" t="s">
        <v>1222</v>
      </c>
    </row>
    <row r="150" spans="2:5" s="1623" customFormat="1" x14ac:dyDescent="0.2">
      <c r="B150" s="1631"/>
      <c r="D150" s="1617"/>
    </row>
    <row r="151" spans="2:5" s="1623" customFormat="1" x14ac:dyDescent="0.2">
      <c r="B151" s="1631"/>
      <c r="D151" s="1617"/>
    </row>
    <row r="152" spans="2:5" s="1623" customFormat="1" x14ac:dyDescent="0.2">
      <c r="B152" s="1631"/>
      <c r="D152" s="1617"/>
    </row>
    <row r="153" spans="2:5" s="1623" customFormat="1" x14ac:dyDescent="0.2">
      <c r="B153" s="1631"/>
      <c r="D153" s="1617"/>
    </row>
    <row r="154" spans="2:5" s="1623" customFormat="1" x14ac:dyDescent="0.2">
      <c r="B154" s="1631"/>
      <c r="D154" s="1617"/>
    </row>
    <row r="155" spans="2:5" s="1623" customFormat="1" x14ac:dyDescent="0.2">
      <c r="B155" s="1631"/>
      <c r="D155" s="1617"/>
    </row>
    <row r="156" spans="2:5" s="1623" customFormat="1" x14ac:dyDescent="0.2">
      <c r="B156" s="1631"/>
      <c r="D156" s="1617"/>
    </row>
    <row r="157" spans="2:5" s="1623" customFormat="1" x14ac:dyDescent="0.2">
      <c r="B157" s="1631"/>
      <c r="D157" s="1617"/>
    </row>
    <row r="158" spans="2:5" s="1623" customFormat="1" x14ac:dyDescent="0.2">
      <c r="B158" s="1631"/>
      <c r="D158" s="1617"/>
    </row>
    <row r="159" spans="2:5" s="1623" customFormat="1" x14ac:dyDescent="0.2">
      <c r="B159" s="1631"/>
      <c r="D159" s="1617"/>
    </row>
    <row r="160" spans="2:5" s="1623" customFormat="1" x14ac:dyDescent="0.2">
      <c r="B160" s="1631"/>
      <c r="D160" s="1617"/>
    </row>
    <row r="161" spans="2:4" s="1623" customFormat="1" x14ac:dyDescent="0.2">
      <c r="B161" s="1631"/>
      <c r="D161" s="1617"/>
    </row>
    <row r="162" spans="2:4" s="1623" customFormat="1" x14ac:dyDescent="0.2">
      <c r="B162" s="1631"/>
      <c r="D162" s="1617"/>
    </row>
    <row r="163" spans="2:4" s="1623" customFormat="1" x14ac:dyDescent="0.2">
      <c r="B163" s="1631"/>
      <c r="D163" s="1617"/>
    </row>
    <row r="164" spans="2:4" s="1623" customFormat="1" x14ac:dyDescent="0.2">
      <c r="B164" s="1631"/>
      <c r="D164" s="1617"/>
    </row>
    <row r="165" spans="2:4" s="1623" customFormat="1" x14ac:dyDescent="0.2">
      <c r="B165" s="1631"/>
      <c r="D165" s="1617"/>
    </row>
    <row r="166" spans="2:4" s="1623" customFormat="1" x14ac:dyDescent="0.2">
      <c r="B166" s="1631"/>
      <c r="D166" s="1617"/>
    </row>
    <row r="167" spans="2:4" s="1623" customFormat="1" x14ac:dyDescent="0.2">
      <c r="B167" s="1631"/>
      <c r="D167" s="1617"/>
    </row>
    <row r="168" spans="2:4" s="1623" customFormat="1" x14ac:dyDescent="0.2">
      <c r="B168" s="1631"/>
      <c r="D168" s="1617"/>
    </row>
    <row r="169" spans="2:4" s="1623" customFormat="1" x14ac:dyDescent="0.2">
      <c r="B169" s="1631"/>
      <c r="D169" s="1617"/>
    </row>
    <row r="170" spans="2:4" s="1623" customFormat="1" x14ac:dyDescent="0.2">
      <c r="B170" s="1631"/>
      <c r="D170" s="1617"/>
    </row>
    <row r="171" spans="2:4" s="1623" customFormat="1" x14ac:dyDescent="0.2">
      <c r="B171" s="1631"/>
      <c r="D171" s="1617"/>
    </row>
    <row r="172" spans="2:4" s="1623" customFormat="1" x14ac:dyDescent="0.2">
      <c r="B172" s="1631"/>
      <c r="D172" s="1617"/>
    </row>
    <row r="173" spans="2:4" s="1623" customFormat="1" x14ac:dyDescent="0.2">
      <c r="B173" s="1631"/>
      <c r="D173" s="1617"/>
    </row>
    <row r="174" spans="2:4" s="1623" customFormat="1" x14ac:dyDescent="0.2">
      <c r="B174" s="1631"/>
      <c r="D174" s="1617"/>
    </row>
    <row r="175" spans="2:4" s="1623" customFormat="1" x14ac:dyDescent="0.2">
      <c r="B175" s="1631"/>
      <c r="D175" s="1617"/>
    </row>
    <row r="176" spans="2:4" s="1623" customFormat="1" x14ac:dyDescent="0.2">
      <c r="B176" s="1631"/>
      <c r="D176" s="1617"/>
    </row>
    <row r="177" spans="2:4" s="1623" customFormat="1" x14ac:dyDescent="0.2">
      <c r="B177" s="1631"/>
      <c r="D177" s="1617"/>
    </row>
    <row r="178" spans="2:4" s="1623" customFormat="1" x14ac:dyDescent="0.2">
      <c r="B178" s="1631"/>
      <c r="D178" s="1617"/>
    </row>
    <row r="179" spans="2:4" s="1623" customFormat="1" x14ac:dyDescent="0.2">
      <c r="B179" s="1631"/>
      <c r="D179" s="1617"/>
    </row>
    <row r="180" spans="2:4" s="1623" customFormat="1" x14ac:dyDescent="0.2">
      <c r="B180" s="1631"/>
      <c r="D180" s="1617"/>
    </row>
    <row r="181" spans="2:4" s="1623" customFormat="1" x14ac:dyDescent="0.2">
      <c r="B181" s="1631"/>
      <c r="D181" s="1617"/>
    </row>
    <row r="182" spans="2:4" s="1623" customFormat="1" x14ac:dyDescent="0.2">
      <c r="B182" s="1631"/>
      <c r="D182" s="1617"/>
    </row>
    <row r="183" spans="2:4" s="1623" customFormat="1" x14ac:dyDescent="0.2">
      <c r="B183" s="1631"/>
      <c r="D183" s="1617"/>
    </row>
    <row r="184" spans="2:4" s="1623" customFormat="1" x14ac:dyDescent="0.2">
      <c r="B184" s="1631"/>
      <c r="D184" s="1617"/>
    </row>
    <row r="185" spans="2:4" s="1623" customFormat="1" x14ac:dyDescent="0.2">
      <c r="B185" s="1631"/>
      <c r="D185" s="1617"/>
    </row>
    <row r="186" spans="2:4" s="1623" customFormat="1" x14ac:dyDescent="0.2">
      <c r="B186" s="1631"/>
      <c r="D186" s="1617"/>
    </row>
    <row r="187" spans="2:4" s="1623" customFormat="1" x14ac:dyDescent="0.2">
      <c r="B187" s="1631"/>
      <c r="D187" s="1617"/>
    </row>
    <row r="188" spans="2:4" s="1623" customFormat="1" x14ac:dyDescent="0.2">
      <c r="B188" s="1631"/>
      <c r="D188" s="1617"/>
    </row>
    <row r="189" spans="2:4" s="1623" customFormat="1" x14ac:dyDescent="0.2">
      <c r="B189" s="1631"/>
      <c r="D189" s="1617"/>
    </row>
    <row r="190" spans="2:4" s="1623" customFormat="1" x14ac:dyDescent="0.2">
      <c r="B190" s="1631"/>
      <c r="D190" s="1617"/>
    </row>
    <row r="191" spans="2:4" s="1623" customFormat="1" x14ac:dyDescent="0.2">
      <c r="B191" s="1631"/>
      <c r="D191" s="1617"/>
    </row>
    <row r="192" spans="2:4" s="1623" customFormat="1" x14ac:dyDescent="0.2">
      <c r="B192" s="1631"/>
      <c r="D192" s="1617"/>
    </row>
    <row r="193" spans="2:4" s="1623" customFormat="1" x14ac:dyDescent="0.2">
      <c r="B193" s="1631"/>
      <c r="D193" s="1617"/>
    </row>
    <row r="194" spans="2:4" s="1623" customFormat="1" x14ac:dyDescent="0.2">
      <c r="B194" s="1631"/>
      <c r="D194" s="1617"/>
    </row>
    <row r="195" spans="2:4" s="1623" customFormat="1" x14ac:dyDescent="0.2">
      <c r="B195" s="1631"/>
      <c r="D195" s="1617"/>
    </row>
    <row r="196" spans="2:4" s="1623" customFormat="1" x14ac:dyDescent="0.2">
      <c r="B196" s="1631"/>
      <c r="D196" s="1617"/>
    </row>
    <row r="197" spans="2:4" s="1623" customFormat="1" x14ac:dyDescent="0.2">
      <c r="B197" s="1631"/>
      <c r="D197" s="1617"/>
    </row>
    <row r="198" spans="2:4" s="1623" customFormat="1" x14ac:dyDescent="0.2">
      <c r="B198" s="1631"/>
      <c r="D198" s="1617"/>
    </row>
    <row r="199" spans="2:4" s="1623" customFormat="1" x14ac:dyDescent="0.2">
      <c r="B199" s="1631"/>
      <c r="D199" s="1617"/>
    </row>
    <row r="200" spans="2:4" s="1623" customFormat="1" x14ac:dyDescent="0.2">
      <c r="B200" s="1631"/>
      <c r="D200" s="1617"/>
    </row>
    <row r="201" spans="2:4" s="1623" customFormat="1" x14ac:dyDescent="0.2">
      <c r="B201" s="1631"/>
      <c r="D201" s="1617"/>
    </row>
    <row r="202" spans="2:4" s="1623" customFormat="1" x14ac:dyDescent="0.2">
      <c r="B202" s="1631"/>
      <c r="D202" s="1617"/>
    </row>
    <row r="203" spans="2:4" s="1623" customFormat="1" x14ac:dyDescent="0.2">
      <c r="B203" s="1631"/>
      <c r="D203" s="1617"/>
    </row>
    <row r="204" spans="2:4" s="1623" customFormat="1" x14ac:dyDescent="0.2">
      <c r="B204" s="1631"/>
      <c r="D204" s="1617"/>
    </row>
    <row r="205" spans="2:4" s="1623" customFormat="1" x14ac:dyDescent="0.2">
      <c r="B205" s="1631"/>
      <c r="D205" s="1617"/>
    </row>
    <row r="206" spans="2:4" s="1623" customFormat="1" x14ac:dyDescent="0.2">
      <c r="B206" s="1631"/>
      <c r="D206" s="1617"/>
    </row>
    <row r="207" spans="2:4" s="1623" customFormat="1" x14ac:dyDescent="0.2">
      <c r="B207" s="1631"/>
      <c r="D207" s="1617"/>
    </row>
    <row r="208" spans="2:4" s="1623" customFormat="1" x14ac:dyDescent="0.2">
      <c r="B208" s="1631"/>
      <c r="D208" s="1617"/>
    </row>
    <row r="209" spans="2:4" s="1623" customFormat="1" x14ac:dyDescent="0.2">
      <c r="B209" s="1631"/>
      <c r="D209" s="1617"/>
    </row>
    <row r="210" spans="2:4" s="1623" customFormat="1" x14ac:dyDescent="0.2">
      <c r="B210" s="1631"/>
      <c r="D210" s="1617"/>
    </row>
    <row r="211" spans="2:4" s="1623" customFormat="1" x14ac:dyDescent="0.2">
      <c r="B211" s="1631"/>
      <c r="D211" s="1617"/>
    </row>
    <row r="212" spans="2:4" s="1623" customFormat="1" x14ac:dyDescent="0.2">
      <c r="B212" s="1631"/>
      <c r="D212" s="1617"/>
    </row>
    <row r="213" spans="2:4" s="1623" customFormat="1" x14ac:dyDescent="0.2">
      <c r="B213" s="1631"/>
      <c r="D213" s="1617"/>
    </row>
    <row r="214" spans="2:4" s="1623" customFormat="1" x14ac:dyDescent="0.2">
      <c r="B214" s="1631"/>
      <c r="D214" s="1617"/>
    </row>
    <row r="215" spans="2:4" s="1623" customFormat="1" x14ac:dyDescent="0.2">
      <c r="B215" s="1631"/>
      <c r="D215" s="1617"/>
    </row>
    <row r="216" spans="2:4" s="1623" customFormat="1" x14ac:dyDescent="0.2">
      <c r="B216" s="1631"/>
      <c r="D216" s="1617"/>
    </row>
    <row r="217" spans="2:4" s="1623" customFormat="1" x14ac:dyDescent="0.2">
      <c r="B217" s="1631"/>
      <c r="D217" s="1617"/>
    </row>
    <row r="218" spans="2:4" s="1623" customFormat="1" x14ac:dyDescent="0.2">
      <c r="B218" s="1631"/>
      <c r="D218" s="1617"/>
    </row>
    <row r="219" spans="2:4" s="1623" customFormat="1" x14ac:dyDescent="0.2">
      <c r="B219" s="1631"/>
      <c r="D219" s="1617"/>
    </row>
    <row r="220" spans="2:4" s="1623" customFormat="1" x14ac:dyDescent="0.2">
      <c r="B220" s="1631"/>
      <c r="D220" s="1617"/>
    </row>
    <row r="221" spans="2:4" s="1623" customFormat="1" x14ac:dyDescent="0.2">
      <c r="B221" s="1631"/>
      <c r="D221" s="1617"/>
    </row>
    <row r="222" spans="2:4" s="1623" customFormat="1" x14ac:dyDescent="0.2">
      <c r="B222" s="1631"/>
      <c r="D222" s="1617"/>
    </row>
    <row r="223" spans="2:4" s="1623" customFormat="1" x14ac:dyDescent="0.2">
      <c r="B223" s="1631"/>
      <c r="D223" s="1617"/>
    </row>
    <row r="224" spans="2:4" s="1623" customFormat="1" x14ac:dyDescent="0.2">
      <c r="B224" s="1631"/>
      <c r="D224" s="1617"/>
    </row>
    <row r="225" spans="2:4" s="1623" customFormat="1" x14ac:dyDescent="0.2">
      <c r="B225" s="1631"/>
      <c r="D225" s="1617"/>
    </row>
    <row r="226" spans="2:4" s="1623" customFormat="1" x14ac:dyDescent="0.2">
      <c r="B226" s="1631"/>
      <c r="D226" s="1617"/>
    </row>
    <row r="227" spans="2:4" s="1623" customFormat="1" x14ac:dyDescent="0.2">
      <c r="B227" s="1631"/>
      <c r="D227" s="1617"/>
    </row>
    <row r="228" spans="2:4" s="1623" customFormat="1" x14ac:dyDescent="0.2">
      <c r="B228" s="1631"/>
      <c r="D228" s="1617"/>
    </row>
    <row r="229" spans="2:4" s="1623" customFormat="1" x14ac:dyDescent="0.2">
      <c r="B229" s="1631"/>
      <c r="D229" s="1617"/>
    </row>
    <row r="230" spans="2:4" s="1623" customFormat="1" x14ac:dyDescent="0.2">
      <c r="B230" s="1631"/>
      <c r="D230" s="1617"/>
    </row>
    <row r="231" spans="2:4" s="1623" customFormat="1" x14ac:dyDescent="0.2">
      <c r="B231" s="1631"/>
      <c r="D231" s="1617"/>
    </row>
    <row r="232" spans="2:4" s="1623" customFormat="1" x14ac:dyDescent="0.2">
      <c r="B232" s="1631"/>
      <c r="D232" s="1617"/>
    </row>
    <row r="233" spans="2:4" s="1623" customFormat="1" x14ac:dyDescent="0.2">
      <c r="B233" s="1631"/>
      <c r="D233" s="1617"/>
    </row>
    <row r="234" spans="2:4" s="1623" customFormat="1" x14ac:dyDescent="0.2">
      <c r="B234" s="1631"/>
      <c r="D234" s="1617"/>
    </row>
    <row r="235" spans="2:4" s="1623" customFormat="1" x14ac:dyDescent="0.2">
      <c r="B235" s="1631"/>
      <c r="D235" s="1617"/>
    </row>
    <row r="236" spans="2:4" s="1623" customFormat="1" x14ac:dyDescent="0.2">
      <c r="B236" s="1631"/>
      <c r="D236" s="1617"/>
    </row>
    <row r="237" spans="2:4" s="1623" customFormat="1" x14ac:dyDescent="0.2">
      <c r="B237" s="1631"/>
      <c r="D237" s="1617"/>
    </row>
    <row r="238" spans="2:4" s="1623" customFormat="1" x14ac:dyDescent="0.2">
      <c r="B238" s="1631"/>
      <c r="D238" s="1617"/>
    </row>
    <row r="239" spans="2:4" s="1623" customFormat="1" x14ac:dyDescent="0.2">
      <c r="B239" s="1631"/>
      <c r="D239" s="1617"/>
    </row>
    <row r="240" spans="2:4" s="1623" customFormat="1" x14ac:dyDescent="0.2">
      <c r="B240" s="1631"/>
      <c r="D240" s="1617"/>
    </row>
    <row r="241" spans="2:4" s="1623" customFormat="1" x14ac:dyDescent="0.2">
      <c r="B241" s="1631"/>
      <c r="D241" s="1617"/>
    </row>
    <row r="242" spans="2:4" s="1623" customFormat="1" x14ac:dyDescent="0.2">
      <c r="B242" s="1631"/>
      <c r="D242" s="1617"/>
    </row>
    <row r="243" spans="2:4" s="1623" customFormat="1" x14ac:dyDescent="0.2">
      <c r="B243" s="1631"/>
      <c r="D243" s="1617"/>
    </row>
    <row r="244" spans="2:4" s="1623" customFormat="1" x14ac:dyDescent="0.2">
      <c r="B244" s="1631"/>
      <c r="D244" s="1617"/>
    </row>
    <row r="245" spans="2:4" s="1623" customFormat="1" x14ac:dyDescent="0.2">
      <c r="B245" s="1631"/>
      <c r="D245" s="1617"/>
    </row>
    <row r="246" spans="2:4" s="1623" customFormat="1" x14ac:dyDescent="0.2">
      <c r="B246" s="1631"/>
      <c r="D246" s="1617"/>
    </row>
    <row r="247" spans="2:4" s="1623" customFormat="1" x14ac:dyDescent="0.2">
      <c r="B247" s="1631"/>
      <c r="D247" s="1617"/>
    </row>
    <row r="248" spans="2:4" s="1623" customFormat="1" x14ac:dyDescent="0.2">
      <c r="B248" s="1631"/>
      <c r="D248" s="1617"/>
    </row>
    <row r="249" spans="2:4" s="1623" customFormat="1" x14ac:dyDescent="0.2">
      <c r="B249" s="1631"/>
      <c r="D249" s="1617"/>
    </row>
    <row r="250" spans="2:4" s="1623" customFormat="1" x14ac:dyDescent="0.2">
      <c r="B250" s="1631"/>
      <c r="D250" s="1617"/>
    </row>
    <row r="251" spans="2:4" s="1623" customFormat="1" x14ac:dyDescent="0.2">
      <c r="B251" s="1631"/>
      <c r="D251" s="1617"/>
    </row>
    <row r="252" spans="2:4" s="1623" customFormat="1" x14ac:dyDescent="0.2">
      <c r="B252" s="1631"/>
      <c r="D252" s="1617"/>
    </row>
    <row r="253" spans="2:4" s="1623" customFormat="1" x14ac:dyDescent="0.2">
      <c r="B253" s="1631"/>
      <c r="D253" s="1617"/>
    </row>
    <row r="254" spans="2:4" s="1623" customFormat="1" x14ac:dyDescent="0.2">
      <c r="B254" s="1631"/>
      <c r="D254" s="1617"/>
    </row>
    <row r="255" spans="2:4" s="1623" customFormat="1" x14ac:dyDescent="0.2">
      <c r="B255" s="1631"/>
      <c r="D255" s="1617"/>
    </row>
    <row r="256" spans="2:4" s="1623" customFormat="1" x14ac:dyDescent="0.2">
      <c r="B256" s="1631"/>
      <c r="D256" s="1617"/>
    </row>
    <row r="257" spans="2:4" s="1623" customFormat="1" x14ac:dyDescent="0.2">
      <c r="B257" s="1631"/>
      <c r="D257" s="1617"/>
    </row>
    <row r="258" spans="2:4" s="1623" customFormat="1" x14ac:dyDescent="0.2">
      <c r="B258" s="1631"/>
      <c r="D258" s="1617"/>
    </row>
    <row r="259" spans="2:4" s="1623" customFormat="1" x14ac:dyDescent="0.2">
      <c r="B259" s="1631"/>
      <c r="D259" s="1617"/>
    </row>
    <row r="260" spans="2:4" s="1623" customFormat="1" x14ac:dyDescent="0.2">
      <c r="B260" s="1631"/>
      <c r="D260" s="1617"/>
    </row>
    <row r="261" spans="2:4" s="1623" customFormat="1" x14ac:dyDescent="0.2">
      <c r="B261" s="1631"/>
      <c r="D261" s="1617"/>
    </row>
    <row r="262" spans="2:4" s="1623" customFormat="1" x14ac:dyDescent="0.2">
      <c r="B262" s="1631"/>
      <c r="D262" s="1617"/>
    </row>
    <row r="263" spans="2:4" s="1623" customFormat="1" x14ac:dyDescent="0.2">
      <c r="B263" s="1631"/>
      <c r="D263" s="1617"/>
    </row>
    <row r="264" spans="2:4" s="1623" customFormat="1" x14ac:dyDescent="0.2">
      <c r="B264" s="1631"/>
      <c r="D264" s="1617"/>
    </row>
    <row r="265" spans="2:4" s="1623" customFormat="1" x14ac:dyDescent="0.2">
      <c r="B265" s="1631"/>
      <c r="D265" s="1617"/>
    </row>
    <row r="266" spans="2:4" s="1623" customFormat="1" x14ac:dyDescent="0.2">
      <c r="B266" s="1631"/>
      <c r="D266" s="1617"/>
    </row>
    <row r="267" spans="2:4" s="1623" customFormat="1" x14ac:dyDescent="0.2">
      <c r="B267" s="1631"/>
      <c r="D267" s="1617"/>
    </row>
    <row r="268" spans="2:4" s="1623" customFormat="1" x14ac:dyDescent="0.2">
      <c r="B268" s="1631"/>
      <c r="D268" s="1617"/>
    </row>
    <row r="269" spans="2:4" s="1623" customFormat="1" x14ac:dyDescent="0.2">
      <c r="B269" s="1631"/>
      <c r="D269" s="1617"/>
    </row>
    <row r="270" spans="2:4" s="1623" customFormat="1" x14ac:dyDescent="0.2">
      <c r="B270" s="1631"/>
      <c r="D270" s="1617"/>
    </row>
    <row r="271" spans="2:4" s="1623" customFormat="1" x14ac:dyDescent="0.2">
      <c r="B271" s="1631"/>
      <c r="D271" s="1617"/>
    </row>
    <row r="272" spans="2:4" s="1623" customFormat="1" x14ac:dyDescent="0.2">
      <c r="B272" s="1631"/>
      <c r="D272" s="1617"/>
    </row>
    <row r="273" spans="2:4" s="1623" customFormat="1" x14ac:dyDescent="0.2">
      <c r="B273" s="1631"/>
      <c r="D273" s="1617"/>
    </row>
    <row r="274" spans="2:4" s="1623" customFormat="1" x14ac:dyDescent="0.2">
      <c r="B274" s="1631"/>
      <c r="D274" s="1617"/>
    </row>
    <row r="275" spans="2:4" s="1623" customFormat="1" x14ac:dyDescent="0.2">
      <c r="B275" s="1631"/>
      <c r="D275" s="1617"/>
    </row>
    <row r="276" spans="2:4" s="1623" customFormat="1" x14ac:dyDescent="0.2">
      <c r="B276" s="1631"/>
      <c r="D276" s="1617"/>
    </row>
    <row r="277" spans="2:4" s="1623" customFormat="1" x14ac:dyDescent="0.2">
      <c r="B277" s="1631"/>
      <c r="D277" s="1617"/>
    </row>
    <row r="278" spans="2:4" s="1623" customFormat="1" x14ac:dyDescent="0.2">
      <c r="B278" s="1631"/>
      <c r="D278" s="1617"/>
    </row>
    <row r="279" spans="2:4" s="1623" customFormat="1" x14ac:dyDescent="0.2">
      <c r="B279" s="1631"/>
      <c r="D279" s="1617"/>
    </row>
    <row r="280" spans="2:4" s="1623" customFormat="1" x14ac:dyDescent="0.2">
      <c r="B280" s="1631"/>
      <c r="D280" s="1617"/>
    </row>
    <row r="281" spans="2:4" s="1623" customFormat="1" x14ac:dyDescent="0.2">
      <c r="B281" s="1631"/>
      <c r="D281" s="1617"/>
    </row>
    <row r="282" spans="2:4" s="1623" customFormat="1" x14ac:dyDescent="0.2">
      <c r="B282" s="1631"/>
      <c r="D282" s="1617"/>
    </row>
    <row r="283" spans="2:4" s="1623" customFormat="1" x14ac:dyDescent="0.2">
      <c r="B283" s="1631"/>
      <c r="D283" s="1617"/>
    </row>
    <row r="284" spans="2:4" s="1623" customFormat="1" x14ac:dyDescent="0.2">
      <c r="B284" s="1631"/>
      <c r="D284" s="1617"/>
    </row>
    <row r="285" spans="2:4" s="1623" customFormat="1" x14ac:dyDescent="0.2">
      <c r="B285" s="1631"/>
      <c r="D285" s="1617"/>
    </row>
    <row r="286" spans="2:4" s="1623" customFormat="1" x14ac:dyDescent="0.2">
      <c r="B286" s="1631"/>
      <c r="D286" s="1617"/>
    </row>
    <row r="287" spans="2:4" s="1623" customFormat="1" x14ac:dyDescent="0.2">
      <c r="B287" s="1631"/>
      <c r="D287" s="1617"/>
    </row>
    <row r="288" spans="2:4" s="1623" customFormat="1" x14ac:dyDescent="0.2">
      <c r="B288" s="1631"/>
      <c r="D288" s="1617"/>
    </row>
    <row r="289" spans="2:4" s="1623" customFormat="1" x14ac:dyDescent="0.2">
      <c r="B289" s="1631"/>
      <c r="D289" s="1617"/>
    </row>
    <row r="290" spans="2:4" s="1623" customFormat="1" x14ac:dyDescent="0.2">
      <c r="B290" s="1631"/>
      <c r="D290" s="1617"/>
    </row>
    <row r="291" spans="2:4" s="1623" customFormat="1" x14ac:dyDescent="0.2">
      <c r="B291" s="1631"/>
      <c r="D291" s="1617"/>
    </row>
    <row r="292" spans="2:4" s="1623" customFormat="1" x14ac:dyDescent="0.2">
      <c r="B292" s="1631"/>
      <c r="D292" s="1617"/>
    </row>
    <row r="293" spans="2:4" s="1623" customFormat="1" x14ac:dyDescent="0.2">
      <c r="B293" s="1631"/>
      <c r="D293" s="1617"/>
    </row>
    <row r="294" spans="2:4" s="1623" customFormat="1" x14ac:dyDescent="0.2">
      <c r="B294" s="1631"/>
      <c r="D294" s="1617"/>
    </row>
    <row r="295" spans="2:4" s="1623" customFormat="1" x14ac:dyDescent="0.2">
      <c r="B295" s="1631"/>
      <c r="D295" s="1617"/>
    </row>
    <row r="296" spans="2:4" s="1623" customFormat="1" x14ac:dyDescent="0.2">
      <c r="B296" s="1631"/>
      <c r="D296" s="1617"/>
    </row>
    <row r="297" spans="2:4" s="1623" customFormat="1" x14ac:dyDescent="0.2">
      <c r="B297" s="1631"/>
      <c r="D297" s="1617"/>
    </row>
    <row r="298" spans="2:4" s="1623" customFormat="1" x14ac:dyDescent="0.2">
      <c r="B298" s="1631"/>
      <c r="D298" s="1617"/>
    </row>
    <row r="299" spans="2:4" s="1623" customFormat="1" x14ac:dyDescent="0.2">
      <c r="B299" s="1631"/>
      <c r="D299" s="1617"/>
    </row>
    <row r="300" spans="2:4" s="1623" customFormat="1" x14ac:dyDescent="0.2">
      <c r="B300" s="1631"/>
      <c r="D300" s="1617"/>
    </row>
    <row r="301" spans="2:4" s="1623" customFormat="1" x14ac:dyDescent="0.2">
      <c r="B301" s="1631"/>
      <c r="D301" s="1617"/>
    </row>
    <row r="302" spans="2:4" s="1623" customFormat="1" x14ac:dyDescent="0.2">
      <c r="B302" s="1631"/>
      <c r="D302" s="1617"/>
    </row>
    <row r="303" spans="2:4" s="1623" customFormat="1" x14ac:dyDescent="0.2">
      <c r="B303" s="1631"/>
      <c r="D303" s="1617"/>
    </row>
    <row r="304" spans="2:4" s="1623" customFormat="1" x14ac:dyDescent="0.2">
      <c r="B304" s="1631"/>
      <c r="D304" s="1617"/>
    </row>
    <row r="305" spans="2:4" s="1623" customFormat="1" x14ac:dyDescent="0.2">
      <c r="B305" s="1631"/>
      <c r="D305" s="1617"/>
    </row>
    <row r="306" spans="2:4" s="1623" customFormat="1" x14ac:dyDescent="0.2">
      <c r="B306" s="1631"/>
      <c r="D306" s="1617"/>
    </row>
    <row r="307" spans="2:4" s="1623" customFormat="1" x14ac:dyDescent="0.2">
      <c r="B307" s="1631"/>
      <c r="D307" s="1617"/>
    </row>
    <row r="308" spans="2:4" s="1623" customFormat="1" x14ac:dyDescent="0.2">
      <c r="B308" s="1631"/>
      <c r="D308" s="1617"/>
    </row>
    <row r="309" spans="2:4" s="1623" customFormat="1" x14ac:dyDescent="0.2">
      <c r="B309" s="1631"/>
      <c r="D309" s="1617"/>
    </row>
    <row r="310" spans="2:4" s="1623" customFormat="1" x14ac:dyDescent="0.2">
      <c r="B310" s="1631"/>
      <c r="D310" s="1617"/>
    </row>
    <row r="311" spans="2:4" s="1623" customFormat="1" x14ac:dyDescent="0.2">
      <c r="B311" s="1631"/>
      <c r="D311" s="1617"/>
    </row>
    <row r="312" spans="2:4" s="1623" customFormat="1" x14ac:dyDescent="0.2">
      <c r="B312" s="1631"/>
      <c r="D312" s="1617"/>
    </row>
    <row r="313" spans="2:4" s="1623" customFormat="1" x14ac:dyDescent="0.2">
      <c r="B313" s="1631"/>
      <c r="D313" s="1617"/>
    </row>
    <row r="314" spans="2:4" s="1623" customFormat="1" x14ac:dyDescent="0.2">
      <c r="B314" s="1631"/>
      <c r="D314" s="1617"/>
    </row>
    <row r="315" spans="2:4" s="1623" customFormat="1" x14ac:dyDescent="0.2">
      <c r="B315" s="1631"/>
      <c r="D315" s="1617"/>
    </row>
    <row r="316" spans="2:4" s="1623" customFormat="1" x14ac:dyDescent="0.2">
      <c r="B316" s="1631"/>
      <c r="D316" s="1617"/>
    </row>
    <row r="317" spans="2:4" s="1623" customFormat="1" x14ac:dyDescent="0.2">
      <c r="B317" s="1631"/>
      <c r="D317" s="1617"/>
    </row>
    <row r="318" spans="2:4" s="1623" customFormat="1" x14ac:dyDescent="0.2">
      <c r="B318" s="1631"/>
      <c r="D318" s="1617"/>
    </row>
    <row r="319" spans="2:4" s="1623" customFormat="1" x14ac:dyDescent="0.2">
      <c r="B319" s="1631"/>
      <c r="D319" s="1617"/>
    </row>
    <row r="320" spans="2:4" s="1623" customFormat="1" x14ac:dyDescent="0.2">
      <c r="B320" s="1631"/>
      <c r="D320" s="1617"/>
    </row>
    <row r="321" spans="2:4" s="1623" customFormat="1" x14ac:dyDescent="0.2">
      <c r="B321" s="1631"/>
      <c r="D321" s="1617"/>
    </row>
    <row r="322" spans="2:4" s="1623" customFormat="1" x14ac:dyDescent="0.2">
      <c r="B322" s="1631"/>
      <c r="D322" s="1617"/>
    </row>
    <row r="323" spans="2:4" s="1623" customFormat="1" x14ac:dyDescent="0.2">
      <c r="B323" s="1631"/>
      <c r="D323" s="1617"/>
    </row>
    <row r="324" spans="2:4" s="1623" customFormat="1" x14ac:dyDescent="0.2">
      <c r="B324" s="1631"/>
      <c r="D324" s="1617"/>
    </row>
    <row r="325" spans="2:4" s="1623" customFormat="1" x14ac:dyDescent="0.2">
      <c r="B325" s="1631"/>
      <c r="D325" s="1617"/>
    </row>
    <row r="326" spans="2:4" s="1623" customFormat="1" x14ac:dyDescent="0.2">
      <c r="B326" s="1631"/>
      <c r="D326" s="1617"/>
    </row>
    <row r="327" spans="2:4" s="1623" customFormat="1" x14ac:dyDescent="0.2">
      <c r="B327" s="1631"/>
      <c r="D327" s="1617"/>
    </row>
    <row r="328" spans="2:4" s="1623" customFormat="1" x14ac:dyDescent="0.2">
      <c r="B328" s="1631"/>
      <c r="D328" s="1617"/>
    </row>
    <row r="329" spans="2:4" s="1623" customFormat="1" x14ac:dyDescent="0.2">
      <c r="B329" s="1631"/>
      <c r="D329" s="1617"/>
    </row>
    <row r="330" spans="2:4" s="1623" customFormat="1" x14ac:dyDescent="0.2">
      <c r="B330" s="1631"/>
      <c r="D330" s="1617"/>
    </row>
    <row r="331" spans="2:4" s="1623" customFormat="1" x14ac:dyDescent="0.2">
      <c r="B331" s="1631"/>
      <c r="D331" s="1617"/>
    </row>
    <row r="332" spans="2:4" s="1623" customFormat="1" x14ac:dyDescent="0.2">
      <c r="B332" s="1631"/>
      <c r="D332" s="1617"/>
    </row>
    <row r="333" spans="2:4" s="1623" customFormat="1" x14ac:dyDescent="0.2">
      <c r="B333" s="1631"/>
      <c r="D333" s="1617"/>
    </row>
    <row r="334" spans="2:4" s="1623" customFormat="1" x14ac:dyDescent="0.2">
      <c r="B334" s="1631"/>
      <c r="D334" s="1617"/>
    </row>
    <row r="335" spans="2:4" s="1623" customFormat="1" x14ac:dyDescent="0.2">
      <c r="B335" s="1631"/>
      <c r="D335" s="1617"/>
    </row>
    <row r="336" spans="2:4" s="1623" customFormat="1" x14ac:dyDescent="0.2">
      <c r="B336" s="1631"/>
      <c r="D336" s="1617"/>
    </row>
    <row r="337" spans="2:4" s="1623" customFormat="1" x14ac:dyDescent="0.2">
      <c r="B337" s="1631"/>
      <c r="D337" s="1617"/>
    </row>
    <row r="338" spans="2:4" s="1623" customFormat="1" x14ac:dyDescent="0.2">
      <c r="B338" s="1631"/>
      <c r="D338" s="1617"/>
    </row>
    <row r="339" spans="2:4" s="1623" customFormat="1" x14ac:dyDescent="0.2">
      <c r="B339" s="1631"/>
      <c r="D339" s="1617"/>
    </row>
    <row r="340" spans="2:4" s="1623" customFormat="1" x14ac:dyDescent="0.2">
      <c r="B340" s="1631"/>
      <c r="D340" s="1617"/>
    </row>
    <row r="341" spans="2:4" s="1623" customFormat="1" x14ac:dyDescent="0.2">
      <c r="B341" s="1631"/>
      <c r="D341" s="1617"/>
    </row>
    <row r="342" spans="2:4" s="1623" customFormat="1" x14ac:dyDescent="0.2">
      <c r="B342" s="1631"/>
      <c r="D342" s="1617"/>
    </row>
    <row r="343" spans="2:4" s="1623" customFormat="1" x14ac:dyDescent="0.2">
      <c r="B343" s="1631"/>
      <c r="D343" s="1617"/>
    </row>
    <row r="344" spans="2:4" s="1623" customFormat="1" x14ac:dyDescent="0.2">
      <c r="B344" s="1631"/>
      <c r="D344" s="1617"/>
    </row>
    <row r="345" spans="2:4" s="1623" customFormat="1" x14ac:dyDescent="0.2">
      <c r="B345" s="1631"/>
      <c r="D345" s="1617"/>
    </row>
    <row r="346" spans="2:4" s="1623" customFormat="1" x14ac:dyDescent="0.2">
      <c r="B346" s="1631"/>
      <c r="D346" s="1617"/>
    </row>
    <row r="347" spans="2:4" s="1623" customFormat="1" x14ac:dyDescent="0.2">
      <c r="B347" s="1631"/>
      <c r="D347" s="1617"/>
    </row>
    <row r="348" spans="2:4" s="1623" customFormat="1" x14ac:dyDescent="0.2">
      <c r="B348" s="1631"/>
      <c r="D348" s="1617"/>
    </row>
    <row r="349" spans="2:4" s="1623" customFormat="1" x14ac:dyDescent="0.2">
      <c r="B349" s="1631"/>
      <c r="D349" s="1617"/>
    </row>
    <row r="350" spans="2:4" s="1623" customFormat="1" x14ac:dyDescent="0.2">
      <c r="B350" s="1631"/>
      <c r="D350" s="1617"/>
    </row>
    <row r="351" spans="2:4" s="1623" customFormat="1" x14ac:dyDescent="0.2">
      <c r="B351" s="1631"/>
      <c r="D351" s="1617"/>
    </row>
    <row r="352" spans="2:4" s="1623" customFormat="1" x14ac:dyDescent="0.2">
      <c r="B352" s="1631"/>
      <c r="D352" s="1617"/>
    </row>
    <row r="353" spans="2:4" s="1623" customFormat="1" x14ac:dyDescent="0.2">
      <c r="B353" s="1631"/>
      <c r="D353" s="1617"/>
    </row>
    <row r="354" spans="2:4" s="1623" customFormat="1" x14ac:dyDescent="0.2">
      <c r="B354" s="1631"/>
      <c r="D354" s="1617"/>
    </row>
    <row r="355" spans="2:4" s="1623" customFormat="1" x14ac:dyDescent="0.2">
      <c r="B355" s="1631"/>
      <c r="D355" s="1617"/>
    </row>
    <row r="356" spans="2:4" s="1623" customFormat="1" x14ac:dyDescent="0.2">
      <c r="B356" s="1631"/>
      <c r="D356" s="1617"/>
    </row>
    <row r="357" spans="2:4" s="1623" customFormat="1" x14ac:dyDescent="0.2">
      <c r="B357" s="1631"/>
      <c r="D357" s="1617"/>
    </row>
    <row r="358" spans="2:4" s="1623" customFormat="1" x14ac:dyDescent="0.2">
      <c r="B358" s="1631"/>
      <c r="D358" s="1617"/>
    </row>
    <row r="359" spans="2:4" s="1623" customFormat="1" x14ac:dyDescent="0.2">
      <c r="B359" s="1631"/>
      <c r="D359" s="1617"/>
    </row>
    <row r="360" spans="2:4" s="1623" customFormat="1" x14ac:dyDescent="0.2">
      <c r="B360" s="1631"/>
      <c r="D360" s="1617"/>
    </row>
    <row r="361" spans="2:4" s="1623" customFormat="1" x14ac:dyDescent="0.2">
      <c r="B361" s="1631"/>
      <c r="D361" s="1617"/>
    </row>
    <row r="362" spans="2:4" s="1623" customFormat="1" x14ac:dyDescent="0.2">
      <c r="B362" s="1631"/>
      <c r="D362" s="1617"/>
    </row>
    <row r="363" spans="2:4" s="1623" customFormat="1" x14ac:dyDescent="0.2">
      <c r="B363" s="1631"/>
      <c r="D363" s="1617"/>
    </row>
    <row r="364" spans="2:4" s="1623" customFormat="1" x14ac:dyDescent="0.2">
      <c r="B364" s="1631"/>
      <c r="D364" s="1617"/>
    </row>
    <row r="365" spans="2:4" s="1623" customFormat="1" x14ac:dyDescent="0.2">
      <c r="B365" s="1631"/>
      <c r="D365" s="1617"/>
    </row>
    <row r="366" spans="2:4" s="1623" customFormat="1" x14ac:dyDescent="0.2">
      <c r="B366" s="1631"/>
      <c r="D366" s="1617"/>
    </row>
    <row r="367" spans="2:4" s="1623" customFormat="1" x14ac:dyDescent="0.2">
      <c r="B367" s="1631"/>
      <c r="D367" s="1617"/>
    </row>
    <row r="368" spans="2:4" s="1623" customFormat="1" x14ac:dyDescent="0.2">
      <c r="B368" s="1631"/>
      <c r="D368" s="1617"/>
    </row>
    <row r="369" spans="2:4" s="1623" customFormat="1" x14ac:dyDescent="0.2">
      <c r="B369" s="1631"/>
      <c r="D369" s="1617"/>
    </row>
    <row r="370" spans="2:4" s="1623" customFormat="1" x14ac:dyDescent="0.2">
      <c r="B370" s="1631"/>
      <c r="D370" s="1617"/>
    </row>
    <row r="371" spans="2:4" s="1623" customFormat="1" x14ac:dyDescent="0.2">
      <c r="B371" s="1631"/>
      <c r="D371" s="1617"/>
    </row>
    <row r="372" spans="2:4" s="1623" customFormat="1" x14ac:dyDescent="0.2">
      <c r="B372" s="1631"/>
      <c r="D372" s="1617"/>
    </row>
    <row r="373" spans="2:4" s="1623" customFormat="1" x14ac:dyDescent="0.2">
      <c r="B373" s="1631"/>
      <c r="D373" s="1617"/>
    </row>
    <row r="374" spans="2:4" s="1623" customFormat="1" x14ac:dyDescent="0.2">
      <c r="B374" s="1631"/>
      <c r="D374" s="1617"/>
    </row>
    <row r="375" spans="2:4" s="1623" customFormat="1" x14ac:dyDescent="0.2">
      <c r="B375" s="1631"/>
      <c r="D375" s="1617"/>
    </row>
    <row r="376" spans="2:4" s="1623" customFormat="1" x14ac:dyDescent="0.2">
      <c r="B376" s="1631"/>
      <c r="D376" s="1617"/>
    </row>
    <row r="377" spans="2:4" s="1623" customFormat="1" x14ac:dyDescent="0.2">
      <c r="B377" s="1631"/>
      <c r="D377" s="1617"/>
    </row>
    <row r="378" spans="2:4" s="1623" customFormat="1" x14ac:dyDescent="0.2">
      <c r="B378" s="1631"/>
      <c r="D378" s="1617"/>
    </row>
    <row r="379" spans="2:4" s="1623" customFormat="1" x14ac:dyDescent="0.2">
      <c r="B379" s="1631"/>
      <c r="D379" s="1617"/>
    </row>
    <row r="380" spans="2:4" s="1623" customFormat="1" x14ac:dyDescent="0.2">
      <c r="B380" s="1631"/>
      <c r="D380" s="1617"/>
    </row>
    <row r="381" spans="2:4" s="1623" customFormat="1" x14ac:dyDescent="0.2">
      <c r="B381" s="1631"/>
      <c r="D381" s="1617"/>
    </row>
    <row r="382" spans="2:4" s="1623" customFormat="1" x14ac:dyDescent="0.2">
      <c r="B382" s="1631"/>
      <c r="D382" s="1617"/>
    </row>
    <row r="383" spans="2:4" s="1623" customFormat="1" x14ac:dyDescent="0.2">
      <c r="B383" s="1631"/>
      <c r="D383" s="1617"/>
    </row>
    <row r="384" spans="2:4" s="1623" customFormat="1" x14ac:dyDescent="0.2">
      <c r="B384" s="1631"/>
      <c r="D384" s="1617"/>
    </row>
    <row r="385" spans="2:4" s="1623" customFormat="1" x14ac:dyDescent="0.2">
      <c r="B385" s="1631"/>
      <c r="D385" s="1617"/>
    </row>
    <row r="386" spans="2:4" s="1623" customFormat="1" x14ac:dyDescent="0.2">
      <c r="B386" s="1631"/>
      <c r="D386" s="1617"/>
    </row>
    <row r="387" spans="2:4" s="1623" customFormat="1" x14ac:dyDescent="0.2">
      <c r="B387" s="1631"/>
      <c r="D387" s="1617"/>
    </row>
    <row r="388" spans="2:4" s="1623" customFormat="1" x14ac:dyDescent="0.2">
      <c r="B388" s="1631"/>
      <c r="D388" s="1617"/>
    </row>
    <row r="389" spans="2:4" s="1623" customFormat="1" x14ac:dyDescent="0.2">
      <c r="B389" s="1631"/>
      <c r="D389" s="1617"/>
    </row>
    <row r="390" spans="2:4" s="1623" customFormat="1" x14ac:dyDescent="0.2">
      <c r="B390" s="1631"/>
      <c r="D390" s="1617"/>
    </row>
    <row r="391" spans="2:4" s="1623" customFormat="1" x14ac:dyDescent="0.2">
      <c r="B391" s="1631"/>
      <c r="D391" s="1617"/>
    </row>
    <row r="392" spans="2:4" s="1623" customFormat="1" x14ac:dyDescent="0.2">
      <c r="B392" s="1631"/>
      <c r="D392" s="1617"/>
    </row>
    <row r="393" spans="2:4" s="1623" customFormat="1" x14ac:dyDescent="0.2">
      <c r="B393" s="1631"/>
      <c r="D393" s="1617"/>
    </row>
    <row r="394" spans="2:4" s="1623" customFormat="1" x14ac:dyDescent="0.2">
      <c r="B394" s="1631"/>
      <c r="D394" s="1617"/>
    </row>
    <row r="395" spans="2:4" s="1623" customFormat="1" x14ac:dyDescent="0.2">
      <c r="B395" s="1631"/>
      <c r="D395" s="1617"/>
    </row>
    <row r="396" spans="2:4" s="1623" customFormat="1" x14ac:dyDescent="0.2">
      <c r="B396" s="1631"/>
      <c r="D396" s="1617"/>
    </row>
    <row r="397" spans="2:4" s="1623" customFormat="1" x14ac:dyDescent="0.2">
      <c r="B397" s="1631"/>
      <c r="D397" s="1617"/>
    </row>
    <row r="398" spans="2:4" s="1623" customFormat="1" x14ac:dyDescent="0.2">
      <c r="B398" s="1631"/>
      <c r="D398" s="1617"/>
    </row>
    <row r="399" spans="2:4" s="1623" customFormat="1" x14ac:dyDescent="0.2">
      <c r="B399" s="1631"/>
      <c r="D399" s="1617"/>
    </row>
    <row r="400" spans="2:4" s="1623" customFormat="1" x14ac:dyDescent="0.2">
      <c r="B400" s="1631"/>
      <c r="D400" s="1617"/>
    </row>
    <row r="401" spans="2:4" s="1623" customFormat="1" x14ac:dyDescent="0.2">
      <c r="B401" s="1631"/>
      <c r="D401" s="1617"/>
    </row>
    <row r="402" spans="2:4" s="1623" customFormat="1" x14ac:dyDescent="0.2">
      <c r="B402" s="1631"/>
      <c r="D402" s="1617"/>
    </row>
    <row r="403" spans="2:4" s="1623" customFormat="1" x14ac:dyDescent="0.2">
      <c r="B403" s="1631"/>
      <c r="D403" s="1617"/>
    </row>
    <row r="404" spans="2:4" s="1623" customFormat="1" x14ac:dyDescent="0.2">
      <c r="B404" s="1631"/>
      <c r="D404" s="1617"/>
    </row>
    <row r="405" spans="2:4" s="1623" customFormat="1" x14ac:dyDescent="0.2">
      <c r="B405" s="1631"/>
      <c r="D405" s="1617"/>
    </row>
    <row r="406" spans="2:4" s="1623" customFormat="1" x14ac:dyDescent="0.2">
      <c r="B406" s="1631"/>
      <c r="D406" s="1617"/>
    </row>
    <row r="407" spans="2:4" s="1623" customFormat="1" x14ac:dyDescent="0.2">
      <c r="B407" s="1631"/>
      <c r="D407" s="1617"/>
    </row>
    <row r="408" spans="2:4" s="1623" customFormat="1" x14ac:dyDescent="0.2">
      <c r="B408" s="1631"/>
      <c r="D408" s="1617"/>
    </row>
    <row r="409" spans="2:4" s="1623" customFormat="1" x14ac:dyDescent="0.2">
      <c r="B409" s="1631"/>
      <c r="D409" s="1617"/>
    </row>
    <row r="410" spans="2:4" s="1623" customFormat="1" x14ac:dyDescent="0.2">
      <c r="B410" s="1631"/>
      <c r="D410" s="1617"/>
    </row>
    <row r="411" spans="2:4" s="1623" customFormat="1" x14ac:dyDescent="0.2">
      <c r="B411" s="1631"/>
      <c r="D411" s="1617"/>
    </row>
    <row r="412" spans="2:4" s="1623" customFormat="1" x14ac:dyDescent="0.2">
      <c r="B412" s="1631"/>
      <c r="D412" s="1617"/>
    </row>
    <row r="413" spans="2:4" s="1623" customFormat="1" x14ac:dyDescent="0.2">
      <c r="B413" s="1631"/>
      <c r="D413" s="1617"/>
    </row>
    <row r="414" spans="2:4" s="1623" customFormat="1" x14ac:dyDescent="0.2">
      <c r="B414" s="1631"/>
      <c r="D414" s="1617"/>
    </row>
    <row r="415" spans="2:4" s="1623" customFormat="1" x14ac:dyDescent="0.2">
      <c r="B415" s="1631"/>
      <c r="D415" s="1617"/>
    </row>
    <row r="416" spans="2:4" s="1623" customFormat="1" x14ac:dyDescent="0.2">
      <c r="B416" s="1631"/>
      <c r="D416" s="1617"/>
    </row>
    <row r="417" spans="2:4" s="1623" customFormat="1" x14ac:dyDescent="0.2">
      <c r="B417" s="1631"/>
      <c r="D417" s="1617"/>
    </row>
    <row r="418" spans="2:4" s="1623" customFormat="1" x14ac:dyDescent="0.2">
      <c r="B418" s="1631"/>
      <c r="D418" s="1617"/>
    </row>
    <row r="419" spans="2:4" s="1623" customFormat="1" x14ac:dyDescent="0.2">
      <c r="B419" s="1631"/>
      <c r="D419" s="1617"/>
    </row>
    <row r="420" spans="2:4" s="1623" customFormat="1" x14ac:dyDescent="0.2">
      <c r="B420" s="1631"/>
      <c r="D420" s="1617"/>
    </row>
    <row r="421" spans="2:4" s="1623" customFormat="1" x14ac:dyDescent="0.2">
      <c r="B421" s="1631"/>
      <c r="D421" s="1617"/>
    </row>
    <row r="422" spans="2:4" s="1623" customFormat="1" x14ac:dyDescent="0.2">
      <c r="B422" s="1631"/>
      <c r="D422" s="1617"/>
    </row>
    <row r="423" spans="2:4" s="1623" customFormat="1" x14ac:dyDescent="0.2">
      <c r="B423" s="1631"/>
      <c r="D423" s="1617"/>
    </row>
    <row r="424" spans="2:4" s="1623" customFormat="1" x14ac:dyDescent="0.2">
      <c r="B424" s="1631"/>
      <c r="D424" s="1617"/>
    </row>
    <row r="425" spans="2:4" s="1623" customFormat="1" x14ac:dyDescent="0.2">
      <c r="B425" s="1631"/>
      <c r="D425" s="1617"/>
    </row>
    <row r="426" spans="2:4" s="1623" customFormat="1" x14ac:dyDescent="0.2">
      <c r="B426" s="1631"/>
      <c r="D426" s="1617"/>
    </row>
    <row r="427" spans="2:4" s="1623" customFormat="1" x14ac:dyDescent="0.2">
      <c r="B427" s="1631"/>
      <c r="D427" s="1617"/>
    </row>
    <row r="428" spans="2:4" s="1623" customFormat="1" x14ac:dyDescent="0.2">
      <c r="B428" s="1631"/>
      <c r="D428" s="1617"/>
    </row>
    <row r="429" spans="2:4" s="1623" customFormat="1" x14ac:dyDescent="0.2">
      <c r="B429" s="1631"/>
      <c r="D429" s="1617"/>
    </row>
    <row r="430" spans="2:4" s="1623" customFormat="1" x14ac:dyDescent="0.2">
      <c r="B430" s="1631"/>
      <c r="D430" s="1617"/>
    </row>
    <row r="431" spans="2:4" s="1623" customFormat="1" x14ac:dyDescent="0.2">
      <c r="B431" s="1631"/>
      <c r="D431" s="1617"/>
    </row>
    <row r="432" spans="2:4" s="1623" customFormat="1" x14ac:dyDescent="0.2">
      <c r="B432" s="1631"/>
      <c r="D432" s="1617"/>
    </row>
    <row r="433" spans="2:4" s="1623" customFormat="1" x14ac:dyDescent="0.2">
      <c r="B433" s="1631"/>
      <c r="D433" s="1617"/>
    </row>
    <row r="434" spans="2:4" s="1623" customFormat="1" x14ac:dyDescent="0.2">
      <c r="B434" s="1631"/>
      <c r="D434" s="1617"/>
    </row>
    <row r="435" spans="2:4" s="1623" customFormat="1" x14ac:dyDescent="0.2">
      <c r="B435" s="1631"/>
      <c r="D435" s="1617"/>
    </row>
    <row r="436" spans="2:4" s="1623" customFormat="1" x14ac:dyDescent="0.2">
      <c r="B436" s="1631"/>
      <c r="D436" s="1617"/>
    </row>
    <row r="437" spans="2:4" s="1623" customFormat="1" x14ac:dyDescent="0.2">
      <c r="B437" s="1631"/>
      <c r="D437" s="1617"/>
    </row>
    <row r="438" spans="2:4" s="1623" customFormat="1" x14ac:dyDescent="0.2">
      <c r="B438" s="1631"/>
      <c r="D438" s="1617"/>
    </row>
    <row r="439" spans="2:4" s="1623" customFormat="1" x14ac:dyDescent="0.2">
      <c r="B439" s="1631"/>
      <c r="D439" s="1617"/>
    </row>
    <row r="440" spans="2:4" s="1623" customFormat="1" x14ac:dyDescent="0.2">
      <c r="B440" s="1631"/>
      <c r="D440" s="1617"/>
    </row>
    <row r="441" spans="2:4" s="1623" customFormat="1" x14ac:dyDescent="0.2">
      <c r="B441" s="1631"/>
      <c r="D441" s="1617"/>
    </row>
    <row r="442" spans="2:4" s="1623" customFormat="1" x14ac:dyDescent="0.2">
      <c r="B442" s="1631"/>
      <c r="D442" s="1617"/>
    </row>
    <row r="443" spans="2:4" s="1623" customFormat="1" x14ac:dyDescent="0.2">
      <c r="B443" s="1631"/>
      <c r="D443" s="1617"/>
    </row>
    <row r="444" spans="2:4" s="1623" customFormat="1" x14ac:dyDescent="0.2">
      <c r="B444" s="1631"/>
      <c r="D444" s="1617"/>
    </row>
    <row r="445" spans="2:4" s="1623" customFormat="1" x14ac:dyDescent="0.2">
      <c r="B445" s="1631"/>
      <c r="D445" s="1617"/>
    </row>
    <row r="446" spans="2:4" s="1623" customFormat="1" x14ac:dyDescent="0.2">
      <c r="B446" s="1631"/>
      <c r="D446" s="1617"/>
    </row>
    <row r="447" spans="2:4" s="1623" customFormat="1" x14ac:dyDescent="0.2">
      <c r="B447" s="1631"/>
      <c r="D447" s="1617"/>
    </row>
    <row r="448" spans="2:4" s="1623" customFormat="1" x14ac:dyDescent="0.2">
      <c r="B448" s="1631"/>
      <c r="D448" s="1617"/>
    </row>
    <row r="449" spans="2:4" s="1623" customFormat="1" x14ac:dyDescent="0.2">
      <c r="B449" s="1631"/>
      <c r="D449" s="1617"/>
    </row>
    <row r="450" spans="2:4" s="1623" customFormat="1" x14ac:dyDescent="0.2">
      <c r="B450" s="1631"/>
      <c r="D450" s="1617"/>
    </row>
    <row r="451" spans="2:4" s="1623" customFormat="1" x14ac:dyDescent="0.2">
      <c r="B451" s="1631"/>
      <c r="D451" s="1617"/>
    </row>
    <row r="452" spans="2:4" s="1623" customFormat="1" x14ac:dyDescent="0.2">
      <c r="B452" s="1631"/>
      <c r="D452" s="1617"/>
    </row>
    <row r="453" spans="2:4" s="1623" customFormat="1" x14ac:dyDescent="0.2">
      <c r="B453" s="1631"/>
      <c r="D453" s="1617"/>
    </row>
    <row r="454" spans="2:4" s="1623" customFormat="1" x14ac:dyDescent="0.2">
      <c r="B454" s="1631"/>
      <c r="D454" s="1617"/>
    </row>
    <row r="455" spans="2:4" s="1623" customFormat="1" x14ac:dyDescent="0.2">
      <c r="B455" s="1631"/>
      <c r="D455" s="1617"/>
    </row>
    <row r="456" spans="2:4" s="1623" customFormat="1" x14ac:dyDescent="0.2">
      <c r="B456" s="1631"/>
      <c r="D456" s="1617"/>
    </row>
    <row r="457" spans="2:4" s="1623" customFormat="1" x14ac:dyDescent="0.2">
      <c r="B457" s="1631"/>
      <c r="D457" s="1617"/>
    </row>
    <row r="458" spans="2:4" s="1623" customFormat="1" x14ac:dyDescent="0.2">
      <c r="B458" s="1631"/>
      <c r="D458" s="1617"/>
    </row>
    <row r="459" spans="2:4" s="1623" customFormat="1" x14ac:dyDescent="0.2">
      <c r="B459" s="1631"/>
      <c r="D459" s="1617"/>
    </row>
    <row r="460" spans="2:4" s="1623" customFormat="1" x14ac:dyDescent="0.2">
      <c r="B460" s="1631"/>
      <c r="D460" s="1617"/>
    </row>
    <row r="461" spans="2:4" s="1623" customFormat="1" x14ac:dyDescent="0.2">
      <c r="B461" s="1631"/>
      <c r="D461" s="1617"/>
    </row>
    <row r="462" spans="2:4" s="1623" customFormat="1" x14ac:dyDescent="0.2">
      <c r="B462" s="1631"/>
      <c r="D462" s="1617"/>
    </row>
    <row r="463" spans="2:4" s="1623" customFormat="1" x14ac:dyDescent="0.2">
      <c r="B463" s="1631"/>
      <c r="D463" s="1617"/>
    </row>
    <row r="464" spans="2:4" s="1623" customFormat="1" x14ac:dyDescent="0.2">
      <c r="B464" s="1631"/>
      <c r="D464" s="1617"/>
    </row>
    <row r="465" spans="2:4" s="1623" customFormat="1" x14ac:dyDescent="0.2">
      <c r="B465" s="1631"/>
      <c r="D465" s="1617"/>
    </row>
    <row r="466" spans="2:4" s="1623" customFormat="1" x14ac:dyDescent="0.2">
      <c r="B466" s="1631"/>
      <c r="D466" s="1617"/>
    </row>
    <row r="467" spans="2:4" s="1623" customFormat="1" x14ac:dyDescent="0.2">
      <c r="B467" s="1631"/>
      <c r="D467" s="1617"/>
    </row>
    <row r="468" spans="2:4" s="1623" customFormat="1" x14ac:dyDescent="0.2">
      <c r="B468" s="1631"/>
      <c r="D468" s="1617"/>
    </row>
    <row r="469" spans="2:4" s="1623" customFormat="1" x14ac:dyDescent="0.2">
      <c r="B469" s="1631"/>
      <c r="D469" s="1617"/>
    </row>
    <row r="470" spans="2:4" s="1623" customFormat="1" x14ac:dyDescent="0.2">
      <c r="B470" s="1631"/>
      <c r="D470" s="1617"/>
    </row>
    <row r="471" spans="2:4" s="1623" customFormat="1" x14ac:dyDescent="0.2">
      <c r="B471" s="1631"/>
      <c r="D471" s="1617"/>
    </row>
    <row r="472" spans="2:4" s="1623" customFormat="1" x14ac:dyDescent="0.2">
      <c r="B472" s="1631"/>
      <c r="D472" s="1617"/>
    </row>
    <row r="473" spans="2:4" s="1623" customFormat="1" x14ac:dyDescent="0.2">
      <c r="B473" s="1631"/>
      <c r="D473" s="1617"/>
    </row>
    <row r="474" spans="2:4" s="1623" customFormat="1" x14ac:dyDescent="0.2">
      <c r="B474" s="1631"/>
      <c r="D474" s="1617"/>
    </row>
    <row r="475" spans="2:4" s="1623" customFormat="1" x14ac:dyDescent="0.2">
      <c r="B475" s="1631"/>
      <c r="D475" s="1617"/>
    </row>
    <row r="476" spans="2:4" s="1623" customFormat="1" x14ac:dyDescent="0.2">
      <c r="B476" s="1631"/>
      <c r="D476" s="1617"/>
    </row>
    <row r="477" spans="2:4" s="1623" customFormat="1" x14ac:dyDescent="0.2">
      <c r="B477" s="1631"/>
      <c r="D477" s="1617"/>
    </row>
    <row r="478" spans="2:4" s="1623" customFormat="1" x14ac:dyDescent="0.2">
      <c r="B478" s="1631"/>
      <c r="D478" s="1617"/>
    </row>
    <row r="479" spans="2:4" s="1623" customFormat="1" x14ac:dyDescent="0.2">
      <c r="B479" s="1631"/>
      <c r="D479" s="1617"/>
    </row>
    <row r="480" spans="2:4" s="1623" customFormat="1" x14ac:dyDescent="0.2">
      <c r="B480" s="1631"/>
      <c r="D480" s="1617"/>
    </row>
    <row r="481" spans="2:4" s="1623" customFormat="1" x14ac:dyDescent="0.2">
      <c r="B481" s="1631"/>
      <c r="D481" s="1617"/>
    </row>
    <row r="482" spans="2:4" s="1623" customFormat="1" x14ac:dyDescent="0.2">
      <c r="B482" s="1631"/>
      <c r="D482" s="1617"/>
    </row>
    <row r="483" spans="2:4" s="1623" customFormat="1" x14ac:dyDescent="0.2">
      <c r="B483" s="1631"/>
      <c r="D483" s="1617"/>
    </row>
    <row r="484" spans="2:4" s="1623" customFormat="1" x14ac:dyDescent="0.2">
      <c r="B484" s="1631"/>
      <c r="D484" s="1617"/>
    </row>
    <row r="485" spans="2:4" s="1623" customFormat="1" x14ac:dyDescent="0.2">
      <c r="B485" s="1631"/>
      <c r="D485" s="1617"/>
    </row>
    <row r="486" spans="2:4" s="1623" customFormat="1" x14ac:dyDescent="0.2">
      <c r="B486" s="1631"/>
      <c r="D486" s="1617"/>
    </row>
    <row r="487" spans="2:4" s="1623" customFormat="1" x14ac:dyDescent="0.2">
      <c r="B487" s="1631"/>
      <c r="D487" s="1617"/>
    </row>
    <row r="488" spans="2:4" s="1623" customFormat="1" x14ac:dyDescent="0.2">
      <c r="B488" s="1631"/>
      <c r="D488" s="1617"/>
    </row>
    <row r="489" spans="2:4" s="1623" customFormat="1" x14ac:dyDescent="0.2">
      <c r="B489" s="1631"/>
      <c r="D489" s="1617"/>
    </row>
    <row r="490" spans="2:4" s="1623" customFormat="1" x14ac:dyDescent="0.2">
      <c r="B490" s="1631"/>
      <c r="D490" s="1617"/>
    </row>
    <row r="491" spans="2:4" s="1623" customFormat="1" x14ac:dyDescent="0.2">
      <c r="B491" s="1631"/>
      <c r="D491" s="1617"/>
    </row>
    <row r="492" spans="2:4" s="1623" customFormat="1" x14ac:dyDescent="0.2">
      <c r="B492" s="1631"/>
      <c r="D492" s="1617"/>
    </row>
    <row r="493" spans="2:4" s="1623" customFormat="1" x14ac:dyDescent="0.2">
      <c r="B493" s="1631"/>
      <c r="D493" s="1617"/>
    </row>
    <row r="494" spans="2:4" s="1623" customFormat="1" x14ac:dyDescent="0.2">
      <c r="B494" s="1631"/>
      <c r="D494" s="1617"/>
    </row>
    <row r="495" spans="2:4" s="1623" customFormat="1" x14ac:dyDescent="0.2">
      <c r="B495" s="1631"/>
      <c r="D495" s="1617"/>
    </row>
    <row r="496" spans="2:4" s="1623" customFormat="1" x14ac:dyDescent="0.2">
      <c r="B496" s="1631"/>
      <c r="D496" s="1617"/>
    </row>
    <row r="497" spans="2:4" s="1623" customFormat="1" x14ac:dyDescent="0.2">
      <c r="B497" s="1631"/>
      <c r="D497" s="1617"/>
    </row>
    <row r="498" spans="2:4" s="1623" customFormat="1" x14ac:dyDescent="0.2">
      <c r="B498" s="1631"/>
      <c r="D498" s="1617"/>
    </row>
    <row r="499" spans="2:4" s="1623" customFormat="1" x14ac:dyDescent="0.2">
      <c r="B499" s="1631"/>
      <c r="D499" s="1617"/>
    </row>
    <row r="500" spans="2:4" s="1623" customFormat="1" x14ac:dyDescent="0.2">
      <c r="B500" s="1631"/>
      <c r="D500" s="1617"/>
    </row>
    <row r="501" spans="2:4" s="1623" customFormat="1" x14ac:dyDescent="0.2">
      <c r="B501" s="1631"/>
      <c r="D501" s="1617"/>
    </row>
    <row r="502" spans="2:4" s="1623" customFormat="1" x14ac:dyDescent="0.2">
      <c r="B502" s="1631"/>
      <c r="D502" s="1617"/>
    </row>
    <row r="503" spans="2:4" s="1623" customFormat="1" x14ac:dyDescent="0.2">
      <c r="B503" s="1631"/>
      <c r="D503" s="1617"/>
    </row>
    <row r="504" spans="2:4" s="1623" customFormat="1" x14ac:dyDescent="0.2">
      <c r="B504" s="1631"/>
      <c r="D504" s="1617"/>
    </row>
    <row r="505" spans="2:4" s="1623" customFormat="1" x14ac:dyDescent="0.2">
      <c r="B505" s="1631"/>
      <c r="D505" s="1617"/>
    </row>
    <row r="506" spans="2:4" s="1623" customFormat="1" x14ac:dyDescent="0.2">
      <c r="B506" s="1631"/>
      <c r="D506" s="1617"/>
    </row>
    <row r="507" spans="2:4" s="1623" customFormat="1" x14ac:dyDescent="0.2">
      <c r="B507" s="1631"/>
      <c r="D507" s="1617"/>
    </row>
    <row r="508" spans="2:4" s="1623" customFormat="1" x14ac:dyDescent="0.2">
      <c r="B508" s="1631"/>
      <c r="D508" s="1617"/>
    </row>
    <row r="509" spans="2:4" s="1623" customFormat="1" x14ac:dyDescent="0.2">
      <c r="B509" s="1631"/>
      <c r="D509" s="1617"/>
    </row>
    <row r="510" spans="2:4" s="1623" customFormat="1" x14ac:dyDescent="0.2">
      <c r="B510" s="1631"/>
      <c r="D510" s="1617"/>
    </row>
    <row r="511" spans="2:4" s="1623" customFormat="1" x14ac:dyDescent="0.2">
      <c r="B511" s="1631"/>
      <c r="D511" s="1617"/>
    </row>
    <row r="512" spans="2:4" s="1623" customFormat="1" x14ac:dyDescent="0.2">
      <c r="B512" s="1631"/>
      <c r="D512" s="1617"/>
    </row>
    <row r="513" spans="2:4" s="1623" customFormat="1" x14ac:dyDescent="0.2">
      <c r="B513" s="1631"/>
      <c r="D513" s="1617"/>
    </row>
    <row r="514" spans="2:4" s="1623" customFormat="1" x14ac:dyDescent="0.2">
      <c r="B514" s="1631"/>
      <c r="D514" s="1617"/>
    </row>
    <row r="515" spans="2:4" s="1623" customFormat="1" x14ac:dyDescent="0.2">
      <c r="B515" s="1631"/>
      <c r="D515" s="1617"/>
    </row>
    <row r="516" spans="2:4" s="1623" customFormat="1" x14ac:dyDescent="0.2">
      <c r="B516" s="1631"/>
      <c r="D516" s="1617"/>
    </row>
    <row r="517" spans="2:4" s="1623" customFormat="1" x14ac:dyDescent="0.2">
      <c r="B517" s="1631"/>
      <c r="D517" s="1617"/>
    </row>
    <row r="518" spans="2:4" s="1623" customFormat="1" x14ac:dyDescent="0.2">
      <c r="B518" s="1631"/>
      <c r="D518" s="1617"/>
    </row>
    <row r="519" spans="2:4" s="1623" customFormat="1" x14ac:dyDescent="0.2">
      <c r="B519" s="1631"/>
      <c r="D519" s="1617"/>
    </row>
    <row r="520" spans="2:4" s="1623" customFormat="1" x14ac:dyDescent="0.2">
      <c r="B520" s="1631"/>
      <c r="D520" s="1617"/>
    </row>
    <row r="521" spans="2:4" s="1623" customFormat="1" x14ac:dyDescent="0.2">
      <c r="B521" s="1631"/>
      <c r="D521" s="1617"/>
    </row>
    <row r="522" spans="2:4" s="1623" customFormat="1" x14ac:dyDescent="0.2">
      <c r="B522" s="1631"/>
      <c r="D522" s="1617"/>
    </row>
    <row r="523" spans="2:4" s="1623" customFormat="1" x14ac:dyDescent="0.2">
      <c r="B523" s="1631"/>
      <c r="D523" s="1617"/>
    </row>
    <row r="524" spans="2:4" s="1623" customFormat="1" x14ac:dyDescent="0.2">
      <c r="B524" s="1631"/>
      <c r="D524" s="1617"/>
    </row>
    <row r="525" spans="2:4" s="1623" customFormat="1" x14ac:dyDescent="0.2">
      <c r="B525" s="1631"/>
      <c r="D525" s="1617"/>
    </row>
    <row r="526" spans="2:4" s="1623" customFormat="1" x14ac:dyDescent="0.2">
      <c r="B526" s="1631"/>
      <c r="D526" s="1617"/>
    </row>
    <row r="527" spans="2:4" s="1623" customFormat="1" x14ac:dyDescent="0.2">
      <c r="B527" s="1631"/>
      <c r="D527" s="1617"/>
    </row>
    <row r="528" spans="2:4" s="1623" customFormat="1" x14ac:dyDescent="0.2">
      <c r="B528" s="1631"/>
      <c r="D528" s="1617"/>
    </row>
    <row r="529" spans="2:4" s="1623" customFormat="1" x14ac:dyDescent="0.2">
      <c r="B529" s="1631"/>
      <c r="D529" s="1617"/>
    </row>
    <row r="530" spans="2:4" s="1623" customFormat="1" x14ac:dyDescent="0.2">
      <c r="B530" s="1631"/>
      <c r="D530" s="1617"/>
    </row>
    <row r="531" spans="2:4" s="1623" customFormat="1" x14ac:dyDescent="0.2">
      <c r="B531" s="1631"/>
      <c r="D531" s="1617"/>
    </row>
    <row r="532" spans="2:4" s="1623" customFormat="1" x14ac:dyDescent="0.2">
      <c r="B532" s="1631"/>
      <c r="D532" s="1617"/>
    </row>
    <row r="533" spans="2:4" s="1623" customFormat="1" x14ac:dyDescent="0.2">
      <c r="B533" s="1631"/>
      <c r="D533" s="1617"/>
    </row>
    <row r="534" spans="2:4" s="1623" customFormat="1" x14ac:dyDescent="0.2">
      <c r="B534" s="1631"/>
      <c r="D534" s="1617"/>
    </row>
    <row r="535" spans="2:4" s="1623" customFormat="1" x14ac:dyDescent="0.2">
      <c r="B535" s="1631"/>
      <c r="D535" s="1617"/>
    </row>
    <row r="536" spans="2:4" s="1623" customFormat="1" x14ac:dyDescent="0.2">
      <c r="B536" s="1631"/>
      <c r="D536" s="1617"/>
    </row>
    <row r="537" spans="2:4" s="1623" customFormat="1" x14ac:dyDescent="0.2">
      <c r="B537" s="1631"/>
      <c r="D537" s="1617"/>
    </row>
    <row r="538" spans="2:4" s="1623" customFormat="1" x14ac:dyDescent="0.2">
      <c r="B538" s="1631"/>
      <c r="D538" s="1617"/>
    </row>
    <row r="539" spans="2:4" s="1623" customFormat="1" x14ac:dyDescent="0.2">
      <c r="B539" s="1631"/>
      <c r="D539" s="1617"/>
    </row>
    <row r="540" spans="2:4" s="1623" customFormat="1" x14ac:dyDescent="0.2">
      <c r="B540" s="1631"/>
      <c r="D540" s="1617"/>
    </row>
    <row r="541" spans="2:4" s="1623" customFormat="1" x14ac:dyDescent="0.2">
      <c r="B541" s="1631"/>
      <c r="D541" s="1617"/>
    </row>
    <row r="542" spans="2:4" s="1623" customFormat="1" x14ac:dyDescent="0.2">
      <c r="B542" s="1631"/>
      <c r="D542" s="1617"/>
    </row>
    <row r="543" spans="2:4" s="1623" customFormat="1" x14ac:dyDescent="0.2">
      <c r="B543" s="1631"/>
      <c r="D543" s="1617"/>
    </row>
    <row r="544" spans="2:4" s="1623" customFormat="1" x14ac:dyDescent="0.2">
      <c r="B544" s="1631"/>
      <c r="D544" s="1617"/>
    </row>
    <row r="545" spans="2:4" s="1623" customFormat="1" x14ac:dyDescent="0.2">
      <c r="B545" s="1631"/>
      <c r="D545" s="1617"/>
    </row>
    <row r="546" spans="2:4" s="1623" customFormat="1" x14ac:dyDescent="0.2">
      <c r="B546" s="1631"/>
      <c r="D546" s="1617"/>
    </row>
    <row r="547" spans="2:4" s="1623" customFormat="1" x14ac:dyDescent="0.2">
      <c r="B547" s="1631"/>
      <c r="D547" s="1617"/>
    </row>
    <row r="548" spans="2:4" s="1623" customFormat="1" x14ac:dyDescent="0.2">
      <c r="B548" s="1631"/>
      <c r="D548" s="1617"/>
    </row>
    <row r="549" spans="2:4" s="1623" customFormat="1" x14ac:dyDescent="0.2">
      <c r="B549" s="1631"/>
      <c r="D549" s="1617"/>
    </row>
    <row r="550" spans="2:4" s="1623" customFormat="1" x14ac:dyDescent="0.2">
      <c r="B550" s="1631"/>
      <c r="D550" s="1617"/>
    </row>
    <row r="551" spans="2:4" s="1623" customFormat="1" x14ac:dyDescent="0.2">
      <c r="B551" s="1631"/>
      <c r="D551" s="1617"/>
    </row>
    <row r="552" spans="2:4" s="1623" customFormat="1" x14ac:dyDescent="0.2">
      <c r="B552" s="1631"/>
      <c r="D552" s="1617"/>
    </row>
    <row r="553" spans="2:4" s="1623" customFormat="1" x14ac:dyDescent="0.2">
      <c r="B553" s="1631"/>
      <c r="D553" s="1617"/>
    </row>
    <row r="554" spans="2:4" s="1623" customFormat="1" x14ac:dyDescent="0.2">
      <c r="B554" s="1631"/>
      <c r="D554" s="1617"/>
    </row>
    <row r="555" spans="2:4" s="1623" customFormat="1" x14ac:dyDescent="0.2">
      <c r="B555" s="1631"/>
      <c r="D555" s="1617"/>
    </row>
    <row r="556" spans="2:4" s="1623" customFormat="1" x14ac:dyDescent="0.2">
      <c r="B556" s="1631"/>
      <c r="D556" s="1617"/>
    </row>
    <row r="557" spans="2:4" s="1623" customFormat="1" x14ac:dyDescent="0.2">
      <c r="B557" s="1631"/>
      <c r="D557" s="1617"/>
    </row>
    <row r="558" spans="2:4" s="1623" customFormat="1" x14ac:dyDescent="0.2">
      <c r="B558" s="1631"/>
      <c r="D558" s="1617"/>
    </row>
    <row r="559" spans="2:4" s="1623" customFormat="1" x14ac:dyDescent="0.2">
      <c r="B559" s="1631"/>
      <c r="D559" s="1617"/>
    </row>
    <row r="560" spans="2:4" s="1623" customFormat="1" x14ac:dyDescent="0.2">
      <c r="B560" s="1631"/>
      <c r="D560" s="1617"/>
    </row>
    <row r="561" spans="2:4" s="1623" customFormat="1" x14ac:dyDescent="0.2">
      <c r="B561" s="1631"/>
      <c r="D561" s="1617"/>
    </row>
    <row r="562" spans="2:4" s="1623" customFormat="1" x14ac:dyDescent="0.2">
      <c r="B562" s="1631"/>
      <c r="D562" s="1617"/>
    </row>
    <row r="563" spans="2:4" s="1623" customFormat="1" x14ac:dyDescent="0.2">
      <c r="B563" s="1631"/>
      <c r="D563" s="1617"/>
    </row>
    <row r="564" spans="2:4" s="1623" customFormat="1" x14ac:dyDescent="0.2">
      <c r="B564" s="1631"/>
      <c r="D564" s="1617"/>
    </row>
    <row r="565" spans="2:4" s="1623" customFormat="1" x14ac:dyDescent="0.2">
      <c r="B565" s="1631"/>
      <c r="D565" s="1617"/>
    </row>
    <row r="566" spans="2:4" s="1623" customFormat="1" x14ac:dyDescent="0.2">
      <c r="B566" s="1631"/>
      <c r="D566" s="1617"/>
    </row>
    <row r="567" spans="2:4" s="1623" customFormat="1" x14ac:dyDescent="0.2">
      <c r="B567" s="1631"/>
      <c r="D567" s="1617"/>
    </row>
    <row r="568" spans="2:4" s="1623" customFormat="1" x14ac:dyDescent="0.2">
      <c r="B568" s="1631"/>
      <c r="D568" s="1617"/>
    </row>
    <row r="569" spans="2:4" s="1623" customFormat="1" x14ac:dyDescent="0.2">
      <c r="B569" s="1631"/>
      <c r="D569" s="1617"/>
    </row>
    <row r="570" spans="2:4" s="1623" customFormat="1" x14ac:dyDescent="0.2">
      <c r="B570" s="1631"/>
      <c r="D570" s="1617"/>
    </row>
    <row r="571" spans="2:4" s="1623" customFormat="1" x14ac:dyDescent="0.2">
      <c r="B571" s="1631"/>
      <c r="D571" s="1617"/>
    </row>
    <row r="572" spans="2:4" s="1623" customFormat="1" x14ac:dyDescent="0.2">
      <c r="B572" s="1631"/>
      <c r="D572" s="1617"/>
    </row>
    <row r="573" spans="2:4" s="1623" customFormat="1" x14ac:dyDescent="0.2">
      <c r="B573" s="1631"/>
      <c r="D573" s="1617"/>
    </row>
    <row r="574" spans="2:4" s="1623" customFormat="1" x14ac:dyDescent="0.2">
      <c r="B574" s="1631"/>
      <c r="D574" s="1617"/>
    </row>
    <row r="575" spans="2:4" s="1623" customFormat="1" x14ac:dyDescent="0.2">
      <c r="B575" s="1631"/>
      <c r="D575" s="1617"/>
    </row>
    <row r="576" spans="2:4" s="1623" customFormat="1" x14ac:dyDescent="0.2">
      <c r="B576" s="1631"/>
      <c r="D576" s="1617"/>
    </row>
    <row r="577" spans="2:4" s="1623" customFormat="1" x14ac:dyDescent="0.2">
      <c r="B577" s="1631"/>
      <c r="D577" s="1617"/>
    </row>
    <row r="578" spans="2:4" s="1623" customFormat="1" x14ac:dyDescent="0.2">
      <c r="B578" s="1631"/>
      <c r="D578" s="1617"/>
    </row>
    <row r="579" spans="2:4" s="1623" customFormat="1" x14ac:dyDescent="0.2">
      <c r="B579" s="1631"/>
      <c r="D579" s="1617"/>
    </row>
    <row r="580" spans="2:4" s="1623" customFormat="1" x14ac:dyDescent="0.2">
      <c r="B580" s="1631"/>
      <c r="D580" s="1617"/>
    </row>
    <row r="581" spans="2:4" s="1623" customFormat="1" x14ac:dyDescent="0.2">
      <c r="B581" s="1631"/>
      <c r="D581" s="1617"/>
    </row>
    <row r="582" spans="2:4" s="1623" customFormat="1" x14ac:dyDescent="0.2">
      <c r="B582" s="1631"/>
      <c r="D582" s="1617"/>
    </row>
    <row r="583" spans="2:4" s="1623" customFormat="1" x14ac:dyDescent="0.2">
      <c r="B583" s="1631"/>
      <c r="D583" s="1617"/>
    </row>
    <row r="584" spans="2:4" s="1623" customFormat="1" x14ac:dyDescent="0.2">
      <c r="B584" s="1631"/>
      <c r="D584" s="1617"/>
    </row>
    <row r="585" spans="2:4" s="1623" customFormat="1" x14ac:dyDescent="0.2">
      <c r="B585" s="1631"/>
      <c r="D585" s="1617"/>
    </row>
    <row r="586" spans="2:4" s="1623" customFormat="1" x14ac:dyDescent="0.2">
      <c r="B586" s="1631"/>
      <c r="D586" s="1617"/>
    </row>
    <row r="587" spans="2:4" s="1623" customFormat="1" x14ac:dyDescent="0.2">
      <c r="B587" s="1631"/>
      <c r="D587" s="1617"/>
    </row>
    <row r="588" spans="2:4" s="1623" customFormat="1" x14ac:dyDescent="0.2">
      <c r="B588" s="1631"/>
      <c r="D588" s="1617"/>
    </row>
    <row r="589" spans="2:4" s="1623" customFormat="1" x14ac:dyDescent="0.2">
      <c r="B589" s="1631"/>
      <c r="D589" s="1617"/>
    </row>
    <row r="590" spans="2:4" s="1623" customFormat="1" x14ac:dyDescent="0.2">
      <c r="B590" s="1631"/>
      <c r="D590" s="1617"/>
    </row>
    <row r="591" spans="2:4" s="1623" customFormat="1" x14ac:dyDescent="0.2">
      <c r="B591" s="1631"/>
      <c r="D591" s="1617"/>
    </row>
    <row r="592" spans="2:4" s="1623" customFormat="1" x14ac:dyDescent="0.2">
      <c r="B592" s="1631"/>
      <c r="D592" s="1617"/>
    </row>
    <row r="593" spans="2:4" s="1623" customFormat="1" x14ac:dyDescent="0.2">
      <c r="B593" s="1631"/>
      <c r="D593" s="1617"/>
    </row>
    <row r="594" spans="2:4" s="1623" customFormat="1" x14ac:dyDescent="0.2">
      <c r="B594" s="1631"/>
      <c r="D594" s="1617"/>
    </row>
    <row r="595" spans="2:4" s="1623" customFormat="1" x14ac:dyDescent="0.2">
      <c r="B595" s="1631"/>
      <c r="D595" s="1617"/>
    </row>
    <row r="596" spans="2:4" s="1623" customFormat="1" x14ac:dyDescent="0.2">
      <c r="B596" s="1631"/>
      <c r="D596" s="1617"/>
    </row>
    <row r="597" spans="2:4" s="1623" customFormat="1" x14ac:dyDescent="0.2">
      <c r="B597" s="1631"/>
      <c r="D597" s="1617"/>
    </row>
    <row r="598" spans="2:4" s="1623" customFormat="1" x14ac:dyDescent="0.2">
      <c r="B598" s="1631"/>
      <c r="D598" s="1617"/>
    </row>
    <row r="599" spans="2:4" s="1623" customFormat="1" x14ac:dyDescent="0.2">
      <c r="B599" s="1631"/>
      <c r="D599" s="1617"/>
    </row>
    <row r="600" spans="2:4" s="1623" customFormat="1" x14ac:dyDescent="0.2">
      <c r="B600" s="1631"/>
      <c r="D600" s="1617"/>
    </row>
    <row r="601" spans="2:4" s="1623" customFormat="1" x14ac:dyDescent="0.2">
      <c r="B601" s="1631"/>
      <c r="D601" s="1617"/>
    </row>
    <row r="602" spans="2:4" s="1623" customFormat="1" x14ac:dyDescent="0.2">
      <c r="B602" s="1631"/>
      <c r="D602" s="1617"/>
    </row>
    <row r="603" spans="2:4" s="1623" customFormat="1" x14ac:dyDescent="0.2">
      <c r="B603" s="1631"/>
      <c r="D603" s="1617"/>
    </row>
    <row r="604" spans="2:4" s="1623" customFormat="1" x14ac:dyDescent="0.2">
      <c r="B604" s="1631"/>
      <c r="D604" s="1617"/>
    </row>
    <row r="605" spans="2:4" s="1623" customFormat="1" x14ac:dyDescent="0.2">
      <c r="B605" s="1631"/>
      <c r="D605" s="1617"/>
    </row>
    <row r="606" spans="2:4" s="1623" customFormat="1" x14ac:dyDescent="0.2">
      <c r="B606" s="1631"/>
      <c r="D606" s="1617"/>
    </row>
    <row r="607" spans="2:4" s="1623" customFormat="1" x14ac:dyDescent="0.2">
      <c r="B607" s="1631"/>
      <c r="D607" s="1617"/>
    </row>
    <row r="608" spans="2:4" s="1623" customFormat="1" x14ac:dyDescent="0.2">
      <c r="B608" s="1631"/>
      <c r="D608" s="1617"/>
    </row>
    <row r="609" spans="2:4" s="1623" customFormat="1" x14ac:dyDescent="0.2">
      <c r="B609" s="1631"/>
      <c r="D609" s="1617"/>
    </row>
    <row r="610" spans="2:4" s="1623" customFormat="1" x14ac:dyDescent="0.2">
      <c r="B610" s="1631"/>
      <c r="D610" s="1617"/>
    </row>
    <row r="611" spans="2:4" s="1623" customFormat="1" x14ac:dyDescent="0.2">
      <c r="B611" s="1631"/>
      <c r="D611" s="1617"/>
    </row>
    <row r="612" spans="2:4" s="1623" customFormat="1" x14ac:dyDescent="0.2">
      <c r="B612" s="1631"/>
      <c r="D612" s="1617"/>
    </row>
    <row r="613" spans="2:4" s="1623" customFormat="1" x14ac:dyDescent="0.2">
      <c r="B613" s="1631"/>
      <c r="D613" s="1617"/>
    </row>
    <row r="614" spans="2:4" s="1623" customFormat="1" x14ac:dyDescent="0.2">
      <c r="B614" s="1631"/>
      <c r="D614" s="1617"/>
    </row>
    <row r="615" spans="2:4" s="1623" customFormat="1" x14ac:dyDescent="0.2">
      <c r="B615" s="1631"/>
      <c r="D615" s="1617"/>
    </row>
    <row r="616" spans="2:4" s="1623" customFormat="1" x14ac:dyDescent="0.2">
      <c r="B616" s="1631"/>
      <c r="D616" s="1617"/>
    </row>
    <row r="617" spans="2:4" s="1623" customFormat="1" x14ac:dyDescent="0.2">
      <c r="B617" s="1631"/>
      <c r="D617" s="1617"/>
    </row>
    <row r="618" spans="2:4" s="1623" customFormat="1" x14ac:dyDescent="0.2">
      <c r="B618" s="1631"/>
      <c r="D618" s="1617"/>
    </row>
    <row r="619" spans="2:4" s="1623" customFormat="1" x14ac:dyDescent="0.2">
      <c r="B619" s="1631"/>
      <c r="D619" s="1617"/>
    </row>
    <row r="620" spans="2:4" s="1623" customFormat="1" x14ac:dyDescent="0.2">
      <c r="B620" s="1631"/>
      <c r="D620" s="1617"/>
    </row>
    <row r="621" spans="2:4" s="1623" customFormat="1" x14ac:dyDescent="0.2">
      <c r="B621" s="1631"/>
      <c r="D621" s="1617"/>
    </row>
    <row r="622" spans="2:4" s="1623" customFormat="1" x14ac:dyDescent="0.2">
      <c r="B622" s="1631"/>
      <c r="D622" s="1617"/>
    </row>
    <row r="623" spans="2:4" s="1623" customFormat="1" x14ac:dyDescent="0.2">
      <c r="B623" s="1631"/>
      <c r="D623" s="1617"/>
    </row>
    <row r="624" spans="2:4" s="1623" customFormat="1" x14ac:dyDescent="0.2">
      <c r="B624" s="1631"/>
      <c r="D624" s="1617"/>
    </row>
    <row r="625" spans="2:4" s="1623" customFormat="1" x14ac:dyDescent="0.2">
      <c r="B625" s="1631"/>
      <c r="D625" s="1617"/>
    </row>
    <row r="626" spans="2:4" s="1623" customFormat="1" x14ac:dyDescent="0.2">
      <c r="B626" s="1631"/>
      <c r="D626" s="1617"/>
    </row>
    <row r="627" spans="2:4" s="1623" customFormat="1" x14ac:dyDescent="0.2">
      <c r="B627" s="1631"/>
      <c r="D627" s="1617"/>
    </row>
    <row r="628" spans="2:4" s="1623" customFormat="1" x14ac:dyDescent="0.2">
      <c r="B628" s="1631"/>
      <c r="D628" s="1617"/>
    </row>
    <row r="629" spans="2:4" s="1623" customFormat="1" x14ac:dyDescent="0.2">
      <c r="B629" s="1631"/>
      <c r="D629" s="1617"/>
    </row>
    <row r="630" spans="2:4" s="1623" customFormat="1" x14ac:dyDescent="0.2">
      <c r="B630" s="1631"/>
      <c r="D630" s="1617"/>
    </row>
    <row r="631" spans="2:4" s="1623" customFormat="1" x14ac:dyDescent="0.2">
      <c r="B631" s="1631"/>
      <c r="D631" s="1617"/>
    </row>
    <row r="632" spans="2:4" s="1623" customFormat="1" x14ac:dyDescent="0.2">
      <c r="B632" s="1631"/>
      <c r="D632" s="1617"/>
    </row>
    <row r="633" spans="2:4" s="1623" customFormat="1" x14ac:dyDescent="0.2">
      <c r="B633" s="1631"/>
      <c r="D633" s="1617"/>
    </row>
    <row r="634" spans="2:4" s="1623" customFormat="1" x14ac:dyDescent="0.2">
      <c r="B634" s="1631"/>
      <c r="D634" s="1617"/>
    </row>
    <row r="635" spans="2:4" s="1623" customFormat="1" x14ac:dyDescent="0.2">
      <c r="B635" s="1631"/>
      <c r="D635" s="1617"/>
    </row>
    <row r="636" spans="2:4" s="1623" customFormat="1" x14ac:dyDescent="0.2">
      <c r="B636" s="1631"/>
      <c r="D636" s="1617"/>
    </row>
    <row r="637" spans="2:4" s="1623" customFormat="1" x14ac:dyDescent="0.2">
      <c r="B637" s="1631"/>
      <c r="D637" s="1617"/>
    </row>
    <row r="638" spans="2:4" s="1623" customFormat="1" x14ac:dyDescent="0.2">
      <c r="B638" s="1631"/>
      <c r="D638" s="1617"/>
    </row>
    <row r="639" spans="2:4" s="1623" customFormat="1" x14ac:dyDescent="0.2">
      <c r="B639" s="1631"/>
      <c r="D639" s="1617"/>
    </row>
    <row r="640" spans="2:4" s="1623" customFormat="1" x14ac:dyDescent="0.2">
      <c r="B640" s="1631"/>
      <c r="D640" s="1617"/>
    </row>
    <row r="641" spans="2:4" s="1623" customFormat="1" x14ac:dyDescent="0.2">
      <c r="B641" s="1631"/>
      <c r="D641" s="1617"/>
    </row>
    <row r="642" spans="2:4" s="1623" customFormat="1" x14ac:dyDescent="0.2">
      <c r="B642" s="1631"/>
      <c r="D642" s="1617"/>
    </row>
    <row r="643" spans="2:4" s="1623" customFormat="1" x14ac:dyDescent="0.2">
      <c r="B643" s="1631"/>
      <c r="D643" s="1617"/>
    </row>
    <row r="644" spans="2:4" s="1623" customFormat="1" x14ac:dyDescent="0.2">
      <c r="B644" s="1631"/>
      <c r="D644" s="1617"/>
    </row>
    <row r="645" spans="2:4" s="1623" customFormat="1" x14ac:dyDescent="0.2">
      <c r="B645" s="1631"/>
      <c r="D645" s="1617"/>
    </row>
    <row r="646" spans="2:4" s="1623" customFormat="1" x14ac:dyDescent="0.2">
      <c r="B646" s="1631"/>
      <c r="D646" s="1617"/>
    </row>
    <row r="647" spans="2:4" s="1623" customFormat="1" x14ac:dyDescent="0.2">
      <c r="B647" s="1631"/>
      <c r="D647" s="1617"/>
    </row>
    <row r="648" spans="2:4" s="1623" customFormat="1" x14ac:dyDescent="0.2">
      <c r="B648" s="1631"/>
      <c r="D648" s="1617"/>
    </row>
    <row r="649" spans="2:4" s="1623" customFormat="1" x14ac:dyDescent="0.2">
      <c r="B649" s="1631"/>
      <c r="D649" s="1617"/>
    </row>
    <row r="650" spans="2:4" s="1623" customFormat="1" x14ac:dyDescent="0.2">
      <c r="B650" s="1631"/>
      <c r="D650" s="1617"/>
    </row>
    <row r="651" spans="2:4" s="1623" customFormat="1" x14ac:dyDescent="0.2">
      <c r="B651" s="1631"/>
      <c r="D651" s="1617"/>
    </row>
    <row r="652" spans="2:4" s="1623" customFormat="1" x14ac:dyDescent="0.2">
      <c r="B652" s="1631"/>
      <c r="D652" s="1617"/>
    </row>
    <row r="653" spans="2:4" s="1623" customFormat="1" x14ac:dyDescent="0.2">
      <c r="B653" s="1631"/>
      <c r="D653" s="1617"/>
    </row>
    <row r="654" spans="2:4" s="1623" customFormat="1" x14ac:dyDescent="0.2">
      <c r="B654" s="1631"/>
      <c r="D654" s="1617"/>
    </row>
    <row r="655" spans="2:4" s="1623" customFormat="1" x14ac:dyDescent="0.2">
      <c r="B655" s="1631"/>
      <c r="D655" s="1617"/>
    </row>
    <row r="656" spans="2:4" s="1623" customFormat="1" x14ac:dyDescent="0.2">
      <c r="B656" s="1631"/>
      <c r="D656" s="1617"/>
    </row>
    <row r="657" spans="2:4" s="1623" customFormat="1" x14ac:dyDescent="0.2">
      <c r="B657" s="1631"/>
      <c r="D657" s="1617"/>
    </row>
    <row r="658" spans="2:4" s="1623" customFormat="1" x14ac:dyDescent="0.2">
      <c r="B658" s="1631"/>
      <c r="D658" s="1617"/>
    </row>
    <row r="659" spans="2:4" s="1623" customFormat="1" x14ac:dyDescent="0.2">
      <c r="B659" s="1631"/>
      <c r="D659" s="1617"/>
    </row>
    <row r="660" spans="2:4" s="1623" customFormat="1" x14ac:dyDescent="0.2">
      <c r="B660" s="1631"/>
      <c r="D660" s="1617"/>
    </row>
    <row r="661" spans="2:4" s="1623" customFormat="1" x14ac:dyDescent="0.2">
      <c r="B661" s="1631"/>
      <c r="D661" s="1617"/>
    </row>
    <row r="662" spans="2:4" s="1623" customFormat="1" x14ac:dyDescent="0.2">
      <c r="B662" s="1631"/>
      <c r="D662" s="1617"/>
    </row>
    <row r="663" spans="2:4" s="1623" customFormat="1" x14ac:dyDescent="0.2">
      <c r="B663" s="1631"/>
      <c r="D663" s="1617"/>
    </row>
    <row r="664" spans="2:4" s="1623" customFormat="1" x14ac:dyDescent="0.2">
      <c r="B664" s="1631"/>
      <c r="D664" s="1617"/>
    </row>
    <row r="665" spans="2:4" s="1623" customFormat="1" x14ac:dyDescent="0.2">
      <c r="B665" s="1631"/>
      <c r="D665" s="1617"/>
    </row>
    <row r="666" spans="2:4" s="1623" customFormat="1" x14ac:dyDescent="0.2">
      <c r="B666" s="1631"/>
      <c r="D666" s="1617"/>
    </row>
    <row r="667" spans="2:4" s="1623" customFormat="1" x14ac:dyDescent="0.2">
      <c r="B667" s="1631"/>
      <c r="D667" s="1617"/>
    </row>
    <row r="668" spans="2:4" s="1623" customFormat="1" x14ac:dyDescent="0.2">
      <c r="B668" s="1631"/>
      <c r="D668" s="1617"/>
    </row>
    <row r="669" spans="2:4" s="1623" customFormat="1" x14ac:dyDescent="0.2">
      <c r="B669" s="1631"/>
      <c r="D669" s="1617"/>
    </row>
    <row r="670" spans="2:4" s="1623" customFormat="1" x14ac:dyDescent="0.2">
      <c r="B670" s="1631"/>
      <c r="D670" s="1617"/>
    </row>
    <row r="671" spans="2:4" s="1623" customFormat="1" x14ac:dyDescent="0.2">
      <c r="B671" s="1631"/>
      <c r="D671" s="1617"/>
    </row>
    <row r="672" spans="2:4" s="1623" customFormat="1" x14ac:dyDescent="0.2">
      <c r="B672" s="1631"/>
      <c r="D672" s="1617"/>
    </row>
    <row r="673" spans="2:4" s="1623" customFormat="1" x14ac:dyDescent="0.2">
      <c r="B673" s="1631"/>
      <c r="D673" s="1617"/>
    </row>
    <row r="674" spans="2:4" s="1623" customFormat="1" x14ac:dyDescent="0.2">
      <c r="B674" s="1631"/>
      <c r="D674" s="1617"/>
    </row>
    <row r="675" spans="2:4" s="1623" customFormat="1" x14ac:dyDescent="0.2">
      <c r="B675" s="1631"/>
      <c r="D675" s="1617"/>
    </row>
    <row r="676" spans="2:4" s="1623" customFormat="1" x14ac:dyDescent="0.2">
      <c r="B676" s="1631"/>
      <c r="D676" s="1617"/>
    </row>
    <row r="677" spans="2:4" s="1623" customFormat="1" x14ac:dyDescent="0.2">
      <c r="B677" s="1631"/>
      <c r="D677" s="1617"/>
    </row>
    <row r="678" spans="2:4" s="1623" customFormat="1" x14ac:dyDescent="0.2">
      <c r="B678" s="1631"/>
      <c r="D678" s="1617"/>
    </row>
    <row r="679" spans="2:4" s="1623" customFormat="1" x14ac:dyDescent="0.2">
      <c r="B679" s="1631"/>
      <c r="D679" s="1617"/>
    </row>
    <row r="680" spans="2:4" s="1623" customFormat="1" x14ac:dyDescent="0.2">
      <c r="B680" s="1631"/>
      <c r="D680" s="1617"/>
    </row>
    <row r="681" spans="2:4" s="1623" customFormat="1" x14ac:dyDescent="0.2">
      <c r="B681" s="1631"/>
      <c r="D681" s="1617"/>
    </row>
    <row r="682" spans="2:4" s="1623" customFormat="1" x14ac:dyDescent="0.2">
      <c r="B682" s="1631"/>
      <c r="D682" s="1617"/>
    </row>
    <row r="683" spans="2:4" s="1623" customFormat="1" x14ac:dyDescent="0.2">
      <c r="B683" s="1631"/>
      <c r="D683" s="1617"/>
    </row>
    <row r="684" spans="2:4" s="1623" customFormat="1" x14ac:dyDescent="0.2">
      <c r="B684" s="1631"/>
      <c r="D684" s="1617"/>
    </row>
    <row r="685" spans="2:4" s="1623" customFormat="1" x14ac:dyDescent="0.2">
      <c r="B685" s="1631"/>
      <c r="D685" s="1617"/>
    </row>
    <row r="686" spans="2:4" s="1623" customFormat="1" x14ac:dyDescent="0.2">
      <c r="B686" s="1631"/>
      <c r="D686" s="1617"/>
    </row>
    <row r="687" spans="2:4" s="1623" customFormat="1" x14ac:dyDescent="0.2">
      <c r="B687" s="1631"/>
      <c r="D687" s="1617"/>
    </row>
    <row r="688" spans="2:4" s="1623" customFormat="1" x14ac:dyDescent="0.2">
      <c r="B688" s="1631"/>
      <c r="D688" s="1617"/>
    </row>
    <row r="689" spans="2:4" s="1623" customFormat="1" x14ac:dyDescent="0.2">
      <c r="B689" s="1631"/>
      <c r="D689" s="1617"/>
    </row>
    <row r="690" spans="2:4" s="1623" customFormat="1" x14ac:dyDescent="0.2">
      <c r="B690" s="1631"/>
      <c r="D690" s="1617"/>
    </row>
    <row r="691" spans="2:4" s="1623" customFormat="1" x14ac:dyDescent="0.2">
      <c r="B691" s="1631"/>
      <c r="D691" s="1617"/>
    </row>
    <row r="692" spans="2:4" s="1623" customFormat="1" x14ac:dyDescent="0.2">
      <c r="B692" s="1631"/>
      <c r="D692" s="1617"/>
    </row>
    <row r="693" spans="2:4" s="1623" customFormat="1" x14ac:dyDescent="0.2">
      <c r="B693" s="1631"/>
      <c r="D693" s="1617"/>
    </row>
    <row r="694" spans="2:4" s="1623" customFormat="1" x14ac:dyDescent="0.2">
      <c r="B694" s="1631"/>
      <c r="D694" s="1617"/>
    </row>
    <row r="695" spans="2:4" s="1623" customFormat="1" x14ac:dyDescent="0.2">
      <c r="B695" s="1631"/>
      <c r="D695" s="1617"/>
    </row>
    <row r="696" spans="2:4" s="1623" customFormat="1" x14ac:dyDescent="0.2">
      <c r="B696" s="1631"/>
      <c r="D696" s="1617"/>
    </row>
    <row r="697" spans="2:4" s="1623" customFormat="1" x14ac:dyDescent="0.2">
      <c r="B697" s="1631"/>
      <c r="D697" s="1617"/>
    </row>
    <row r="698" spans="2:4" s="1623" customFormat="1" x14ac:dyDescent="0.2">
      <c r="B698" s="1631"/>
      <c r="D698" s="1617"/>
    </row>
    <row r="699" spans="2:4" s="1623" customFormat="1" x14ac:dyDescent="0.2">
      <c r="B699" s="1631"/>
      <c r="D699" s="1617"/>
    </row>
    <row r="700" spans="2:4" s="1623" customFormat="1" x14ac:dyDescent="0.2">
      <c r="B700" s="1631"/>
      <c r="D700" s="1617"/>
    </row>
    <row r="701" spans="2:4" s="1623" customFormat="1" x14ac:dyDescent="0.2">
      <c r="B701" s="1631"/>
      <c r="D701" s="1617"/>
    </row>
    <row r="702" spans="2:4" s="1623" customFormat="1" x14ac:dyDescent="0.2">
      <c r="B702" s="1631"/>
      <c r="D702" s="1617"/>
    </row>
    <row r="703" spans="2:4" s="1623" customFormat="1" x14ac:dyDescent="0.2">
      <c r="B703" s="1631"/>
      <c r="D703" s="1617"/>
    </row>
    <row r="704" spans="2:4" s="1623" customFormat="1" x14ac:dyDescent="0.2">
      <c r="B704" s="1631"/>
      <c r="D704" s="1617"/>
    </row>
    <row r="705" spans="2:4" s="1623" customFormat="1" x14ac:dyDescent="0.2">
      <c r="B705" s="1631"/>
      <c r="D705" s="1617"/>
    </row>
    <row r="706" spans="2:4" s="1623" customFormat="1" x14ac:dyDescent="0.2">
      <c r="B706" s="1631"/>
      <c r="D706" s="1617"/>
    </row>
  </sheetData>
  <sheetProtection sheet="1" objects="1" scenarios="1"/>
  <mergeCells count="16">
    <mergeCell ref="O66:P66"/>
    <mergeCell ref="G55:H55"/>
    <mergeCell ref="I55:I57"/>
    <mergeCell ref="J55:J57"/>
    <mergeCell ref="G56:H56"/>
    <mergeCell ref="G57:H57"/>
    <mergeCell ref="G50:H50"/>
    <mergeCell ref="I32:K32"/>
    <mergeCell ref="G91:J91"/>
    <mergeCell ref="F93:J93"/>
    <mergeCell ref="J66:N66"/>
    <mergeCell ref="J15:N15"/>
    <mergeCell ref="O15:P15"/>
    <mergeCell ref="P45:Q45"/>
    <mergeCell ref="J48:N48"/>
    <mergeCell ref="O48:P48"/>
  </mergeCells>
  <conditionalFormatting sqref="G120:AH123">
    <cfRule type="cellIs" dxfId="11" priority="1" operator="equal">
      <formula>0</formula>
    </cfRule>
  </conditionalFormatting>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706"/>
  <sheetViews>
    <sheetView zoomScale="80" zoomScaleNormal="80" workbookViewId="0">
      <selection activeCell="B1" sqref="B1:B1048576"/>
    </sheetView>
  </sheetViews>
  <sheetFormatPr baseColWidth="10" defaultColWidth="12" defaultRowHeight="15" x14ac:dyDescent="0.2"/>
  <cols>
    <col min="1" max="1" width="6" style="1614" customWidth="1"/>
    <col min="2" max="2" width="62.83203125" style="1689" customWidth="1"/>
    <col min="3" max="3" width="6.1640625" style="1614" customWidth="1"/>
    <col min="4" max="5" width="96.6640625" style="1614" customWidth="1"/>
    <col min="6" max="16384" width="12" style="1614"/>
  </cols>
  <sheetData>
    <row r="1" spans="2:15" x14ac:dyDescent="0.2">
      <c r="B1" s="1689" t="s">
        <v>755</v>
      </c>
      <c r="D1" s="1699" t="s">
        <v>754</v>
      </c>
      <c r="E1" s="1700" t="s">
        <v>753</v>
      </c>
    </row>
    <row r="2" spans="2:15" s="1623" customFormat="1" ht="30" x14ac:dyDescent="0.2">
      <c r="B2" s="1631" t="str">
        <f>IF(Presentation!$D$2="Français",'TRAD-Children YEAR(2)'!D2,IF(Presentation!$D$2="Anglais",'TRAD-Children YEAR(2)'!E2,""))</f>
        <v>Répartition prévue au début de la 1ère année  pour les ENFANTS déjà pris en charge</v>
      </c>
      <c r="D2" s="1619" t="s">
        <v>1191</v>
      </c>
      <c r="E2" s="1622" t="s">
        <v>1089</v>
      </c>
    </row>
    <row r="3" spans="2:15" s="1623" customFormat="1" ht="30" x14ac:dyDescent="0.2">
      <c r="B3" s="1631" t="str">
        <f>IF(Presentation!$D$2="Français",'TRAD-Children YEAR(2)'!D3,IF(Presentation!$D$2="Anglais",'TRAD-Children YEAR(2)'!E3,""))</f>
        <v>Répartition prévue au début de la 2ème année  pour les ENFANTS déjà pris en charge</v>
      </c>
      <c r="D3" s="1619" t="s">
        <v>1187</v>
      </c>
      <c r="E3" s="1622" t="s">
        <v>1198</v>
      </c>
    </row>
    <row r="4" spans="2:15" s="1623" customFormat="1" ht="30" x14ac:dyDescent="0.2">
      <c r="B4" s="1631" t="str">
        <f>IF(Presentation!$D$2="Français",'TRAD-Children YEAR(2)'!D4,IF(Presentation!$D$2="Anglais",'TRAD-Children YEAR(2)'!E4,""))</f>
        <v>Répartition prévue au début de la 3ème année pour les ENFANTS déjà pris en charge</v>
      </c>
      <c r="D4" s="1619" t="s">
        <v>1188</v>
      </c>
      <c r="E4" s="1622" t="s">
        <v>1199</v>
      </c>
    </row>
    <row r="5" spans="2:15" s="1623" customFormat="1" ht="30" x14ac:dyDescent="0.2">
      <c r="B5" s="1631" t="str">
        <f>IF(Presentation!$D$2="Français",'TRAD-Children YEAR(2)'!D5,IF(Presentation!$D$2="Anglais",'TRAD-Children YEAR(2)'!E5,""))</f>
        <v>Répartition prévue au début de la 4ème année  pour les ENFANTS déjà pris en charge</v>
      </c>
      <c r="D5" s="1619" t="s">
        <v>1189</v>
      </c>
      <c r="E5" s="1622" t="s">
        <v>1200</v>
      </c>
    </row>
    <row r="6" spans="2:15" s="1623" customFormat="1" ht="30" x14ac:dyDescent="0.2">
      <c r="B6" s="1631" t="str">
        <f>IF(Presentation!$D$2="Français",'TRAD-Children YEAR(2)'!D6,IF(Presentation!$D$2="Anglais",'TRAD-Children YEAR(2)'!E6,""))</f>
        <v>Répartition prévue au début de la 5ème année  pour les ENFANTS déjà pris en charge</v>
      </c>
      <c r="D6" s="1619" t="s">
        <v>1190</v>
      </c>
      <c r="E6" s="1622" t="s">
        <v>1201</v>
      </c>
    </row>
    <row r="7" spans="2:15" s="1623" customFormat="1" ht="30" x14ac:dyDescent="0.2">
      <c r="B7" s="1631" t="str">
        <f>IF(Presentation!$D$2="Français",'TRAD-Children YEAR(2)'!D7,IF(Presentation!$D$2="Anglais",'TRAD-Children YEAR(2)'!E7,""))</f>
        <v>Evolution de la file active sous traitement ARV à prévoir pour la première année</v>
      </c>
      <c r="D7" s="1619" t="s">
        <v>264</v>
      </c>
      <c r="E7" s="1622" t="s">
        <v>1096</v>
      </c>
    </row>
    <row r="8" spans="2:15" s="1623" customFormat="1" ht="30" x14ac:dyDescent="0.2">
      <c r="B8" s="1631" t="str">
        <f>IF(Presentation!$D$2="Français",'TRAD-Children YEAR(2)'!D8,IF(Presentation!$D$2="Anglais",'TRAD-Children YEAR(2)'!E8,""))</f>
        <v>Evolution de la file active sous traitement ARV à prévoir pour la deuxième année</v>
      </c>
      <c r="D8" s="1619" t="s">
        <v>294</v>
      </c>
      <c r="E8" s="1622" t="s">
        <v>1202</v>
      </c>
    </row>
    <row r="9" spans="2:15" s="1623" customFormat="1" ht="30" x14ac:dyDescent="0.2">
      <c r="B9" s="1631" t="str">
        <f>IF(Presentation!$D$2="Français",'TRAD-Children YEAR(2)'!D9,IF(Presentation!$D$2="Anglais",'TRAD-Children YEAR(2)'!E9,""))</f>
        <v>Evolution de la file active sous traitement ARV à prévoir pour la 3ème année</v>
      </c>
      <c r="D9" s="1619" t="s">
        <v>299</v>
      </c>
      <c r="E9" s="1622" t="s">
        <v>1203</v>
      </c>
    </row>
    <row r="10" spans="2:15" s="1623" customFormat="1" ht="30" x14ac:dyDescent="0.2">
      <c r="B10" s="1631" t="str">
        <f>IF(Presentation!$D$2="Français",'TRAD-Children YEAR(2)'!D10,IF(Presentation!$D$2="Anglais",'TRAD-Children YEAR(2)'!E10,""))</f>
        <v>Evolution de la file active sous traitement ARV à prévoir pour la 4ème année</v>
      </c>
      <c r="D10" s="1619" t="s">
        <v>302</v>
      </c>
      <c r="E10" s="1622" t="s">
        <v>1204</v>
      </c>
    </row>
    <row r="11" spans="2:15" s="1623" customFormat="1" ht="30" x14ac:dyDescent="0.2">
      <c r="B11" s="1631" t="str">
        <f>IF(Presentation!$D$2="Français",'TRAD-Children YEAR(2)'!D11,IF(Presentation!$D$2="Anglais",'TRAD-Children YEAR(2)'!E11,""))</f>
        <v>Evolution de la file active sous traitement ARV à prévoir pour la 4ème année</v>
      </c>
      <c r="D11" s="1619" t="s">
        <v>302</v>
      </c>
      <c r="E11" s="1622" t="s">
        <v>1204</v>
      </c>
      <c r="F11" s="1619"/>
      <c r="G11" s="1619"/>
      <c r="H11" s="1619"/>
      <c r="I11" s="1619"/>
      <c r="J11" s="1619"/>
      <c r="K11" s="1619"/>
      <c r="L11" s="1619"/>
      <c r="M11" s="1619"/>
      <c r="N11" s="1619"/>
      <c r="O11" s="1619"/>
    </row>
    <row r="12" spans="2:15" s="1623" customFormat="1" ht="45" x14ac:dyDescent="0.2">
      <c r="B12" s="1631" t="str">
        <f>IF(Presentation!$D$2="Français",'TRAD-Children YEAR(2)'!D12,IF(Presentation!$D$2="Anglais",'TRAD-Children YEAR(2)'!E12,""))</f>
        <v>Quantification des besoins pour la prise en charge médicale pour la première année selon la répartition envisagée</v>
      </c>
      <c r="D12" s="1619" t="s">
        <v>265</v>
      </c>
      <c r="E12" s="1622" t="s">
        <v>1413</v>
      </c>
    </row>
    <row r="13" spans="2:15" s="1623" customFormat="1" ht="45" x14ac:dyDescent="0.2">
      <c r="B13" s="1631" t="str">
        <f>IF(Presentation!$D$2="Français",'TRAD-Children YEAR(2)'!D13,IF(Presentation!$D$2="Anglais",'TRAD-Children YEAR(2)'!E13,""))</f>
        <v>Quantification des besoins pour la prise en charge médicale pour la première année selon la répartition envisagée</v>
      </c>
      <c r="D13" s="1619" t="s">
        <v>265</v>
      </c>
      <c r="E13" s="1622" t="s">
        <v>1413</v>
      </c>
    </row>
    <row r="14" spans="2:15" s="1623" customFormat="1" ht="45" x14ac:dyDescent="0.2">
      <c r="B14" s="1631" t="str">
        <f>IF(Presentation!$D$2="Français",'TRAD-Children YEAR(2)'!D14,IF(Presentation!$D$2="Anglais",'TRAD-Children YEAR(2)'!E14,""))</f>
        <v>Quantification des besoins pour la prise en charge médicale pour la 3ème année selon la répartition envisagée</v>
      </c>
      <c r="D14" s="1619" t="s">
        <v>306</v>
      </c>
      <c r="E14" s="1622" t="s">
        <v>1414</v>
      </c>
    </row>
    <row r="15" spans="2:15" s="1623" customFormat="1" ht="45" x14ac:dyDescent="0.2">
      <c r="B15" s="1631" t="str">
        <f>IF(Presentation!$D$2="Français",'TRAD-Children YEAR(2)'!D15,IF(Presentation!$D$2="Anglais",'TRAD-Children YEAR(2)'!E15,""))</f>
        <v>Quantification des besoins pour la prise en charge médicale pour la première année selon la répartition envisagée</v>
      </c>
      <c r="D15" s="1619" t="s">
        <v>265</v>
      </c>
      <c r="E15" s="1622" t="s">
        <v>1413</v>
      </c>
    </row>
    <row r="16" spans="2:15" s="1623" customFormat="1" ht="45" x14ac:dyDescent="0.2">
      <c r="B16" s="1631" t="str">
        <f>IF(Presentation!$D$2="Français",'TRAD-Children YEAR(2)'!D16,IF(Presentation!$D$2="Anglais",'TRAD-Children YEAR(2)'!E16,""))</f>
        <v>Quantification des besoins pour la prise en charge médicale pour la première année selon la répartition envisagée</v>
      </c>
      <c r="D16" s="1619" t="s">
        <v>265</v>
      </c>
      <c r="E16" s="1622" t="s">
        <v>1413</v>
      </c>
    </row>
    <row r="17" spans="2:5" s="1623" customFormat="1" ht="30" x14ac:dyDescent="0.2">
      <c r="B17" s="1631" t="str">
        <f>IF(Presentation!$D$2="Français",'TRAD-Children YEAR(2)'!D17,IF(Presentation!$D$2="Anglais",'TRAD-Children YEAR(2)'!E17,""))</f>
        <v>Quantification des besoins en ARV pour la prise en charge pédiatrique sur la première année SANS stock de sécurité</v>
      </c>
      <c r="D17" s="1619" t="s">
        <v>1087</v>
      </c>
      <c r="E17" s="1623" t="s">
        <v>1405</v>
      </c>
    </row>
    <row r="18" spans="2:5" s="1623" customFormat="1" ht="30" x14ac:dyDescent="0.2">
      <c r="B18" s="1631" t="str">
        <f>IF(Presentation!$D$2="Français",'TRAD-Children YEAR(2)'!D18,IF(Presentation!$D$2="Anglais",'TRAD-Children YEAR(2)'!E18,""))</f>
        <v>Quantification des besoins en ARV pour la prise en charge pédiatrique sur la première année AVEC stock de sécurité</v>
      </c>
      <c r="D18" s="1619" t="s">
        <v>1088</v>
      </c>
      <c r="E18" s="1623" t="s">
        <v>1407</v>
      </c>
    </row>
    <row r="19" spans="2:5" s="1623" customFormat="1" ht="30" x14ac:dyDescent="0.2">
      <c r="B19" s="1631" t="str">
        <f>IF(Presentation!$D$2="Français",'TRAD-Children YEAR(2)'!D19,IF(Presentation!$D$2="Anglais",'TRAD-Children YEAR(2)'!E19,""))</f>
        <v>Quantification des besoins en ARV pour la prise en charge pédiatrique sur la deuxième année SANS stock de sécurité</v>
      </c>
      <c r="D19" s="1619" t="s">
        <v>1192</v>
      </c>
      <c r="E19" s="1623" t="s">
        <v>1415</v>
      </c>
    </row>
    <row r="20" spans="2:5" s="1623" customFormat="1" ht="30" x14ac:dyDescent="0.2">
      <c r="B20" s="1631" t="str">
        <f>IF(Presentation!$D$2="Français",'TRAD-Children YEAR(2)'!D20,IF(Presentation!$D$2="Anglais",'TRAD-Children YEAR(2)'!E20,""))</f>
        <v>Quantification des besoins en ARV pour la prise en charge pédiatrique sur la deuxième année AVEC stock de sécurité</v>
      </c>
      <c r="D20" s="1619" t="s">
        <v>1193</v>
      </c>
      <c r="E20" s="1623" t="s">
        <v>1416</v>
      </c>
    </row>
    <row r="21" spans="2:5" s="1623" customFormat="1" ht="30" x14ac:dyDescent="0.2">
      <c r="B21" s="1631" t="str">
        <f>IF(Presentation!$D$2="Français",'TRAD-Children YEAR(2)'!D21,IF(Presentation!$D$2="Anglais",'TRAD-Children YEAR(2)'!E21,""))</f>
        <v>Quantification des besoins en ARV pour la prise en charge pédiatrique sur la 3ème année SANS stock de sécurité</v>
      </c>
      <c r="D21" s="1619" t="s">
        <v>1194</v>
      </c>
      <c r="E21" s="1623" t="s">
        <v>1417</v>
      </c>
    </row>
    <row r="22" spans="2:5" s="1623" customFormat="1" ht="30" x14ac:dyDescent="0.2">
      <c r="B22" s="1631" t="str">
        <f>IF(Presentation!$D$2="Français",'TRAD-Children YEAR(2)'!D22,IF(Presentation!$D$2="Anglais",'TRAD-Children YEAR(2)'!E22,""))</f>
        <v>Quantification des besoins en ARV pour la prise en charge pédiatrique sur la 3ème année AVEC stock de sécurité</v>
      </c>
      <c r="D22" s="1619" t="s">
        <v>1195</v>
      </c>
      <c r="E22" s="1623" t="s">
        <v>1418</v>
      </c>
    </row>
    <row r="23" spans="2:5" s="1623" customFormat="1" ht="30" x14ac:dyDescent="0.2">
      <c r="B23" s="1631" t="str">
        <f>IF(Presentation!$D$2="Français",'TRAD-Children YEAR(2)'!D23,IF(Presentation!$D$2="Anglais",'TRAD-Children YEAR(2)'!E23,""))</f>
        <v>Quantification des besoins en ARV pour la prise en charge pédiatrique sur la 4ème année SANS stock de sécurité</v>
      </c>
      <c r="D23" s="1619" t="s">
        <v>1196</v>
      </c>
      <c r="E23" s="1623" t="s">
        <v>1419</v>
      </c>
    </row>
    <row r="24" spans="2:5" s="1623" customFormat="1" ht="30" x14ac:dyDescent="0.2">
      <c r="B24" s="1631" t="str">
        <f>IF(Presentation!$D$2="Français",'TRAD-Children YEAR(2)'!D24,IF(Presentation!$D$2="Anglais",'TRAD-Children YEAR(2)'!E24,""))</f>
        <v>Quantification des besoins en ARV pour la prise en charge pédiatrique sur la 4ème année AVEC stock de sécurité</v>
      </c>
      <c r="D24" s="1619" t="s">
        <v>1197</v>
      </c>
      <c r="E24" s="1623" t="s">
        <v>1420</v>
      </c>
    </row>
    <row r="25" spans="2:5" s="1623" customFormat="1" ht="30" x14ac:dyDescent="0.2">
      <c r="B25" s="1631" t="str">
        <f>IF(Presentation!$D$2="Français",'TRAD-Children YEAR(2)'!D25,IF(Presentation!$D$2="Anglais",'TRAD-Children YEAR(2)'!E25,""))</f>
        <v>Quantification des besoins en ARV pour la prise en charge pédiatrique sur la 4ème année SANS stock de sécurité</v>
      </c>
      <c r="D25" s="1619" t="s">
        <v>1196</v>
      </c>
      <c r="E25" s="1623" t="s">
        <v>1419</v>
      </c>
    </row>
    <row r="26" spans="2:5" s="1623" customFormat="1" ht="30" x14ac:dyDescent="0.2">
      <c r="B26" s="1631" t="str">
        <f>IF(Presentation!$D$2="Français",'TRAD-Children YEAR(2)'!D26,IF(Presentation!$D$2="Anglais",'TRAD-Children YEAR(2)'!E26,""))</f>
        <v>Quantification des besoins en ARV pour la prise en charge pédiatrique sur la 4ème année AVEC stock de sécurité</v>
      </c>
      <c r="D26" s="1619" t="s">
        <v>1197</v>
      </c>
      <c r="E26" s="1623" t="s">
        <v>1420</v>
      </c>
    </row>
    <row r="27" spans="2:5" s="1623" customFormat="1" x14ac:dyDescent="0.2">
      <c r="B27" s="1631" t="str">
        <f>IF(Presentation!$D$2="Français",'TRAD-Children YEAR(2)'!D27,IF(Presentation!$D$2="Anglais",'TRAD-Children YEAR(2)'!E27,""))</f>
        <v>Caps. Molle</v>
      </c>
      <c r="D27" s="1619" t="s">
        <v>1483</v>
      </c>
      <c r="E27" s="1623" t="s">
        <v>1481</v>
      </c>
    </row>
    <row r="28" spans="2:5" s="1623" customFormat="1" ht="30" x14ac:dyDescent="0.2">
      <c r="B28" s="1631" t="str">
        <f>IF(Presentation!$D$2="Français",'TRAD-Children YEAR(2)'!D28,IF(Presentation!$D$2="Anglais",'TRAD-Children YEAR(2)'!E28,""))</f>
        <v>Quantification des besoins en ARV pour la prise en charge pédiatrique sur l'année 1</v>
      </c>
      <c r="D28" s="1619" t="s">
        <v>269</v>
      </c>
      <c r="E28" s="1623" t="s">
        <v>1408</v>
      </c>
    </row>
    <row r="29" spans="2:5" s="1623" customFormat="1" ht="30" x14ac:dyDescent="0.2">
      <c r="B29" s="1631" t="str">
        <f>IF(Presentation!$D$2="Français",'TRAD-Children YEAR(2)'!D29,IF(Presentation!$D$2="Anglais",'TRAD-Children YEAR(2)'!E29,""))</f>
        <v>Quantification des besoins en ARV pour la prise en charge pédiatrique sur l'année 2</v>
      </c>
      <c r="D29" s="1619" t="s">
        <v>307</v>
      </c>
      <c r="E29" s="1623" t="s">
        <v>1421</v>
      </c>
    </row>
    <row r="30" spans="2:5" s="1623" customFormat="1" ht="30" x14ac:dyDescent="0.2">
      <c r="B30" s="1631" t="str">
        <f>IF(Presentation!$D$2="Français",'TRAD-Children YEAR(2)'!D30,IF(Presentation!$D$2="Anglais",'TRAD-Children YEAR(2)'!E30,""))</f>
        <v>Quantification des besoins en ARV pour la prise en charge pédiatrique sur l'année 2</v>
      </c>
      <c r="D30" s="1619" t="s">
        <v>307</v>
      </c>
      <c r="E30" s="1623" t="s">
        <v>1421</v>
      </c>
    </row>
    <row r="31" spans="2:5" s="1623" customFormat="1" ht="30" x14ac:dyDescent="0.2">
      <c r="B31" s="1631" t="str">
        <f>IF(Presentation!$D$2="Français",'TRAD-Children YEAR(2)'!D31,IF(Presentation!$D$2="Anglais",'TRAD-Children YEAR(2)'!E31,""))</f>
        <v>Quantification des besoins en ARV pour la prise en charge pédiatrique sur l'année 3</v>
      </c>
      <c r="D31" s="1619" t="s">
        <v>305</v>
      </c>
      <c r="E31" s="1623" t="s">
        <v>1422</v>
      </c>
    </row>
    <row r="32" spans="2:5" s="1623" customFormat="1" ht="30" x14ac:dyDescent="0.2">
      <c r="B32" s="1631" t="str">
        <f>IF(Presentation!$D$2="Français",'TRAD-Children YEAR(2)'!D32,IF(Presentation!$D$2="Anglais",'TRAD-Children YEAR(2)'!E32,""))</f>
        <v>Quantification des besoins en ARV pour la prise en charge pédiatrique sur l'année 1</v>
      </c>
      <c r="D32" s="1619" t="s">
        <v>269</v>
      </c>
      <c r="E32" s="1623" t="s">
        <v>1408</v>
      </c>
    </row>
    <row r="33" spans="2:15" s="1623" customFormat="1" ht="30" x14ac:dyDescent="0.2">
      <c r="B33" s="1631" t="str">
        <f>IF(Presentation!$D$2="Français",'TRAD-Children YEAR(2)'!D33,IF(Presentation!$D$2="Anglais",'TRAD-Children YEAR(2)'!E33,""))</f>
        <v>Quantification des besoins en ARV pour la prise en charge pédiatrique sur l'année 1</v>
      </c>
      <c r="D33" s="1619" t="s">
        <v>269</v>
      </c>
      <c r="E33" s="1623" t="s">
        <v>1408</v>
      </c>
    </row>
    <row r="34" spans="2:15" s="1623" customFormat="1" ht="30" x14ac:dyDescent="0.2">
      <c r="B34" s="1631" t="str">
        <f>IF(Presentation!$D$2="Français",'TRAD-Children YEAR(2)'!D34,IF(Presentation!$D$2="Anglais",'TRAD-Children YEAR(2)'!E34,""))</f>
        <v>Répartition file active pédiatrique sous traitement à la fin de l'année 1</v>
      </c>
      <c r="D34" s="1619" t="s">
        <v>270</v>
      </c>
      <c r="E34" s="1623" t="s">
        <v>1473</v>
      </c>
    </row>
    <row r="35" spans="2:15" s="1623" customFormat="1" ht="30" x14ac:dyDescent="0.2">
      <c r="B35" s="1631" t="str">
        <f>IF(Presentation!$D$2="Français",'TRAD-Children YEAR(2)'!D35,IF(Presentation!$D$2="Anglais",'TRAD-Children YEAR(2)'!E35,""))</f>
        <v>Répartition file active pédiatrique sous traitement à la fin de l'année 2</v>
      </c>
      <c r="D35" s="1619" t="s">
        <v>300</v>
      </c>
      <c r="E35" s="1623" t="s">
        <v>1474</v>
      </c>
      <c r="F35" s="1618"/>
      <c r="G35" s="1618"/>
      <c r="H35" s="1618"/>
      <c r="I35" s="1618"/>
      <c r="J35" s="1618"/>
      <c r="K35" s="1618"/>
      <c r="L35" s="1618"/>
      <c r="M35" s="1618"/>
      <c r="N35" s="1618"/>
      <c r="O35" s="1618"/>
    </row>
    <row r="36" spans="2:15" s="1623" customFormat="1" ht="30" x14ac:dyDescent="0.2">
      <c r="B36" s="1631" t="str">
        <f>IF(Presentation!$D$2="Français",'TRAD-Children YEAR(2)'!D36,IF(Presentation!$D$2="Anglais",'TRAD-Children YEAR(2)'!E36,""))</f>
        <v>Répartition file active pédiatrique sous traitement à la fin de l'année 3</v>
      </c>
      <c r="D36" s="1619" t="s">
        <v>301</v>
      </c>
      <c r="E36" s="1623" t="s">
        <v>1475</v>
      </c>
      <c r="F36" s="1618"/>
      <c r="G36" s="1618"/>
      <c r="H36" s="1618"/>
      <c r="I36" s="1618"/>
      <c r="J36" s="1618"/>
      <c r="K36" s="1618"/>
      <c r="L36" s="1618"/>
      <c r="M36" s="1618"/>
      <c r="N36" s="1618"/>
      <c r="O36" s="1618"/>
    </row>
    <row r="37" spans="2:15" s="1623" customFormat="1" ht="30" x14ac:dyDescent="0.2">
      <c r="B37" s="1631" t="str">
        <f>IF(Presentation!$D$2="Français",'TRAD-Children YEAR(2)'!D37,IF(Presentation!$D$2="Anglais",'TRAD-Children YEAR(2)'!E37,""))</f>
        <v>Répartition file active pédiatrique sous traitement à la fin de l'année 3</v>
      </c>
      <c r="D37" s="1619" t="s">
        <v>301</v>
      </c>
      <c r="E37" s="1623" t="s">
        <v>1475</v>
      </c>
      <c r="F37" s="1618"/>
      <c r="G37" s="1618"/>
      <c r="H37" s="1618"/>
      <c r="I37" s="1618"/>
      <c r="J37" s="1618"/>
      <c r="K37" s="1618"/>
      <c r="L37" s="1618"/>
      <c r="M37" s="1618"/>
      <c r="N37" s="1618"/>
      <c r="O37" s="1618"/>
    </row>
    <row r="38" spans="2:15" s="1623" customFormat="1" ht="30" x14ac:dyDescent="0.2">
      <c r="B38" s="1631" t="str">
        <f>IF(Presentation!$D$2="Français",'TRAD-Children YEAR(2)'!D38,IF(Presentation!$D$2="Anglais",'TRAD-Children YEAR(2)'!E38,""))</f>
        <v>Répartition file active pédiatrique sous traitement à la fin de l'année 3</v>
      </c>
      <c r="D38" s="1619" t="s">
        <v>301</v>
      </c>
      <c r="E38" s="1623" t="s">
        <v>1475</v>
      </c>
      <c r="F38" s="1618"/>
      <c r="G38" s="1618"/>
      <c r="H38" s="1618"/>
      <c r="I38" s="1618"/>
      <c r="J38" s="1618"/>
      <c r="K38" s="1618"/>
      <c r="L38" s="1618"/>
      <c r="M38" s="1618"/>
      <c r="N38" s="1618"/>
      <c r="O38" s="1618"/>
    </row>
    <row r="39" spans="2:15" s="1623" customFormat="1" x14ac:dyDescent="0.2">
      <c r="B39" s="1631" t="str">
        <f>IF(Presentation!$D$2="Français",'TRAD-Children YEAR(2)'!D39,IF(Presentation!$D$2="Anglais",'TRAD-Children YEAR(2)'!E39,""))</f>
        <v>Nb de patients prévus au début de la 1ère année</v>
      </c>
      <c r="D39" s="1617" t="s">
        <v>1212</v>
      </c>
      <c r="E39" s="1623" t="s">
        <v>1094</v>
      </c>
    </row>
    <row r="40" spans="2:15" s="1623" customFormat="1" x14ac:dyDescent="0.2">
      <c r="B40" s="1631" t="str">
        <f>IF(Presentation!$D$2="Français",'TRAD-Children YEAR(2)'!D40,IF(Presentation!$D$2="Anglais",'TRAD-Children YEAR(2)'!E40,""))</f>
        <v>Nb de patients prévus au début de la 2ème année</v>
      </c>
      <c r="D40" s="1617" t="s">
        <v>298</v>
      </c>
      <c r="E40" s="1623" t="s">
        <v>1213</v>
      </c>
    </row>
    <row r="41" spans="2:15" s="1623" customFormat="1" x14ac:dyDescent="0.2">
      <c r="B41" s="1631" t="str">
        <f>IF(Presentation!$D$2="Français",'TRAD-Children YEAR(2)'!D41,IF(Presentation!$D$2="Anglais",'TRAD-Children YEAR(2)'!E41,""))</f>
        <v>Nb de patients prévus au début de la 3ème année</v>
      </c>
      <c r="D41" s="1617" t="s">
        <v>304</v>
      </c>
      <c r="E41" s="1623" t="s">
        <v>1214</v>
      </c>
    </row>
    <row r="42" spans="2:15" s="1623" customFormat="1" x14ac:dyDescent="0.2">
      <c r="B42" s="1631" t="str">
        <f>IF(Presentation!$D$2="Français",'TRAD-Children YEAR(2)'!D42,IF(Presentation!$D$2="Anglais",'TRAD-Children YEAR(2)'!E42,""))</f>
        <v>Nb de patients prévus au début de la 4ème année</v>
      </c>
      <c r="D42" s="1617" t="s">
        <v>303</v>
      </c>
      <c r="E42" s="1623" t="s">
        <v>1215</v>
      </c>
    </row>
    <row r="43" spans="2:15" s="1623" customFormat="1" x14ac:dyDescent="0.2">
      <c r="B43" s="1631" t="str">
        <f>IF(Presentation!$D$2="Français",'TRAD-Children YEAR(2)'!D43,IF(Presentation!$D$2="Anglais",'TRAD-Children YEAR(2)'!E43,""))</f>
        <v>Nb de patients prévus au début de la 5ème année</v>
      </c>
      <c r="D43" s="1617" t="s">
        <v>308</v>
      </c>
      <c r="E43" s="1623" t="s">
        <v>1216</v>
      </c>
    </row>
    <row r="44" spans="2:15" s="1623" customFormat="1" x14ac:dyDescent="0.2">
      <c r="B44" s="1631"/>
    </row>
    <row r="45" spans="2:15" s="1623" customFormat="1" x14ac:dyDescent="0.2">
      <c r="B45" s="1631"/>
    </row>
    <row r="46" spans="2:15" s="1623" customFormat="1" x14ac:dyDescent="0.2">
      <c r="B46" s="1631"/>
    </row>
    <row r="47" spans="2:15" s="1623" customFormat="1" x14ac:dyDescent="0.2">
      <c r="B47" s="1631"/>
    </row>
    <row r="48" spans="2:15" s="1623" customFormat="1" x14ac:dyDescent="0.2">
      <c r="B48" s="1631"/>
    </row>
    <row r="49" spans="2:2" s="1623" customFormat="1" x14ac:dyDescent="0.2">
      <c r="B49" s="1631"/>
    </row>
    <row r="50" spans="2:2" s="1623" customFormat="1" x14ac:dyDescent="0.2">
      <c r="B50" s="1631"/>
    </row>
    <row r="51" spans="2:2" s="1623" customFormat="1" x14ac:dyDescent="0.2">
      <c r="B51" s="1631"/>
    </row>
    <row r="52" spans="2:2" s="1623" customFormat="1" x14ac:dyDescent="0.2">
      <c r="B52" s="1631"/>
    </row>
    <row r="53" spans="2:2" s="1623" customFormat="1" x14ac:dyDescent="0.2">
      <c r="B53" s="1631"/>
    </row>
    <row r="54" spans="2:2" s="1623" customFormat="1" x14ac:dyDescent="0.2">
      <c r="B54" s="1631"/>
    </row>
    <row r="55" spans="2:2" s="1623" customFormat="1" x14ac:dyDescent="0.2">
      <c r="B55" s="1631"/>
    </row>
    <row r="56" spans="2:2" s="1623" customFormat="1" x14ac:dyDescent="0.2">
      <c r="B56" s="1631"/>
    </row>
    <row r="57" spans="2:2" s="1623" customFormat="1" x14ac:dyDescent="0.2">
      <c r="B57" s="1631"/>
    </row>
    <row r="58" spans="2:2" s="1623" customFormat="1" x14ac:dyDescent="0.2">
      <c r="B58" s="1631"/>
    </row>
    <row r="59" spans="2:2" s="1623" customFormat="1" x14ac:dyDescent="0.2">
      <c r="B59" s="1631"/>
    </row>
    <row r="60" spans="2:2" s="1623" customFormat="1" x14ac:dyDescent="0.2">
      <c r="B60" s="1631"/>
    </row>
    <row r="61" spans="2:2" s="1623" customFormat="1" x14ac:dyDescent="0.2">
      <c r="B61" s="1631"/>
    </row>
    <row r="62" spans="2:2" s="1623" customFormat="1" x14ac:dyDescent="0.2">
      <c r="B62" s="1631"/>
    </row>
    <row r="63" spans="2:2" s="1623" customFormat="1" x14ac:dyDescent="0.2">
      <c r="B63" s="1631"/>
    </row>
    <row r="64" spans="2:2" s="1623" customFormat="1" x14ac:dyDescent="0.2">
      <c r="B64" s="1631"/>
    </row>
    <row r="65" spans="2:2" s="1623" customFormat="1" x14ac:dyDescent="0.2">
      <c r="B65" s="1631"/>
    </row>
    <row r="66" spans="2:2" s="1623" customFormat="1" x14ac:dyDescent="0.2">
      <c r="B66" s="1631"/>
    </row>
    <row r="67" spans="2:2" s="1623" customFormat="1" x14ac:dyDescent="0.2">
      <c r="B67" s="1631"/>
    </row>
    <row r="68" spans="2:2" s="1623" customFormat="1" x14ac:dyDescent="0.2">
      <c r="B68" s="1631"/>
    </row>
    <row r="69" spans="2:2" s="1623" customFormat="1" x14ac:dyDescent="0.2">
      <c r="B69" s="1631"/>
    </row>
    <row r="70" spans="2:2" s="1623" customFormat="1" x14ac:dyDescent="0.2">
      <c r="B70" s="1631"/>
    </row>
    <row r="71" spans="2:2" s="1623" customFormat="1" x14ac:dyDescent="0.2">
      <c r="B71" s="1631"/>
    </row>
    <row r="72" spans="2:2" s="1623" customFormat="1" x14ac:dyDescent="0.2">
      <c r="B72" s="1631"/>
    </row>
    <row r="73" spans="2:2" s="1623" customFormat="1" x14ac:dyDescent="0.2">
      <c r="B73" s="1631"/>
    </row>
    <row r="74" spans="2:2" s="1623" customFormat="1" x14ac:dyDescent="0.2">
      <c r="B74" s="1631"/>
    </row>
    <row r="75" spans="2:2" s="1623" customFormat="1" x14ac:dyDescent="0.2">
      <c r="B75" s="1631"/>
    </row>
    <row r="76" spans="2:2" s="1623" customFormat="1" x14ac:dyDescent="0.2">
      <c r="B76" s="1631"/>
    </row>
    <row r="77" spans="2:2" s="1623" customFormat="1" x14ac:dyDescent="0.2">
      <c r="B77" s="1631"/>
    </row>
    <row r="78" spans="2:2" s="1623" customFormat="1" x14ac:dyDescent="0.2">
      <c r="B78" s="1631"/>
    </row>
    <row r="79" spans="2:2" s="1623" customFormat="1" x14ac:dyDescent="0.2">
      <c r="B79" s="1631"/>
    </row>
    <row r="80" spans="2:2" s="1623" customFormat="1" x14ac:dyDescent="0.2">
      <c r="B80" s="1631"/>
    </row>
    <row r="81" spans="2:2" s="1623" customFormat="1" x14ac:dyDescent="0.2">
      <c r="B81" s="1631"/>
    </row>
    <row r="82" spans="2:2" s="1623" customFormat="1" x14ac:dyDescent="0.2">
      <c r="B82" s="1631"/>
    </row>
    <row r="83" spans="2:2" s="1623" customFormat="1" x14ac:dyDescent="0.2">
      <c r="B83" s="1631"/>
    </row>
    <row r="84" spans="2:2" s="1623" customFormat="1" x14ac:dyDescent="0.2">
      <c r="B84" s="1631"/>
    </row>
    <row r="85" spans="2:2" s="1623" customFormat="1" x14ac:dyDescent="0.2">
      <c r="B85" s="1631"/>
    </row>
    <row r="86" spans="2:2" s="1623" customFormat="1" x14ac:dyDescent="0.2">
      <c r="B86" s="1631"/>
    </row>
    <row r="87" spans="2:2" s="1623" customFormat="1" x14ac:dyDescent="0.2">
      <c r="B87" s="1631"/>
    </row>
    <row r="88" spans="2:2" s="1623" customFormat="1" x14ac:dyDescent="0.2">
      <c r="B88" s="1631"/>
    </row>
    <row r="89" spans="2:2" s="1623" customFormat="1" x14ac:dyDescent="0.2">
      <c r="B89" s="1631"/>
    </row>
    <row r="90" spans="2:2" s="1623" customFormat="1" x14ac:dyDescent="0.2">
      <c r="B90" s="1631"/>
    </row>
    <row r="91" spans="2:2" s="1623" customFormat="1" x14ac:dyDescent="0.2">
      <c r="B91" s="1631"/>
    </row>
    <row r="92" spans="2:2" s="1623" customFormat="1" x14ac:dyDescent="0.2">
      <c r="B92" s="1631"/>
    </row>
    <row r="93" spans="2:2" s="1623" customFormat="1" x14ac:dyDescent="0.2">
      <c r="B93" s="1631"/>
    </row>
    <row r="94" spans="2:2" s="1623" customFormat="1" x14ac:dyDescent="0.2">
      <c r="B94" s="1631"/>
    </row>
    <row r="95" spans="2:2" s="1623" customFormat="1" x14ac:dyDescent="0.2">
      <c r="B95" s="1631"/>
    </row>
    <row r="96" spans="2:2" s="1623" customFormat="1" x14ac:dyDescent="0.2">
      <c r="B96" s="1631"/>
    </row>
    <row r="97" spans="2:2" s="1623" customFormat="1" x14ac:dyDescent="0.2">
      <c r="B97" s="1631"/>
    </row>
    <row r="98" spans="2:2" s="1623" customFormat="1" x14ac:dyDescent="0.2">
      <c r="B98" s="1631"/>
    </row>
    <row r="99" spans="2:2" s="1623" customFormat="1" x14ac:dyDescent="0.2">
      <c r="B99" s="1631"/>
    </row>
    <row r="100" spans="2:2" s="1623" customFormat="1" x14ac:dyDescent="0.2">
      <c r="B100" s="1631"/>
    </row>
    <row r="101" spans="2:2" s="1623" customFormat="1" x14ac:dyDescent="0.2">
      <c r="B101" s="1631"/>
    </row>
    <row r="102" spans="2:2" s="1623" customFormat="1" x14ac:dyDescent="0.2">
      <c r="B102" s="1631"/>
    </row>
    <row r="103" spans="2:2" s="1623" customFormat="1" x14ac:dyDescent="0.2">
      <c r="B103" s="1631"/>
    </row>
    <row r="104" spans="2:2" s="1623" customFormat="1" x14ac:dyDescent="0.2">
      <c r="B104" s="1631"/>
    </row>
    <row r="105" spans="2:2" s="1623" customFormat="1" x14ac:dyDescent="0.2">
      <c r="B105" s="1631"/>
    </row>
    <row r="106" spans="2:2" s="1623" customFormat="1" x14ac:dyDescent="0.2">
      <c r="B106" s="1631"/>
    </row>
    <row r="107" spans="2:2" s="1623" customFormat="1" x14ac:dyDescent="0.2">
      <c r="B107" s="1631"/>
    </row>
    <row r="108" spans="2:2" s="1623" customFormat="1" x14ac:dyDescent="0.2">
      <c r="B108" s="1631"/>
    </row>
    <row r="109" spans="2:2" s="1623" customFormat="1" x14ac:dyDescent="0.2">
      <c r="B109" s="1631"/>
    </row>
    <row r="110" spans="2:2" s="1623" customFormat="1" x14ac:dyDescent="0.2">
      <c r="B110" s="1631"/>
    </row>
    <row r="111" spans="2:2" s="1623" customFormat="1" x14ac:dyDescent="0.2">
      <c r="B111" s="1631"/>
    </row>
    <row r="112" spans="2:2" s="1623" customFormat="1" x14ac:dyDescent="0.2">
      <c r="B112" s="1631"/>
    </row>
    <row r="113" spans="2:2" s="1623" customFormat="1" x14ac:dyDescent="0.2">
      <c r="B113" s="1631"/>
    </row>
    <row r="114" spans="2:2" s="1623" customFormat="1" x14ac:dyDescent="0.2">
      <c r="B114" s="1631"/>
    </row>
    <row r="115" spans="2:2" s="1623" customFormat="1" x14ac:dyDescent="0.2">
      <c r="B115" s="1631"/>
    </row>
    <row r="116" spans="2:2" s="1623" customFormat="1" x14ac:dyDescent="0.2">
      <c r="B116" s="1631"/>
    </row>
    <row r="117" spans="2:2" s="1623" customFormat="1" x14ac:dyDescent="0.2">
      <c r="B117" s="1631"/>
    </row>
    <row r="118" spans="2:2" s="1623" customFormat="1" x14ac:dyDescent="0.2">
      <c r="B118" s="1631"/>
    </row>
    <row r="119" spans="2:2" s="1623" customFormat="1" x14ac:dyDescent="0.2">
      <c r="B119" s="1631"/>
    </row>
    <row r="120" spans="2:2" s="1623" customFormat="1" x14ac:dyDescent="0.2">
      <c r="B120" s="1631"/>
    </row>
    <row r="121" spans="2:2" s="1623" customFormat="1" x14ac:dyDescent="0.2">
      <c r="B121" s="1631"/>
    </row>
    <row r="122" spans="2:2" s="1623" customFormat="1" x14ac:dyDescent="0.2">
      <c r="B122" s="1631"/>
    </row>
    <row r="123" spans="2:2" s="1623" customFormat="1" x14ac:dyDescent="0.2">
      <c r="B123" s="1631"/>
    </row>
    <row r="124" spans="2:2" s="1623" customFormat="1" x14ac:dyDescent="0.2">
      <c r="B124" s="1631"/>
    </row>
    <row r="125" spans="2:2" s="1623" customFormat="1" x14ac:dyDescent="0.2">
      <c r="B125" s="1631"/>
    </row>
    <row r="126" spans="2:2" s="1623" customFormat="1" x14ac:dyDescent="0.2">
      <c r="B126" s="1631"/>
    </row>
    <row r="127" spans="2:2" s="1623" customFormat="1" x14ac:dyDescent="0.2">
      <c r="B127" s="1631"/>
    </row>
    <row r="128" spans="2:2" s="1623" customFormat="1" x14ac:dyDescent="0.2">
      <c r="B128" s="1631"/>
    </row>
    <row r="129" spans="2:2" s="1623" customFormat="1" x14ac:dyDescent="0.2">
      <c r="B129" s="1631"/>
    </row>
    <row r="130" spans="2:2" s="1623" customFormat="1" x14ac:dyDescent="0.2">
      <c r="B130" s="1631"/>
    </row>
    <row r="131" spans="2:2" s="1623" customFormat="1" x14ac:dyDescent="0.2">
      <c r="B131" s="1631"/>
    </row>
    <row r="132" spans="2:2" s="1623" customFormat="1" x14ac:dyDescent="0.2">
      <c r="B132" s="1631"/>
    </row>
    <row r="133" spans="2:2" s="1623" customFormat="1" x14ac:dyDescent="0.2">
      <c r="B133" s="1631"/>
    </row>
    <row r="134" spans="2:2" s="1623" customFormat="1" x14ac:dyDescent="0.2">
      <c r="B134" s="1631"/>
    </row>
    <row r="135" spans="2:2" s="1623" customFormat="1" x14ac:dyDescent="0.2">
      <c r="B135" s="1631"/>
    </row>
    <row r="136" spans="2:2" s="1623" customFormat="1" x14ac:dyDescent="0.2">
      <c r="B136" s="1631"/>
    </row>
    <row r="137" spans="2:2" s="1623" customFormat="1" x14ac:dyDescent="0.2">
      <c r="B137" s="1631"/>
    </row>
    <row r="138" spans="2:2" s="1623" customFormat="1" x14ac:dyDescent="0.2">
      <c r="B138" s="1631"/>
    </row>
    <row r="139" spans="2:2" s="1623" customFormat="1" x14ac:dyDescent="0.2">
      <c r="B139" s="1631"/>
    </row>
    <row r="140" spans="2:2" s="1623" customFormat="1" x14ac:dyDescent="0.2">
      <c r="B140" s="1631"/>
    </row>
    <row r="141" spans="2:2" s="1623" customFormat="1" x14ac:dyDescent="0.2">
      <c r="B141" s="1631"/>
    </row>
    <row r="142" spans="2:2" s="1623" customFormat="1" x14ac:dyDescent="0.2">
      <c r="B142" s="1631"/>
    </row>
    <row r="143" spans="2:2" s="1623" customFormat="1" x14ac:dyDescent="0.2">
      <c r="B143" s="1631"/>
    </row>
    <row r="144" spans="2:2" s="1623" customFormat="1" x14ac:dyDescent="0.2">
      <c r="B144" s="1631"/>
    </row>
    <row r="145" spans="2:2" s="1623" customFormat="1" x14ac:dyDescent="0.2">
      <c r="B145" s="1631"/>
    </row>
    <row r="146" spans="2:2" s="1623" customFormat="1" x14ac:dyDescent="0.2">
      <c r="B146" s="1631"/>
    </row>
    <row r="147" spans="2:2" s="1623" customFormat="1" x14ac:dyDescent="0.2">
      <c r="B147" s="1631"/>
    </row>
    <row r="148" spans="2:2" s="1623" customFormat="1" x14ac:dyDescent="0.2">
      <c r="B148" s="1631"/>
    </row>
    <row r="149" spans="2:2" s="1623" customFormat="1" x14ac:dyDescent="0.2">
      <c r="B149" s="1631"/>
    </row>
    <row r="150" spans="2:2" s="1623" customFormat="1" x14ac:dyDescent="0.2">
      <c r="B150" s="1631"/>
    </row>
    <row r="151" spans="2:2" s="1623" customFormat="1" x14ac:dyDescent="0.2">
      <c r="B151" s="1631"/>
    </row>
    <row r="152" spans="2:2" s="1623" customFormat="1" x14ac:dyDescent="0.2">
      <c r="B152" s="1631"/>
    </row>
    <row r="153" spans="2:2" s="1623" customFormat="1" x14ac:dyDescent="0.2">
      <c r="B153" s="1631"/>
    </row>
    <row r="154" spans="2:2" s="1623" customFormat="1" x14ac:dyDescent="0.2">
      <c r="B154" s="1631"/>
    </row>
    <row r="155" spans="2:2" s="1623" customFormat="1" x14ac:dyDescent="0.2">
      <c r="B155" s="1631"/>
    </row>
    <row r="156" spans="2:2" s="1623" customFormat="1" x14ac:dyDescent="0.2">
      <c r="B156" s="1631"/>
    </row>
    <row r="157" spans="2:2" s="1623" customFormat="1" x14ac:dyDescent="0.2">
      <c r="B157" s="1631"/>
    </row>
    <row r="158" spans="2:2" s="1623" customFormat="1" x14ac:dyDescent="0.2">
      <c r="B158" s="1631"/>
    </row>
    <row r="159" spans="2:2" s="1623" customFormat="1" x14ac:dyDescent="0.2">
      <c r="B159" s="1631"/>
    </row>
    <row r="160" spans="2:2" s="1623" customFormat="1" x14ac:dyDescent="0.2">
      <c r="B160" s="1631"/>
    </row>
    <row r="161" spans="2:2" s="1623" customFormat="1" x14ac:dyDescent="0.2">
      <c r="B161" s="1631"/>
    </row>
    <row r="162" spans="2:2" s="1623" customFormat="1" x14ac:dyDescent="0.2">
      <c r="B162" s="1631"/>
    </row>
    <row r="163" spans="2:2" s="1623" customFormat="1" x14ac:dyDescent="0.2">
      <c r="B163" s="1631"/>
    </row>
    <row r="164" spans="2:2" s="1623" customFormat="1" x14ac:dyDescent="0.2">
      <c r="B164" s="1631"/>
    </row>
    <row r="165" spans="2:2" s="1623" customFormat="1" x14ac:dyDescent="0.2">
      <c r="B165" s="1631"/>
    </row>
    <row r="166" spans="2:2" s="1623" customFormat="1" x14ac:dyDescent="0.2">
      <c r="B166" s="1631"/>
    </row>
    <row r="167" spans="2:2" s="1623" customFormat="1" x14ac:dyDescent="0.2">
      <c r="B167" s="1631"/>
    </row>
    <row r="168" spans="2:2" s="1623" customFormat="1" x14ac:dyDescent="0.2">
      <c r="B168" s="1631"/>
    </row>
    <row r="169" spans="2:2" s="1623" customFormat="1" x14ac:dyDescent="0.2">
      <c r="B169" s="1631"/>
    </row>
    <row r="170" spans="2:2" s="1623" customFormat="1" x14ac:dyDescent="0.2">
      <c r="B170" s="1631"/>
    </row>
    <row r="171" spans="2:2" s="1623" customFormat="1" x14ac:dyDescent="0.2">
      <c r="B171" s="1631"/>
    </row>
    <row r="172" spans="2:2" s="1623" customFormat="1" x14ac:dyDescent="0.2">
      <c r="B172" s="1631"/>
    </row>
    <row r="173" spans="2:2" s="1623" customFormat="1" x14ac:dyDescent="0.2">
      <c r="B173" s="1631"/>
    </row>
    <row r="174" spans="2:2" s="1623" customFormat="1" x14ac:dyDescent="0.2">
      <c r="B174" s="1631"/>
    </row>
    <row r="175" spans="2:2" s="1623" customFormat="1" x14ac:dyDescent="0.2">
      <c r="B175" s="1631"/>
    </row>
    <row r="176" spans="2:2" s="1623" customFormat="1" x14ac:dyDescent="0.2">
      <c r="B176" s="1631"/>
    </row>
    <row r="177" spans="2:2" s="1623" customFormat="1" x14ac:dyDescent="0.2">
      <c r="B177" s="1631"/>
    </row>
    <row r="178" spans="2:2" s="1623" customFormat="1" x14ac:dyDescent="0.2">
      <c r="B178" s="1631"/>
    </row>
    <row r="179" spans="2:2" s="1623" customFormat="1" x14ac:dyDescent="0.2">
      <c r="B179" s="1631"/>
    </row>
    <row r="180" spans="2:2" s="1623" customFormat="1" x14ac:dyDescent="0.2">
      <c r="B180" s="1631"/>
    </row>
    <row r="181" spans="2:2" s="1623" customFormat="1" x14ac:dyDescent="0.2">
      <c r="B181" s="1631"/>
    </row>
    <row r="182" spans="2:2" s="1623" customFormat="1" x14ac:dyDescent="0.2">
      <c r="B182" s="1631"/>
    </row>
    <row r="183" spans="2:2" s="1623" customFormat="1" x14ac:dyDescent="0.2">
      <c r="B183" s="1631"/>
    </row>
    <row r="184" spans="2:2" s="1623" customFormat="1" x14ac:dyDescent="0.2">
      <c r="B184" s="1631"/>
    </row>
    <row r="185" spans="2:2" s="1623" customFormat="1" x14ac:dyDescent="0.2">
      <c r="B185" s="1631"/>
    </row>
    <row r="186" spans="2:2" s="1623" customFormat="1" x14ac:dyDescent="0.2">
      <c r="B186" s="1631"/>
    </row>
    <row r="187" spans="2:2" s="1623" customFormat="1" x14ac:dyDescent="0.2">
      <c r="B187" s="1631"/>
    </row>
    <row r="188" spans="2:2" s="1623" customFormat="1" x14ac:dyDescent="0.2">
      <c r="B188" s="1631"/>
    </row>
    <row r="189" spans="2:2" s="1623" customFormat="1" x14ac:dyDescent="0.2">
      <c r="B189" s="1631"/>
    </row>
    <row r="190" spans="2:2" s="1623" customFormat="1" x14ac:dyDescent="0.2">
      <c r="B190" s="1631"/>
    </row>
    <row r="191" spans="2:2" s="1623" customFormat="1" x14ac:dyDescent="0.2">
      <c r="B191" s="1631"/>
    </row>
    <row r="192" spans="2:2" s="1623" customFormat="1" x14ac:dyDescent="0.2">
      <c r="B192" s="1631"/>
    </row>
    <row r="193" spans="2:2" s="1623" customFormat="1" x14ac:dyDescent="0.2">
      <c r="B193" s="1631"/>
    </row>
    <row r="194" spans="2:2" s="1623" customFormat="1" x14ac:dyDescent="0.2">
      <c r="B194" s="1631"/>
    </row>
    <row r="195" spans="2:2" s="1623" customFormat="1" x14ac:dyDescent="0.2">
      <c r="B195" s="1631"/>
    </row>
    <row r="196" spans="2:2" s="1623" customFormat="1" x14ac:dyDescent="0.2">
      <c r="B196" s="1631"/>
    </row>
    <row r="197" spans="2:2" s="1623" customFormat="1" x14ac:dyDescent="0.2">
      <c r="B197" s="1631"/>
    </row>
    <row r="198" spans="2:2" s="1623" customFormat="1" x14ac:dyDescent="0.2">
      <c r="B198" s="1631"/>
    </row>
    <row r="199" spans="2:2" s="1623" customFormat="1" x14ac:dyDescent="0.2">
      <c r="B199" s="1631"/>
    </row>
    <row r="200" spans="2:2" s="1623" customFormat="1" x14ac:dyDescent="0.2">
      <c r="B200" s="1631"/>
    </row>
    <row r="201" spans="2:2" s="1623" customFormat="1" x14ac:dyDescent="0.2">
      <c r="B201" s="1631"/>
    </row>
    <row r="202" spans="2:2" s="1623" customFormat="1" x14ac:dyDescent="0.2">
      <c r="B202" s="1631"/>
    </row>
    <row r="203" spans="2:2" s="1623" customFormat="1" x14ac:dyDescent="0.2">
      <c r="B203" s="1631"/>
    </row>
    <row r="204" spans="2:2" s="1623" customFormat="1" x14ac:dyDescent="0.2">
      <c r="B204" s="1631"/>
    </row>
    <row r="205" spans="2:2" s="1623" customFormat="1" x14ac:dyDescent="0.2">
      <c r="B205" s="1631"/>
    </row>
    <row r="206" spans="2:2" s="1623" customFormat="1" x14ac:dyDescent="0.2">
      <c r="B206" s="1631"/>
    </row>
    <row r="207" spans="2:2" s="1623" customFormat="1" x14ac:dyDescent="0.2">
      <c r="B207" s="1631"/>
    </row>
    <row r="208" spans="2:2" s="1623" customFormat="1" x14ac:dyDescent="0.2">
      <c r="B208" s="1631"/>
    </row>
    <row r="209" spans="2:2" s="1623" customFormat="1" x14ac:dyDescent="0.2">
      <c r="B209" s="1631"/>
    </row>
    <row r="210" spans="2:2" s="1623" customFormat="1" x14ac:dyDescent="0.2">
      <c r="B210" s="1631"/>
    </row>
    <row r="211" spans="2:2" s="1623" customFormat="1" x14ac:dyDescent="0.2">
      <c r="B211" s="1631"/>
    </row>
    <row r="212" spans="2:2" s="1623" customFormat="1" x14ac:dyDescent="0.2">
      <c r="B212" s="1631"/>
    </row>
    <row r="213" spans="2:2" s="1623" customFormat="1" x14ac:dyDescent="0.2">
      <c r="B213" s="1631"/>
    </row>
    <row r="214" spans="2:2" s="1623" customFormat="1" x14ac:dyDescent="0.2">
      <c r="B214" s="1631"/>
    </row>
    <row r="215" spans="2:2" s="1623" customFormat="1" x14ac:dyDescent="0.2">
      <c r="B215" s="1631"/>
    </row>
    <row r="216" spans="2:2" s="1623" customFormat="1" x14ac:dyDescent="0.2">
      <c r="B216" s="1631"/>
    </row>
    <row r="217" spans="2:2" s="1623" customFormat="1" x14ac:dyDescent="0.2">
      <c r="B217" s="1631"/>
    </row>
    <row r="218" spans="2:2" s="1623" customFormat="1" x14ac:dyDescent="0.2">
      <c r="B218" s="1631"/>
    </row>
    <row r="219" spans="2:2" s="1623" customFormat="1" x14ac:dyDescent="0.2">
      <c r="B219" s="1631"/>
    </row>
    <row r="220" spans="2:2" s="1623" customFormat="1" x14ac:dyDescent="0.2">
      <c r="B220" s="1631"/>
    </row>
    <row r="221" spans="2:2" s="1623" customFormat="1" x14ac:dyDescent="0.2">
      <c r="B221" s="1631"/>
    </row>
    <row r="222" spans="2:2" s="1623" customFormat="1" x14ac:dyDescent="0.2">
      <c r="B222" s="1631"/>
    </row>
    <row r="223" spans="2:2" s="1623" customFormat="1" x14ac:dyDescent="0.2">
      <c r="B223" s="1631"/>
    </row>
    <row r="224" spans="2:2" s="1623" customFormat="1" x14ac:dyDescent="0.2">
      <c r="B224" s="1631"/>
    </row>
    <row r="225" spans="2:2" s="1623" customFormat="1" x14ac:dyDescent="0.2">
      <c r="B225" s="1631"/>
    </row>
    <row r="226" spans="2:2" s="1623" customFormat="1" x14ac:dyDescent="0.2">
      <c r="B226" s="1631"/>
    </row>
    <row r="227" spans="2:2" s="1623" customFormat="1" x14ac:dyDescent="0.2">
      <c r="B227" s="1631"/>
    </row>
    <row r="228" spans="2:2" s="1623" customFormat="1" x14ac:dyDescent="0.2">
      <c r="B228" s="1631"/>
    </row>
    <row r="229" spans="2:2" s="1623" customFormat="1" x14ac:dyDescent="0.2">
      <c r="B229" s="1631"/>
    </row>
    <row r="230" spans="2:2" s="1623" customFormat="1" x14ac:dyDescent="0.2">
      <c r="B230" s="1631"/>
    </row>
    <row r="231" spans="2:2" s="1623" customFormat="1" x14ac:dyDescent="0.2">
      <c r="B231" s="1631"/>
    </row>
    <row r="232" spans="2:2" s="1623" customFormat="1" x14ac:dyDescent="0.2">
      <c r="B232" s="1631"/>
    </row>
    <row r="233" spans="2:2" s="1623" customFormat="1" x14ac:dyDescent="0.2">
      <c r="B233" s="1631"/>
    </row>
    <row r="234" spans="2:2" s="1623" customFormat="1" x14ac:dyDescent="0.2">
      <c r="B234" s="1631"/>
    </row>
    <row r="235" spans="2:2" s="1623" customFormat="1" x14ac:dyDescent="0.2">
      <c r="B235" s="1631"/>
    </row>
    <row r="236" spans="2:2" s="1623" customFormat="1" x14ac:dyDescent="0.2">
      <c r="B236" s="1631"/>
    </row>
    <row r="237" spans="2:2" s="1623" customFormat="1" x14ac:dyDescent="0.2">
      <c r="B237" s="1631"/>
    </row>
    <row r="238" spans="2:2" s="1623" customFormat="1" x14ac:dyDescent="0.2">
      <c r="B238" s="1631"/>
    </row>
    <row r="239" spans="2:2" s="1623" customFormat="1" x14ac:dyDescent="0.2">
      <c r="B239" s="1631"/>
    </row>
    <row r="240" spans="2:2" s="1623" customFormat="1" x14ac:dyDescent="0.2">
      <c r="B240" s="1631"/>
    </row>
    <row r="241" spans="2:2" s="1623" customFormat="1" x14ac:dyDescent="0.2">
      <c r="B241" s="1631"/>
    </row>
    <row r="242" spans="2:2" s="1623" customFormat="1" x14ac:dyDescent="0.2">
      <c r="B242" s="1631"/>
    </row>
    <row r="243" spans="2:2" s="1623" customFormat="1" x14ac:dyDescent="0.2">
      <c r="B243" s="1631"/>
    </row>
    <row r="244" spans="2:2" s="1623" customFormat="1" x14ac:dyDescent="0.2">
      <c r="B244" s="1631"/>
    </row>
    <row r="245" spans="2:2" s="1623" customFormat="1" x14ac:dyDescent="0.2">
      <c r="B245" s="1631"/>
    </row>
    <row r="246" spans="2:2" s="1623" customFormat="1" x14ac:dyDescent="0.2">
      <c r="B246" s="1631"/>
    </row>
    <row r="247" spans="2:2" s="1623" customFormat="1" x14ac:dyDescent="0.2">
      <c r="B247" s="1631"/>
    </row>
    <row r="248" spans="2:2" s="1623" customFormat="1" x14ac:dyDescent="0.2">
      <c r="B248" s="1631"/>
    </row>
    <row r="249" spans="2:2" s="1623" customFormat="1" x14ac:dyDescent="0.2">
      <c r="B249" s="1631"/>
    </row>
    <row r="250" spans="2:2" s="1623" customFormat="1" x14ac:dyDescent="0.2">
      <c r="B250" s="1631"/>
    </row>
    <row r="251" spans="2:2" s="1623" customFormat="1" x14ac:dyDescent="0.2">
      <c r="B251" s="1631"/>
    </row>
    <row r="252" spans="2:2" s="1623" customFormat="1" x14ac:dyDescent="0.2">
      <c r="B252" s="1631"/>
    </row>
    <row r="253" spans="2:2" s="1623" customFormat="1" x14ac:dyDescent="0.2">
      <c r="B253" s="1631"/>
    </row>
    <row r="254" spans="2:2" s="1623" customFormat="1" x14ac:dyDescent="0.2">
      <c r="B254" s="1631"/>
    </row>
    <row r="255" spans="2:2" s="1623" customFormat="1" x14ac:dyDescent="0.2">
      <c r="B255" s="1631"/>
    </row>
    <row r="256" spans="2:2" s="1623" customFormat="1" x14ac:dyDescent="0.2">
      <c r="B256" s="1631"/>
    </row>
    <row r="257" spans="2:2" s="1623" customFormat="1" x14ac:dyDescent="0.2">
      <c r="B257" s="1631"/>
    </row>
    <row r="258" spans="2:2" s="1623" customFormat="1" x14ac:dyDescent="0.2">
      <c r="B258" s="1631"/>
    </row>
    <row r="259" spans="2:2" s="1623" customFormat="1" x14ac:dyDescent="0.2">
      <c r="B259" s="1631"/>
    </row>
    <row r="260" spans="2:2" s="1623" customFormat="1" x14ac:dyDescent="0.2">
      <c r="B260" s="1631"/>
    </row>
    <row r="261" spans="2:2" s="1623" customFormat="1" x14ac:dyDescent="0.2">
      <c r="B261" s="1631"/>
    </row>
    <row r="262" spans="2:2" s="1623" customFormat="1" x14ac:dyDescent="0.2">
      <c r="B262" s="1631"/>
    </row>
    <row r="263" spans="2:2" s="1623" customFormat="1" x14ac:dyDescent="0.2">
      <c r="B263" s="1631"/>
    </row>
    <row r="264" spans="2:2" s="1623" customFormat="1" x14ac:dyDescent="0.2">
      <c r="B264" s="1631"/>
    </row>
    <row r="265" spans="2:2" s="1623" customFormat="1" x14ac:dyDescent="0.2">
      <c r="B265" s="1631"/>
    </row>
    <row r="266" spans="2:2" s="1623" customFormat="1" x14ac:dyDescent="0.2">
      <c r="B266" s="1631"/>
    </row>
    <row r="267" spans="2:2" s="1623" customFormat="1" x14ac:dyDescent="0.2">
      <c r="B267" s="1631"/>
    </row>
    <row r="268" spans="2:2" s="1623" customFormat="1" x14ac:dyDescent="0.2">
      <c r="B268" s="1631"/>
    </row>
    <row r="269" spans="2:2" s="1623" customFormat="1" x14ac:dyDescent="0.2">
      <c r="B269" s="1631"/>
    </row>
    <row r="270" spans="2:2" s="1623" customFormat="1" x14ac:dyDescent="0.2">
      <c r="B270" s="1631"/>
    </row>
    <row r="271" spans="2:2" s="1623" customFormat="1" x14ac:dyDescent="0.2">
      <c r="B271" s="1631"/>
    </row>
    <row r="272" spans="2:2" s="1623" customFormat="1" x14ac:dyDescent="0.2">
      <c r="B272" s="1631"/>
    </row>
    <row r="273" spans="2:2" s="1623" customFormat="1" x14ac:dyDescent="0.2">
      <c r="B273" s="1631"/>
    </row>
    <row r="274" spans="2:2" s="1623" customFormat="1" x14ac:dyDescent="0.2">
      <c r="B274" s="1631"/>
    </row>
    <row r="275" spans="2:2" s="1623" customFormat="1" x14ac:dyDescent="0.2">
      <c r="B275" s="1631"/>
    </row>
    <row r="276" spans="2:2" s="1623" customFormat="1" x14ac:dyDescent="0.2">
      <c r="B276" s="1631"/>
    </row>
    <row r="277" spans="2:2" s="1623" customFormat="1" x14ac:dyDescent="0.2">
      <c r="B277" s="1631"/>
    </row>
    <row r="278" spans="2:2" s="1623" customFormat="1" x14ac:dyDescent="0.2">
      <c r="B278" s="1631"/>
    </row>
    <row r="279" spans="2:2" s="1623" customFormat="1" x14ac:dyDescent="0.2">
      <c r="B279" s="1631"/>
    </row>
    <row r="280" spans="2:2" s="1623" customFormat="1" x14ac:dyDescent="0.2">
      <c r="B280" s="1631"/>
    </row>
    <row r="281" spans="2:2" s="1623" customFormat="1" x14ac:dyDescent="0.2">
      <c r="B281" s="1631"/>
    </row>
    <row r="282" spans="2:2" s="1623" customFormat="1" x14ac:dyDescent="0.2">
      <c r="B282" s="1631"/>
    </row>
    <row r="283" spans="2:2" s="1623" customFormat="1" x14ac:dyDescent="0.2">
      <c r="B283" s="1631"/>
    </row>
    <row r="284" spans="2:2" s="1623" customFormat="1" x14ac:dyDescent="0.2">
      <c r="B284" s="1631"/>
    </row>
    <row r="285" spans="2:2" s="1623" customFormat="1" x14ac:dyDescent="0.2">
      <c r="B285" s="1631"/>
    </row>
    <row r="286" spans="2:2" s="1623" customFormat="1" x14ac:dyDescent="0.2">
      <c r="B286" s="1631"/>
    </row>
    <row r="287" spans="2:2" s="1623" customFormat="1" x14ac:dyDescent="0.2">
      <c r="B287" s="1631"/>
    </row>
    <row r="288" spans="2:2" s="1623" customFormat="1" x14ac:dyDescent="0.2">
      <c r="B288" s="1631"/>
    </row>
    <row r="289" spans="2:2" s="1623" customFormat="1" x14ac:dyDescent="0.2">
      <c r="B289" s="1631"/>
    </row>
    <row r="290" spans="2:2" s="1623" customFormat="1" x14ac:dyDescent="0.2">
      <c r="B290" s="1631"/>
    </row>
    <row r="291" spans="2:2" s="1623" customFormat="1" x14ac:dyDescent="0.2">
      <c r="B291" s="1631"/>
    </row>
    <row r="292" spans="2:2" s="1623" customFormat="1" x14ac:dyDescent="0.2">
      <c r="B292" s="1631"/>
    </row>
    <row r="293" spans="2:2" s="1623" customFormat="1" x14ac:dyDescent="0.2">
      <c r="B293" s="1631"/>
    </row>
    <row r="294" spans="2:2" s="1623" customFormat="1" x14ac:dyDescent="0.2">
      <c r="B294" s="1631"/>
    </row>
    <row r="295" spans="2:2" s="1623" customFormat="1" x14ac:dyDescent="0.2">
      <c r="B295" s="1631"/>
    </row>
    <row r="296" spans="2:2" s="1623" customFormat="1" x14ac:dyDescent="0.2">
      <c r="B296" s="1631"/>
    </row>
    <row r="297" spans="2:2" s="1623" customFormat="1" x14ac:dyDescent="0.2">
      <c r="B297" s="1631"/>
    </row>
    <row r="298" spans="2:2" s="1623" customFormat="1" x14ac:dyDescent="0.2">
      <c r="B298" s="1631"/>
    </row>
    <row r="299" spans="2:2" s="1623" customFormat="1" x14ac:dyDescent="0.2">
      <c r="B299" s="1631"/>
    </row>
    <row r="300" spans="2:2" s="1623" customFormat="1" x14ac:dyDescent="0.2">
      <c r="B300" s="1631"/>
    </row>
    <row r="301" spans="2:2" s="1623" customFormat="1" x14ac:dyDescent="0.2">
      <c r="B301" s="1631"/>
    </row>
    <row r="302" spans="2:2" s="1623" customFormat="1" x14ac:dyDescent="0.2">
      <c r="B302" s="1631"/>
    </row>
    <row r="303" spans="2:2" s="1623" customFormat="1" x14ac:dyDescent="0.2">
      <c r="B303" s="1631"/>
    </row>
    <row r="304" spans="2:2" s="1623" customFormat="1" x14ac:dyDescent="0.2">
      <c r="B304" s="1631"/>
    </row>
    <row r="305" spans="2:2" s="1623" customFormat="1" x14ac:dyDescent="0.2">
      <c r="B305" s="1631"/>
    </row>
    <row r="306" spans="2:2" s="1623" customFormat="1" x14ac:dyDescent="0.2">
      <c r="B306" s="1631"/>
    </row>
    <row r="307" spans="2:2" s="1623" customFormat="1" x14ac:dyDescent="0.2">
      <c r="B307" s="1631"/>
    </row>
    <row r="308" spans="2:2" s="1623" customFormat="1" x14ac:dyDescent="0.2">
      <c r="B308" s="1631"/>
    </row>
    <row r="309" spans="2:2" s="1623" customFormat="1" x14ac:dyDescent="0.2">
      <c r="B309" s="1631"/>
    </row>
    <row r="310" spans="2:2" s="1623" customFormat="1" x14ac:dyDescent="0.2">
      <c r="B310" s="1631"/>
    </row>
    <row r="311" spans="2:2" s="1623" customFormat="1" x14ac:dyDescent="0.2">
      <c r="B311" s="1631"/>
    </row>
    <row r="312" spans="2:2" s="1623" customFormat="1" x14ac:dyDescent="0.2">
      <c r="B312" s="1631"/>
    </row>
    <row r="313" spans="2:2" s="1623" customFormat="1" x14ac:dyDescent="0.2">
      <c r="B313" s="1631"/>
    </row>
    <row r="314" spans="2:2" s="1623" customFormat="1" x14ac:dyDescent="0.2">
      <c r="B314" s="1631"/>
    </row>
    <row r="315" spans="2:2" s="1623" customFormat="1" x14ac:dyDescent="0.2">
      <c r="B315" s="1631"/>
    </row>
    <row r="316" spans="2:2" s="1623" customFormat="1" x14ac:dyDescent="0.2">
      <c r="B316" s="1631"/>
    </row>
    <row r="317" spans="2:2" s="1623" customFormat="1" x14ac:dyDescent="0.2">
      <c r="B317" s="1631"/>
    </row>
    <row r="318" spans="2:2" s="1623" customFormat="1" x14ac:dyDescent="0.2">
      <c r="B318" s="1631"/>
    </row>
    <row r="319" spans="2:2" s="1623" customFormat="1" x14ac:dyDescent="0.2">
      <c r="B319" s="1631"/>
    </row>
    <row r="320" spans="2:2" s="1623" customFormat="1" x14ac:dyDescent="0.2">
      <c r="B320" s="1631"/>
    </row>
    <row r="321" spans="2:2" s="1623" customFormat="1" x14ac:dyDescent="0.2">
      <c r="B321" s="1631"/>
    </row>
    <row r="322" spans="2:2" s="1623" customFormat="1" x14ac:dyDescent="0.2">
      <c r="B322" s="1631"/>
    </row>
    <row r="323" spans="2:2" s="1623" customFormat="1" x14ac:dyDescent="0.2">
      <c r="B323" s="1631"/>
    </row>
    <row r="324" spans="2:2" s="1623" customFormat="1" x14ac:dyDescent="0.2">
      <c r="B324" s="1631"/>
    </row>
    <row r="325" spans="2:2" s="1623" customFormat="1" x14ac:dyDescent="0.2">
      <c r="B325" s="1631"/>
    </row>
    <row r="326" spans="2:2" s="1623" customFormat="1" x14ac:dyDescent="0.2">
      <c r="B326" s="1631"/>
    </row>
    <row r="327" spans="2:2" s="1623" customFormat="1" x14ac:dyDescent="0.2">
      <c r="B327" s="1631"/>
    </row>
    <row r="328" spans="2:2" s="1623" customFormat="1" x14ac:dyDescent="0.2">
      <c r="B328" s="1631"/>
    </row>
    <row r="329" spans="2:2" s="1623" customFormat="1" x14ac:dyDescent="0.2">
      <c r="B329" s="1631"/>
    </row>
    <row r="330" spans="2:2" s="1623" customFormat="1" x14ac:dyDescent="0.2">
      <c r="B330" s="1631"/>
    </row>
    <row r="331" spans="2:2" s="1623" customFormat="1" x14ac:dyDescent="0.2">
      <c r="B331" s="1631"/>
    </row>
    <row r="332" spans="2:2" s="1623" customFormat="1" x14ac:dyDescent="0.2">
      <c r="B332" s="1631"/>
    </row>
    <row r="333" spans="2:2" s="1623" customFormat="1" x14ac:dyDescent="0.2">
      <c r="B333" s="1631"/>
    </row>
    <row r="334" spans="2:2" s="1623" customFormat="1" x14ac:dyDescent="0.2">
      <c r="B334" s="1631"/>
    </row>
    <row r="335" spans="2:2" s="1623" customFormat="1" x14ac:dyDescent="0.2">
      <c r="B335" s="1631"/>
    </row>
    <row r="336" spans="2:2" s="1623" customFormat="1" x14ac:dyDescent="0.2">
      <c r="B336" s="1631"/>
    </row>
    <row r="337" spans="2:2" s="1623" customFormat="1" x14ac:dyDescent="0.2">
      <c r="B337" s="1631"/>
    </row>
    <row r="338" spans="2:2" s="1623" customFormat="1" x14ac:dyDescent="0.2">
      <c r="B338" s="1631"/>
    </row>
    <row r="339" spans="2:2" s="1623" customFormat="1" x14ac:dyDescent="0.2">
      <c r="B339" s="1631"/>
    </row>
    <row r="340" spans="2:2" s="1623" customFormat="1" x14ac:dyDescent="0.2">
      <c r="B340" s="1631"/>
    </row>
    <row r="341" spans="2:2" s="1623" customFormat="1" x14ac:dyDescent="0.2">
      <c r="B341" s="1631"/>
    </row>
    <row r="342" spans="2:2" s="1623" customFormat="1" x14ac:dyDescent="0.2">
      <c r="B342" s="1631"/>
    </row>
    <row r="343" spans="2:2" s="1623" customFormat="1" x14ac:dyDescent="0.2">
      <c r="B343" s="1631"/>
    </row>
    <row r="344" spans="2:2" s="1623" customFormat="1" x14ac:dyDescent="0.2">
      <c r="B344" s="1631"/>
    </row>
    <row r="345" spans="2:2" s="1623" customFormat="1" x14ac:dyDescent="0.2">
      <c r="B345" s="1631"/>
    </row>
    <row r="346" spans="2:2" s="1623" customFormat="1" x14ac:dyDescent="0.2">
      <c r="B346" s="1631"/>
    </row>
    <row r="347" spans="2:2" s="1623" customFormat="1" x14ac:dyDescent="0.2">
      <c r="B347" s="1631"/>
    </row>
    <row r="348" spans="2:2" s="1623" customFormat="1" x14ac:dyDescent="0.2">
      <c r="B348" s="1631"/>
    </row>
    <row r="349" spans="2:2" s="1623" customFormat="1" x14ac:dyDescent="0.2">
      <c r="B349" s="1631"/>
    </row>
    <row r="350" spans="2:2" s="1623" customFormat="1" x14ac:dyDescent="0.2">
      <c r="B350" s="1631"/>
    </row>
    <row r="351" spans="2:2" s="1623" customFormat="1" x14ac:dyDescent="0.2">
      <c r="B351" s="1631"/>
    </row>
    <row r="352" spans="2:2" s="1623" customFormat="1" x14ac:dyDescent="0.2">
      <c r="B352" s="1631"/>
    </row>
    <row r="353" spans="2:2" s="1623" customFormat="1" x14ac:dyDescent="0.2">
      <c r="B353" s="1631"/>
    </row>
    <row r="354" spans="2:2" s="1623" customFormat="1" x14ac:dyDescent="0.2">
      <c r="B354" s="1631"/>
    </row>
    <row r="355" spans="2:2" s="1623" customFormat="1" x14ac:dyDescent="0.2">
      <c r="B355" s="1631"/>
    </row>
    <row r="356" spans="2:2" s="1623" customFormat="1" x14ac:dyDescent="0.2">
      <c r="B356" s="1631"/>
    </row>
    <row r="357" spans="2:2" s="1623" customFormat="1" x14ac:dyDescent="0.2">
      <c r="B357" s="1631"/>
    </row>
    <row r="358" spans="2:2" s="1623" customFormat="1" x14ac:dyDescent="0.2">
      <c r="B358" s="1631"/>
    </row>
    <row r="359" spans="2:2" s="1623" customFormat="1" x14ac:dyDescent="0.2">
      <c r="B359" s="1631"/>
    </row>
    <row r="360" spans="2:2" s="1623" customFormat="1" x14ac:dyDescent="0.2">
      <c r="B360" s="1631"/>
    </row>
    <row r="361" spans="2:2" s="1623" customFormat="1" x14ac:dyDescent="0.2">
      <c r="B361" s="1631"/>
    </row>
    <row r="362" spans="2:2" s="1623" customFormat="1" x14ac:dyDescent="0.2">
      <c r="B362" s="1631"/>
    </row>
    <row r="363" spans="2:2" s="1623" customFormat="1" x14ac:dyDescent="0.2">
      <c r="B363" s="1631"/>
    </row>
    <row r="364" spans="2:2" s="1623" customFormat="1" x14ac:dyDescent="0.2">
      <c r="B364" s="1631"/>
    </row>
    <row r="365" spans="2:2" s="1623" customFormat="1" x14ac:dyDescent="0.2">
      <c r="B365" s="1631"/>
    </row>
    <row r="366" spans="2:2" s="1623" customFormat="1" x14ac:dyDescent="0.2">
      <c r="B366" s="1631"/>
    </row>
    <row r="367" spans="2:2" s="1623" customFormat="1" x14ac:dyDescent="0.2">
      <c r="B367" s="1631"/>
    </row>
    <row r="368" spans="2:2" s="1623" customFormat="1" x14ac:dyDescent="0.2">
      <c r="B368" s="1631"/>
    </row>
    <row r="369" spans="2:2" s="1623" customFormat="1" x14ac:dyDescent="0.2">
      <c r="B369" s="1631"/>
    </row>
    <row r="370" spans="2:2" s="1623" customFormat="1" x14ac:dyDescent="0.2">
      <c r="B370" s="1631"/>
    </row>
    <row r="371" spans="2:2" s="1623" customFormat="1" x14ac:dyDescent="0.2">
      <c r="B371" s="1631"/>
    </row>
    <row r="372" spans="2:2" s="1623" customFormat="1" x14ac:dyDescent="0.2">
      <c r="B372" s="1631"/>
    </row>
    <row r="373" spans="2:2" s="1623" customFormat="1" x14ac:dyDescent="0.2">
      <c r="B373" s="1631"/>
    </row>
    <row r="374" spans="2:2" s="1623" customFormat="1" x14ac:dyDescent="0.2">
      <c r="B374" s="1631"/>
    </row>
    <row r="375" spans="2:2" s="1623" customFormat="1" x14ac:dyDescent="0.2">
      <c r="B375" s="1631"/>
    </row>
    <row r="376" spans="2:2" s="1623" customFormat="1" x14ac:dyDescent="0.2">
      <c r="B376" s="1631"/>
    </row>
    <row r="377" spans="2:2" s="1623" customFormat="1" x14ac:dyDescent="0.2">
      <c r="B377" s="1631"/>
    </row>
    <row r="378" spans="2:2" s="1623" customFormat="1" x14ac:dyDescent="0.2">
      <c r="B378" s="1631"/>
    </row>
    <row r="379" spans="2:2" s="1623" customFormat="1" x14ac:dyDescent="0.2">
      <c r="B379" s="1631"/>
    </row>
    <row r="380" spans="2:2" s="1623" customFormat="1" x14ac:dyDescent="0.2">
      <c r="B380" s="1631"/>
    </row>
    <row r="381" spans="2:2" s="1623" customFormat="1" x14ac:dyDescent="0.2">
      <c r="B381" s="1631"/>
    </row>
    <row r="382" spans="2:2" s="1623" customFormat="1" x14ac:dyDescent="0.2">
      <c r="B382" s="1631"/>
    </row>
    <row r="383" spans="2:2" s="1623" customFormat="1" x14ac:dyDescent="0.2">
      <c r="B383" s="1631"/>
    </row>
    <row r="384" spans="2:2" s="1623" customFormat="1" x14ac:dyDescent="0.2">
      <c r="B384" s="1631"/>
    </row>
    <row r="385" spans="2:2" s="1623" customFormat="1" x14ac:dyDescent="0.2">
      <c r="B385" s="1631"/>
    </row>
    <row r="386" spans="2:2" s="1623" customFormat="1" x14ac:dyDescent="0.2">
      <c r="B386" s="1631"/>
    </row>
    <row r="387" spans="2:2" s="1623" customFormat="1" x14ac:dyDescent="0.2">
      <c r="B387" s="1631"/>
    </row>
    <row r="388" spans="2:2" s="1623" customFormat="1" x14ac:dyDescent="0.2">
      <c r="B388" s="1631"/>
    </row>
    <row r="389" spans="2:2" s="1623" customFormat="1" x14ac:dyDescent="0.2">
      <c r="B389" s="1631"/>
    </row>
    <row r="390" spans="2:2" s="1623" customFormat="1" x14ac:dyDescent="0.2">
      <c r="B390" s="1631"/>
    </row>
    <row r="391" spans="2:2" s="1623" customFormat="1" x14ac:dyDescent="0.2">
      <c r="B391" s="1631"/>
    </row>
    <row r="392" spans="2:2" s="1623" customFormat="1" x14ac:dyDescent="0.2">
      <c r="B392" s="1631"/>
    </row>
    <row r="393" spans="2:2" s="1623" customFormat="1" x14ac:dyDescent="0.2">
      <c r="B393" s="1631"/>
    </row>
    <row r="394" spans="2:2" s="1623" customFormat="1" x14ac:dyDescent="0.2">
      <c r="B394" s="1631"/>
    </row>
    <row r="395" spans="2:2" s="1623" customFormat="1" x14ac:dyDescent="0.2">
      <c r="B395" s="1631"/>
    </row>
    <row r="396" spans="2:2" s="1623" customFormat="1" x14ac:dyDescent="0.2">
      <c r="B396" s="1631"/>
    </row>
    <row r="397" spans="2:2" s="1623" customFormat="1" x14ac:dyDescent="0.2">
      <c r="B397" s="1631"/>
    </row>
    <row r="398" spans="2:2" s="1623" customFormat="1" x14ac:dyDescent="0.2">
      <c r="B398" s="1631"/>
    </row>
    <row r="399" spans="2:2" s="1623" customFormat="1" x14ac:dyDescent="0.2">
      <c r="B399" s="1631"/>
    </row>
    <row r="400" spans="2:2" s="1623" customFormat="1" x14ac:dyDescent="0.2">
      <c r="B400" s="1631"/>
    </row>
    <row r="401" spans="2:2" s="1623" customFormat="1" x14ac:dyDescent="0.2">
      <c r="B401" s="1631"/>
    </row>
    <row r="402" spans="2:2" s="1623" customFormat="1" x14ac:dyDescent="0.2">
      <c r="B402" s="1631"/>
    </row>
    <row r="403" spans="2:2" s="1623" customFormat="1" x14ac:dyDescent="0.2">
      <c r="B403" s="1631"/>
    </row>
    <row r="404" spans="2:2" s="1623" customFormat="1" x14ac:dyDescent="0.2">
      <c r="B404" s="1631"/>
    </row>
    <row r="405" spans="2:2" s="1623" customFormat="1" x14ac:dyDescent="0.2">
      <c r="B405" s="1631"/>
    </row>
    <row r="406" spans="2:2" s="1623" customFormat="1" x14ac:dyDescent="0.2">
      <c r="B406" s="1631"/>
    </row>
    <row r="407" spans="2:2" s="1623" customFormat="1" x14ac:dyDescent="0.2">
      <c r="B407" s="1631"/>
    </row>
    <row r="408" spans="2:2" s="1623" customFormat="1" x14ac:dyDescent="0.2">
      <c r="B408" s="1631"/>
    </row>
    <row r="409" spans="2:2" s="1623" customFormat="1" x14ac:dyDescent="0.2">
      <c r="B409" s="1631"/>
    </row>
    <row r="410" spans="2:2" s="1623" customFormat="1" x14ac:dyDescent="0.2">
      <c r="B410" s="1631"/>
    </row>
    <row r="411" spans="2:2" s="1623" customFormat="1" x14ac:dyDescent="0.2">
      <c r="B411" s="1631"/>
    </row>
    <row r="412" spans="2:2" s="1623" customFormat="1" x14ac:dyDescent="0.2">
      <c r="B412" s="1631"/>
    </row>
    <row r="413" spans="2:2" s="1623" customFormat="1" x14ac:dyDescent="0.2">
      <c r="B413" s="1631"/>
    </row>
    <row r="414" spans="2:2" s="1623" customFormat="1" x14ac:dyDescent="0.2">
      <c r="B414" s="1631"/>
    </row>
    <row r="415" spans="2:2" s="1623" customFormat="1" x14ac:dyDescent="0.2">
      <c r="B415" s="1631"/>
    </row>
    <row r="416" spans="2:2" s="1623" customFormat="1" x14ac:dyDescent="0.2">
      <c r="B416" s="1631"/>
    </row>
    <row r="417" spans="2:2" s="1623" customFormat="1" x14ac:dyDescent="0.2">
      <c r="B417" s="1631"/>
    </row>
    <row r="418" spans="2:2" s="1623" customFormat="1" x14ac:dyDescent="0.2">
      <c r="B418" s="1631"/>
    </row>
    <row r="419" spans="2:2" s="1623" customFormat="1" x14ac:dyDescent="0.2">
      <c r="B419" s="1631"/>
    </row>
    <row r="420" spans="2:2" s="1623" customFormat="1" x14ac:dyDescent="0.2">
      <c r="B420" s="1631"/>
    </row>
    <row r="421" spans="2:2" s="1623" customFormat="1" x14ac:dyDescent="0.2">
      <c r="B421" s="1631"/>
    </row>
    <row r="422" spans="2:2" s="1623" customFormat="1" x14ac:dyDescent="0.2">
      <c r="B422" s="1631"/>
    </row>
    <row r="423" spans="2:2" s="1623" customFormat="1" x14ac:dyDescent="0.2">
      <c r="B423" s="1631"/>
    </row>
    <row r="424" spans="2:2" s="1623" customFormat="1" x14ac:dyDescent="0.2">
      <c r="B424" s="1631"/>
    </row>
    <row r="425" spans="2:2" s="1623" customFormat="1" x14ac:dyDescent="0.2">
      <c r="B425" s="1631"/>
    </row>
    <row r="426" spans="2:2" s="1623" customFormat="1" x14ac:dyDescent="0.2">
      <c r="B426" s="1631"/>
    </row>
    <row r="427" spans="2:2" s="1623" customFormat="1" x14ac:dyDescent="0.2">
      <c r="B427" s="1631"/>
    </row>
    <row r="428" spans="2:2" s="1623" customFormat="1" x14ac:dyDescent="0.2">
      <c r="B428" s="1631"/>
    </row>
    <row r="429" spans="2:2" s="1623" customFormat="1" x14ac:dyDescent="0.2">
      <c r="B429" s="1631"/>
    </row>
    <row r="430" spans="2:2" s="1623" customFormat="1" x14ac:dyDescent="0.2">
      <c r="B430" s="1631"/>
    </row>
    <row r="431" spans="2:2" s="1623" customFormat="1" x14ac:dyDescent="0.2">
      <c r="B431" s="1631"/>
    </row>
    <row r="432" spans="2:2" s="1623" customFormat="1" x14ac:dyDescent="0.2">
      <c r="B432" s="1631"/>
    </row>
    <row r="433" spans="2:2" s="1623" customFormat="1" x14ac:dyDescent="0.2">
      <c r="B433" s="1631"/>
    </row>
    <row r="434" spans="2:2" s="1623" customFormat="1" x14ac:dyDescent="0.2">
      <c r="B434" s="1631"/>
    </row>
    <row r="435" spans="2:2" s="1623" customFormat="1" x14ac:dyDescent="0.2">
      <c r="B435" s="1631"/>
    </row>
    <row r="436" spans="2:2" s="1623" customFormat="1" x14ac:dyDescent="0.2">
      <c r="B436" s="1631"/>
    </row>
    <row r="437" spans="2:2" s="1623" customFormat="1" x14ac:dyDescent="0.2">
      <c r="B437" s="1631"/>
    </row>
    <row r="438" spans="2:2" s="1623" customFormat="1" x14ac:dyDescent="0.2">
      <c r="B438" s="1631"/>
    </row>
    <row r="439" spans="2:2" s="1623" customFormat="1" x14ac:dyDescent="0.2">
      <c r="B439" s="1631"/>
    </row>
    <row r="440" spans="2:2" s="1623" customFormat="1" x14ac:dyDescent="0.2">
      <c r="B440" s="1631"/>
    </row>
    <row r="441" spans="2:2" s="1623" customFormat="1" x14ac:dyDescent="0.2">
      <c r="B441" s="1631"/>
    </row>
    <row r="442" spans="2:2" s="1623" customFormat="1" x14ac:dyDescent="0.2">
      <c r="B442" s="1631"/>
    </row>
    <row r="443" spans="2:2" s="1623" customFormat="1" x14ac:dyDescent="0.2">
      <c r="B443" s="1631"/>
    </row>
    <row r="444" spans="2:2" s="1623" customFormat="1" x14ac:dyDescent="0.2">
      <c r="B444" s="1631"/>
    </row>
    <row r="445" spans="2:2" s="1623" customFormat="1" x14ac:dyDescent="0.2">
      <c r="B445" s="1631"/>
    </row>
    <row r="446" spans="2:2" s="1623" customFormat="1" x14ac:dyDescent="0.2">
      <c r="B446" s="1631"/>
    </row>
    <row r="447" spans="2:2" s="1623" customFormat="1" x14ac:dyDescent="0.2">
      <c r="B447" s="1631"/>
    </row>
    <row r="448" spans="2:2" s="1623" customFormat="1" x14ac:dyDescent="0.2">
      <c r="B448" s="1631"/>
    </row>
    <row r="449" spans="2:2" s="1623" customFormat="1" x14ac:dyDescent="0.2">
      <c r="B449" s="1631"/>
    </row>
    <row r="450" spans="2:2" s="1623" customFormat="1" x14ac:dyDescent="0.2">
      <c r="B450" s="1631"/>
    </row>
    <row r="451" spans="2:2" s="1623" customFormat="1" x14ac:dyDescent="0.2">
      <c r="B451" s="1631"/>
    </row>
    <row r="452" spans="2:2" s="1623" customFormat="1" x14ac:dyDescent="0.2">
      <c r="B452" s="1631"/>
    </row>
    <row r="453" spans="2:2" s="1623" customFormat="1" x14ac:dyDescent="0.2">
      <c r="B453" s="1631"/>
    </row>
    <row r="454" spans="2:2" s="1623" customFormat="1" x14ac:dyDescent="0.2">
      <c r="B454" s="1631"/>
    </row>
    <row r="455" spans="2:2" s="1623" customFormat="1" x14ac:dyDescent="0.2">
      <c r="B455" s="1631"/>
    </row>
    <row r="456" spans="2:2" s="1623" customFormat="1" x14ac:dyDescent="0.2">
      <c r="B456" s="1631"/>
    </row>
    <row r="457" spans="2:2" s="1623" customFormat="1" x14ac:dyDescent="0.2">
      <c r="B457" s="1631"/>
    </row>
    <row r="458" spans="2:2" s="1623" customFormat="1" x14ac:dyDescent="0.2">
      <c r="B458" s="1631"/>
    </row>
    <row r="459" spans="2:2" s="1623" customFormat="1" x14ac:dyDescent="0.2">
      <c r="B459" s="1631"/>
    </row>
    <row r="460" spans="2:2" s="1623" customFormat="1" x14ac:dyDescent="0.2">
      <c r="B460" s="1631"/>
    </row>
    <row r="461" spans="2:2" s="1623" customFormat="1" x14ac:dyDescent="0.2">
      <c r="B461" s="1631"/>
    </row>
    <row r="462" spans="2:2" s="1623" customFormat="1" x14ac:dyDescent="0.2">
      <c r="B462" s="1631"/>
    </row>
    <row r="463" spans="2:2" s="1623" customFormat="1" x14ac:dyDescent="0.2">
      <c r="B463" s="1631"/>
    </row>
    <row r="464" spans="2:2" s="1623" customFormat="1" x14ac:dyDescent="0.2">
      <c r="B464" s="1631"/>
    </row>
    <row r="465" spans="2:2" s="1623" customFormat="1" x14ac:dyDescent="0.2">
      <c r="B465" s="1631"/>
    </row>
    <row r="466" spans="2:2" s="1623" customFormat="1" x14ac:dyDescent="0.2">
      <c r="B466" s="1631"/>
    </row>
    <row r="467" spans="2:2" s="1623" customFormat="1" x14ac:dyDescent="0.2">
      <c r="B467" s="1631"/>
    </row>
    <row r="468" spans="2:2" s="1623" customFormat="1" x14ac:dyDescent="0.2">
      <c r="B468" s="1631"/>
    </row>
    <row r="469" spans="2:2" s="1623" customFormat="1" x14ac:dyDescent="0.2">
      <c r="B469" s="1631"/>
    </row>
    <row r="470" spans="2:2" s="1623" customFormat="1" x14ac:dyDescent="0.2">
      <c r="B470" s="1631"/>
    </row>
    <row r="471" spans="2:2" s="1623" customFormat="1" x14ac:dyDescent="0.2">
      <c r="B471" s="1631"/>
    </row>
    <row r="472" spans="2:2" s="1623" customFormat="1" x14ac:dyDescent="0.2">
      <c r="B472" s="1631"/>
    </row>
    <row r="473" spans="2:2" s="1623" customFormat="1" x14ac:dyDescent="0.2">
      <c r="B473" s="1631"/>
    </row>
    <row r="474" spans="2:2" s="1623" customFormat="1" x14ac:dyDescent="0.2">
      <c r="B474" s="1631"/>
    </row>
    <row r="475" spans="2:2" s="1623" customFormat="1" x14ac:dyDescent="0.2">
      <c r="B475" s="1631"/>
    </row>
    <row r="476" spans="2:2" s="1623" customFormat="1" x14ac:dyDescent="0.2">
      <c r="B476" s="1631"/>
    </row>
    <row r="477" spans="2:2" s="1623" customFormat="1" x14ac:dyDescent="0.2">
      <c r="B477" s="1631"/>
    </row>
    <row r="478" spans="2:2" s="1623" customFormat="1" x14ac:dyDescent="0.2">
      <c r="B478" s="1631"/>
    </row>
    <row r="479" spans="2:2" s="1623" customFormat="1" x14ac:dyDescent="0.2">
      <c r="B479" s="1631"/>
    </row>
    <row r="480" spans="2:2" s="1623" customFormat="1" x14ac:dyDescent="0.2">
      <c r="B480" s="1631"/>
    </row>
    <row r="481" spans="2:2" s="1623" customFormat="1" x14ac:dyDescent="0.2">
      <c r="B481" s="1631"/>
    </row>
    <row r="482" spans="2:2" s="1623" customFormat="1" x14ac:dyDescent="0.2">
      <c r="B482" s="1631"/>
    </row>
    <row r="483" spans="2:2" s="1623" customFormat="1" x14ac:dyDescent="0.2">
      <c r="B483" s="1631"/>
    </row>
    <row r="484" spans="2:2" s="1623" customFormat="1" x14ac:dyDescent="0.2">
      <c r="B484" s="1631"/>
    </row>
    <row r="485" spans="2:2" s="1623" customFormat="1" x14ac:dyDescent="0.2">
      <c r="B485" s="1631"/>
    </row>
    <row r="486" spans="2:2" s="1623" customFormat="1" x14ac:dyDescent="0.2">
      <c r="B486" s="1631"/>
    </row>
    <row r="487" spans="2:2" s="1623" customFormat="1" x14ac:dyDescent="0.2">
      <c r="B487" s="1631"/>
    </row>
    <row r="488" spans="2:2" s="1623" customFormat="1" x14ac:dyDescent="0.2">
      <c r="B488" s="1631"/>
    </row>
    <row r="489" spans="2:2" s="1623" customFormat="1" x14ac:dyDescent="0.2">
      <c r="B489" s="1631"/>
    </row>
    <row r="490" spans="2:2" s="1623" customFormat="1" x14ac:dyDescent="0.2">
      <c r="B490" s="1631"/>
    </row>
    <row r="491" spans="2:2" s="1623" customFormat="1" x14ac:dyDescent="0.2">
      <c r="B491" s="1631"/>
    </row>
    <row r="492" spans="2:2" s="1623" customFormat="1" x14ac:dyDescent="0.2">
      <c r="B492" s="1631"/>
    </row>
    <row r="493" spans="2:2" s="1623" customFormat="1" x14ac:dyDescent="0.2">
      <c r="B493" s="1631"/>
    </row>
    <row r="494" spans="2:2" s="1623" customFormat="1" x14ac:dyDescent="0.2">
      <c r="B494" s="1631"/>
    </row>
    <row r="495" spans="2:2" s="1623" customFormat="1" x14ac:dyDescent="0.2">
      <c r="B495" s="1631"/>
    </row>
    <row r="496" spans="2:2" s="1623" customFormat="1" x14ac:dyDescent="0.2">
      <c r="B496" s="1631"/>
    </row>
    <row r="497" spans="2:2" s="1623" customFormat="1" x14ac:dyDescent="0.2">
      <c r="B497" s="1631"/>
    </row>
    <row r="498" spans="2:2" s="1623" customFormat="1" x14ac:dyDescent="0.2">
      <c r="B498" s="1631"/>
    </row>
    <row r="499" spans="2:2" s="1623" customFormat="1" x14ac:dyDescent="0.2">
      <c r="B499" s="1631"/>
    </row>
    <row r="500" spans="2:2" s="1623" customFormat="1" x14ac:dyDescent="0.2">
      <c r="B500" s="1631"/>
    </row>
    <row r="501" spans="2:2" s="1623" customFormat="1" x14ac:dyDescent="0.2">
      <c r="B501" s="1631"/>
    </row>
    <row r="502" spans="2:2" s="1623" customFormat="1" x14ac:dyDescent="0.2">
      <c r="B502" s="1631"/>
    </row>
    <row r="503" spans="2:2" s="1623" customFormat="1" x14ac:dyDescent="0.2">
      <c r="B503" s="1631"/>
    </row>
    <row r="504" spans="2:2" s="1623" customFormat="1" x14ac:dyDescent="0.2">
      <c r="B504" s="1631"/>
    </row>
    <row r="505" spans="2:2" s="1623" customFormat="1" x14ac:dyDescent="0.2">
      <c r="B505" s="1631"/>
    </row>
    <row r="506" spans="2:2" s="1623" customFormat="1" x14ac:dyDescent="0.2">
      <c r="B506" s="1631"/>
    </row>
    <row r="507" spans="2:2" s="1623" customFormat="1" x14ac:dyDescent="0.2">
      <c r="B507" s="1631"/>
    </row>
    <row r="508" spans="2:2" s="1623" customFormat="1" x14ac:dyDescent="0.2">
      <c r="B508" s="1631"/>
    </row>
    <row r="509" spans="2:2" s="1623" customFormat="1" x14ac:dyDescent="0.2">
      <c r="B509" s="1631"/>
    </row>
    <row r="510" spans="2:2" s="1623" customFormat="1" x14ac:dyDescent="0.2">
      <c r="B510" s="1631"/>
    </row>
    <row r="511" spans="2:2" s="1623" customFormat="1" x14ac:dyDescent="0.2">
      <c r="B511" s="1631"/>
    </row>
    <row r="512" spans="2:2" s="1623" customFormat="1" x14ac:dyDescent="0.2">
      <c r="B512" s="1631"/>
    </row>
    <row r="513" spans="2:2" s="1623" customFormat="1" x14ac:dyDescent="0.2">
      <c r="B513" s="1631"/>
    </row>
    <row r="514" spans="2:2" s="1623" customFormat="1" x14ac:dyDescent="0.2">
      <c r="B514" s="1631"/>
    </row>
    <row r="515" spans="2:2" s="1623" customFormat="1" x14ac:dyDescent="0.2">
      <c r="B515" s="1631"/>
    </row>
    <row r="516" spans="2:2" s="1623" customFormat="1" x14ac:dyDescent="0.2">
      <c r="B516" s="1631"/>
    </row>
    <row r="517" spans="2:2" s="1623" customFormat="1" x14ac:dyDescent="0.2">
      <c r="B517" s="1631"/>
    </row>
    <row r="518" spans="2:2" s="1623" customFormat="1" x14ac:dyDescent="0.2">
      <c r="B518" s="1631"/>
    </row>
    <row r="519" spans="2:2" s="1623" customFormat="1" x14ac:dyDescent="0.2">
      <c r="B519" s="1631"/>
    </row>
    <row r="520" spans="2:2" s="1623" customFormat="1" x14ac:dyDescent="0.2">
      <c r="B520" s="1631"/>
    </row>
    <row r="521" spans="2:2" s="1623" customFormat="1" x14ac:dyDescent="0.2">
      <c r="B521" s="1631"/>
    </row>
    <row r="522" spans="2:2" s="1623" customFormat="1" x14ac:dyDescent="0.2">
      <c r="B522" s="1631"/>
    </row>
    <row r="523" spans="2:2" s="1623" customFormat="1" x14ac:dyDescent="0.2">
      <c r="B523" s="1631"/>
    </row>
    <row r="524" spans="2:2" s="1623" customFormat="1" x14ac:dyDescent="0.2">
      <c r="B524" s="1631"/>
    </row>
    <row r="525" spans="2:2" s="1623" customFormat="1" x14ac:dyDescent="0.2">
      <c r="B525" s="1631"/>
    </row>
    <row r="526" spans="2:2" s="1623" customFormat="1" x14ac:dyDescent="0.2">
      <c r="B526" s="1631"/>
    </row>
    <row r="527" spans="2:2" s="1623" customFormat="1" x14ac:dyDescent="0.2">
      <c r="B527" s="1631"/>
    </row>
    <row r="528" spans="2:2" s="1623" customFormat="1" x14ac:dyDescent="0.2">
      <c r="B528" s="1631"/>
    </row>
    <row r="529" spans="2:2" s="1623" customFormat="1" x14ac:dyDescent="0.2">
      <c r="B529" s="1631"/>
    </row>
    <row r="530" spans="2:2" s="1623" customFormat="1" x14ac:dyDescent="0.2">
      <c r="B530" s="1631"/>
    </row>
    <row r="531" spans="2:2" s="1623" customFormat="1" x14ac:dyDescent="0.2">
      <c r="B531" s="1631"/>
    </row>
    <row r="532" spans="2:2" s="1623" customFormat="1" x14ac:dyDescent="0.2">
      <c r="B532" s="1631"/>
    </row>
    <row r="533" spans="2:2" s="1623" customFormat="1" x14ac:dyDescent="0.2">
      <c r="B533" s="1631"/>
    </row>
    <row r="534" spans="2:2" s="1623" customFormat="1" x14ac:dyDescent="0.2">
      <c r="B534" s="1631"/>
    </row>
    <row r="535" spans="2:2" s="1623" customFormat="1" x14ac:dyDescent="0.2">
      <c r="B535" s="1631"/>
    </row>
    <row r="536" spans="2:2" s="1623" customFormat="1" x14ac:dyDescent="0.2">
      <c r="B536" s="1631"/>
    </row>
    <row r="537" spans="2:2" s="1623" customFormat="1" x14ac:dyDescent="0.2">
      <c r="B537" s="1631"/>
    </row>
    <row r="538" spans="2:2" s="1623" customFormat="1" x14ac:dyDescent="0.2">
      <c r="B538" s="1631"/>
    </row>
    <row r="539" spans="2:2" s="1623" customFormat="1" x14ac:dyDescent="0.2">
      <c r="B539" s="1631"/>
    </row>
    <row r="540" spans="2:2" s="1623" customFormat="1" x14ac:dyDescent="0.2">
      <c r="B540" s="1631"/>
    </row>
    <row r="541" spans="2:2" s="1623" customFormat="1" x14ac:dyDescent="0.2">
      <c r="B541" s="1631"/>
    </row>
    <row r="542" spans="2:2" s="1623" customFormat="1" x14ac:dyDescent="0.2">
      <c r="B542" s="1631"/>
    </row>
    <row r="543" spans="2:2" s="1623" customFormat="1" x14ac:dyDescent="0.2">
      <c r="B543" s="1631"/>
    </row>
    <row r="544" spans="2:2" s="1623" customFormat="1" x14ac:dyDescent="0.2">
      <c r="B544" s="1631"/>
    </row>
    <row r="545" spans="2:2" s="1623" customFormat="1" x14ac:dyDescent="0.2">
      <c r="B545" s="1631"/>
    </row>
    <row r="546" spans="2:2" s="1623" customFormat="1" x14ac:dyDescent="0.2">
      <c r="B546" s="1631"/>
    </row>
    <row r="547" spans="2:2" s="1623" customFormat="1" x14ac:dyDescent="0.2">
      <c r="B547" s="1631"/>
    </row>
    <row r="548" spans="2:2" s="1623" customFormat="1" x14ac:dyDescent="0.2">
      <c r="B548" s="1631"/>
    </row>
    <row r="549" spans="2:2" s="1623" customFormat="1" x14ac:dyDescent="0.2">
      <c r="B549" s="1631"/>
    </row>
    <row r="550" spans="2:2" s="1623" customFormat="1" x14ac:dyDescent="0.2">
      <c r="B550" s="1631"/>
    </row>
    <row r="551" spans="2:2" s="1623" customFormat="1" x14ac:dyDescent="0.2">
      <c r="B551" s="1631"/>
    </row>
    <row r="552" spans="2:2" s="1623" customFormat="1" x14ac:dyDescent="0.2">
      <c r="B552" s="1631"/>
    </row>
    <row r="553" spans="2:2" s="1623" customFormat="1" x14ac:dyDescent="0.2">
      <c r="B553" s="1631"/>
    </row>
    <row r="554" spans="2:2" s="1623" customFormat="1" x14ac:dyDescent="0.2">
      <c r="B554" s="1631"/>
    </row>
    <row r="555" spans="2:2" s="1623" customFormat="1" x14ac:dyDescent="0.2">
      <c r="B555" s="1631"/>
    </row>
    <row r="556" spans="2:2" s="1623" customFormat="1" x14ac:dyDescent="0.2">
      <c r="B556" s="1631"/>
    </row>
    <row r="557" spans="2:2" s="1623" customFormat="1" x14ac:dyDescent="0.2">
      <c r="B557" s="1631"/>
    </row>
    <row r="558" spans="2:2" s="1623" customFormat="1" x14ac:dyDescent="0.2">
      <c r="B558" s="1631"/>
    </row>
    <row r="559" spans="2:2" s="1623" customFormat="1" x14ac:dyDescent="0.2">
      <c r="B559" s="1631"/>
    </row>
    <row r="560" spans="2:2" s="1623" customFormat="1" x14ac:dyDescent="0.2">
      <c r="B560" s="1631"/>
    </row>
    <row r="561" spans="2:2" s="1623" customFormat="1" x14ac:dyDescent="0.2">
      <c r="B561" s="1631"/>
    </row>
    <row r="562" spans="2:2" s="1623" customFormat="1" x14ac:dyDescent="0.2">
      <c r="B562" s="1631"/>
    </row>
    <row r="563" spans="2:2" s="1623" customFormat="1" x14ac:dyDescent="0.2">
      <c r="B563" s="1631"/>
    </row>
    <row r="564" spans="2:2" s="1623" customFormat="1" x14ac:dyDescent="0.2">
      <c r="B564" s="1631"/>
    </row>
    <row r="565" spans="2:2" s="1623" customFormat="1" x14ac:dyDescent="0.2">
      <c r="B565" s="1631"/>
    </row>
    <row r="566" spans="2:2" s="1623" customFormat="1" x14ac:dyDescent="0.2">
      <c r="B566" s="1631"/>
    </row>
    <row r="567" spans="2:2" s="1623" customFormat="1" x14ac:dyDescent="0.2">
      <c r="B567" s="1631"/>
    </row>
    <row r="568" spans="2:2" s="1623" customFormat="1" x14ac:dyDescent="0.2">
      <c r="B568" s="1631"/>
    </row>
    <row r="569" spans="2:2" s="1623" customFormat="1" x14ac:dyDescent="0.2">
      <c r="B569" s="1631"/>
    </row>
    <row r="570" spans="2:2" s="1623" customFormat="1" x14ac:dyDescent="0.2">
      <c r="B570" s="1631"/>
    </row>
    <row r="571" spans="2:2" s="1623" customFormat="1" x14ac:dyDescent="0.2">
      <c r="B571" s="1631"/>
    </row>
    <row r="572" spans="2:2" s="1623" customFormat="1" x14ac:dyDescent="0.2">
      <c r="B572" s="1631"/>
    </row>
    <row r="573" spans="2:2" s="1623" customFormat="1" x14ac:dyDescent="0.2">
      <c r="B573" s="1631"/>
    </row>
    <row r="574" spans="2:2" s="1623" customFormat="1" x14ac:dyDescent="0.2">
      <c r="B574" s="1631"/>
    </row>
    <row r="575" spans="2:2" s="1623" customFormat="1" x14ac:dyDescent="0.2">
      <c r="B575" s="1631"/>
    </row>
    <row r="576" spans="2:2" s="1623" customFormat="1" x14ac:dyDescent="0.2">
      <c r="B576" s="1631"/>
    </row>
    <row r="577" spans="2:2" s="1623" customFormat="1" x14ac:dyDescent="0.2">
      <c r="B577" s="1631"/>
    </row>
    <row r="578" spans="2:2" s="1623" customFormat="1" x14ac:dyDescent="0.2">
      <c r="B578" s="1631"/>
    </row>
    <row r="579" spans="2:2" s="1623" customFormat="1" x14ac:dyDescent="0.2">
      <c r="B579" s="1631"/>
    </row>
    <row r="580" spans="2:2" s="1623" customFormat="1" x14ac:dyDescent="0.2">
      <c r="B580" s="1631"/>
    </row>
    <row r="581" spans="2:2" s="1623" customFormat="1" x14ac:dyDescent="0.2">
      <c r="B581" s="1631"/>
    </row>
    <row r="582" spans="2:2" s="1623" customFormat="1" x14ac:dyDescent="0.2">
      <c r="B582" s="1631"/>
    </row>
    <row r="583" spans="2:2" s="1623" customFormat="1" x14ac:dyDescent="0.2">
      <c r="B583" s="1631"/>
    </row>
    <row r="584" spans="2:2" s="1623" customFormat="1" x14ac:dyDescent="0.2">
      <c r="B584" s="1631"/>
    </row>
    <row r="585" spans="2:2" s="1623" customFormat="1" x14ac:dyDescent="0.2">
      <c r="B585" s="1631"/>
    </row>
    <row r="586" spans="2:2" s="1623" customFormat="1" x14ac:dyDescent="0.2">
      <c r="B586" s="1631"/>
    </row>
    <row r="587" spans="2:2" s="1623" customFormat="1" x14ac:dyDescent="0.2">
      <c r="B587" s="1631"/>
    </row>
    <row r="588" spans="2:2" s="1623" customFormat="1" x14ac:dyDescent="0.2">
      <c r="B588" s="1631"/>
    </row>
    <row r="589" spans="2:2" s="1623" customFormat="1" x14ac:dyDescent="0.2">
      <c r="B589" s="1631"/>
    </row>
    <row r="590" spans="2:2" s="1623" customFormat="1" x14ac:dyDescent="0.2">
      <c r="B590" s="1631"/>
    </row>
    <row r="591" spans="2:2" s="1623" customFormat="1" x14ac:dyDescent="0.2">
      <c r="B591" s="1631"/>
    </row>
    <row r="592" spans="2:2" s="1623" customFormat="1" x14ac:dyDescent="0.2">
      <c r="B592" s="1631"/>
    </row>
    <row r="593" spans="2:2" s="1623" customFormat="1" x14ac:dyDescent="0.2">
      <c r="B593" s="1631"/>
    </row>
    <row r="594" spans="2:2" s="1623" customFormat="1" x14ac:dyDescent="0.2">
      <c r="B594" s="1631"/>
    </row>
    <row r="595" spans="2:2" s="1623" customFormat="1" x14ac:dyDescent="0.2">
      <c r="B595" s="1631"/>
    </row>
    <row r="596" spans="2:2" s="1623" customFormat="1" x14ac:dyDescent="0.2">
      <c r="B596" s="1631"/>
    </row>
    <row r="597" spans="2:2" s="1623" customFormat="1" x14ac:dyDescent="0.2">
      <c r="B597" s="1631"/>
    </row>
    <row r="598" spans="2:2" s="1623" customFormat="1" x14ac:dyDescent="0.2">
      <c r="B598" s="1631"/>
    </row>
    <row r="599" spans="2:2" s="1623" customFormat="1" x14ac:dyDescent="0.2">
      <c r="B599" s="1631"/>
    </row>
    <row r="600" spans="2:2" s="1623" customFormat="1" x14ac:dyDescent="0.2">
      <c r="B600" s="1631"/>
    </row>
    <row r="601" spans="2:2" s="1623" customFormat="1" x14ac:dyDescent="0.2">
      <c r="B601" s="1631"/>
    </row>
    <row r="602" spans="2:2" s="1623" customFormat="1" x14ac:dyDescent="0.2">
      <c r="B602" s="1631"/>
    </row>
    <row r="603" spans="2:2" s="1623" customFormat="1" x14ac:dyDescent="0.2">
      <c r="B603" s="1631"/>
    </row>
    <row r="604" spans="2:2" s="1623" customFormat="1" x14ac:dyDescent="0.2">
      <c r="B604" s="1631"/>
    </row>
    <row r="605" spans="2:2" s="1623" customFormat="1" x14ac:dyDescent="0.2">
      <c r="B605" s="1631"/>
    </row>
    <row r="606" spans="2:2" s="1623" customFormat="1" x14ac:dyDescent="0.2">
      <c r="B606" s="1631"/>
    </row>
    <row r="607" spans="2:2" s="1623" customFormat="1" x14ac:dyDescent="0.2">
      <c r="B607" s="1631"/>
    </row>
    <row r="608" spans="2:2" s="1623" customFormat="1" x14ac:dyDescent="0.2">
      <c r="B608" s="1631"/>
    </row>
    <row r="609" spans="2:2" s="1623" customFormat="1" x14ac:dyDescent="0.2">
      <c r="B609" s="1631"/>
    </row>
    <row r="610" spans="2:2" s="1623" customFormat="1" x14ac:dyDescent="0.2">
      <c r="B610" s="1631"/>
    </row>
    <row r="611" spans="2:2" s="1623" customFormat="1" x14ac:dyDescent="0.2">
      <c r="B611" s="1631"/>
    </row>
    <row r="612" spans="2:2" s="1623" customFormat="1" x14ac:dyDescent="0.2">
      <c r="B612" s="1631"/>
    </row>
    <row r="613" spans="2:2" s="1623" customFormat="1" x14ac:dyDescent="0.2">
      <c r="B613" s="1631"/>
    </row>
    <row r="614" spans="2:2" s="1623" customFormat="1" x14ac:dyDescent="0.2">
      <c r="B614" s="1631"/>
    </row>
    <row r="615" spans="2:2" s="1623" customFormat="1" x14ac:dyDescent="0.2">
      <c r="B615" s="1631"/>
    </row>
    <row r="616" spans="2:2" s="1623" customFormat="1" x14ac:dyDescent="0.2">
      <c r="B616" s="1631"/>
    </row>
    <row r="617" spans="2:2" s="1623" customFormat="1" x14ac:dyDescent="0.2">
      <c r="B617" s="1631"/>
    </row>
    <row r="618" spans="2:2" s="1623" customFormat="1" x14ac:dyDescent="0.2">
      <c r="B618" s="1631"/>
    </row>
    <row r="619" spans="2:2" s="1623" customFormat="1" x14ac:dyDescent="0.2">
      <c r="B619" s="1631"/>
    </row>
    <row r="620" spans="2:2" s="1623" customFormat="1" x14ac:dyDescent="0.2">
      <c r="B620" s="1631"/>
    </row>
    <row r="621" spans="2:2" s="1623" customFormat="1" x14ac:dyDescent="0.2">
      <c r="B621" s="1631"/>
    </row>
    <row r="622" spans="2:2" s="1623" customFormat="1" x14ac:dyDescent="0.2">
      <c r="B622" s="1631"/>
    </row>
    <row r="623" spans="2:2" s="1623" customFormat="1" x14ac:dyDescent="0.2">
      <c r="B623" s="1631"/>
    </row>
    <row r="624" spans="2:2" s="1623" customFormat="1" x14ac:dyDescent="0.2">
      <c r="B624" s="1631"/>
    </row>
    <row r="625" spans="2:2" s="1623" customFormat="1" x14ac:dyDescent="0.2">
      <c r="B625" s="1631"/>
    </row>
    <row r="626" spans="2:2" s="1623" customFormat="1" x14ac:dyDescent="0.2">
      <c r="B626" s="1631"/>
    </row>
    <row r="627" spans="2:2" s="1623" customFormat="1" x14ac:dyDescent="0.2">
      <c r="B627" s="1631"/>
    </row>
    <row r="628" spans="2:2" s="1623" customFormat="1" x14ac:dyDescent="0.2">
      <c r="B628" s="1631"/>
    </row>
    <row r="629" spans="2:2" s="1623" customFormat="1" x14ac:dyDescent="0.2">
      <c r="B629" s="1631"/>
    </row>
    <row r="630" spans="2:2" s="1623" customFormat="1" x14ac:dyDescent="0.2">
      <c r="B630" s="1631"/>
    </row>
    <row r="631" spans="2:2" s="1623" customFormat="1" x14ac:dyDescent="0.2">
      <c r="B631" s="1631"/>
    </row>
    <row r="632" spans="2:2" s="1623" customFormat="1" x14ac:dyDescent="0.2">
      <c r="B632" s="1631"/>
    </row>
    <row r="633" spans="2:2" s="1623" customFormat="1" x14ac:dyDescent="0.2">
      <c r="B633" s="1631"/>
    </row>
    <row r="634" spans="2:2" s="1623" customFormat="1" x14ac:dyDescent="0.2">
      <c r="B634" s="1631"/>
    </row>
    <row r="635" spans="2:2" s="1623" customFormat="1" x14ac:dyDescent="0.2">
      <c r="B635" s="1631"/>
    </row>
    <row r="636" spans="2:2" s="1623" customFormat="1" x14ac:dyDescent="0.2">
      <c r="B636" s="1631"/>
    </row>
    <row r="637" spans="2:2" s="1623" customFormat="1" x14ac:dyDescent="0.2">
      <c r="B637" s="1631"/>
    </row>
    <row r="638" spans="2:2" s="1623" customFormat="1" x14ac:dyDescent="0.2">
      <c r="B638" s="1631"/>
    </row>
    <row r="639" spans="2:2" s="1623" customFormat="1" x14ac:dyDescent="0.2">
      <c r="B639" s="1631"/>
    </row>
    <row r="640" spans="2:2" s="1623" customFormat="1" x14ac:dyDescent="0.2">
      <c r="B640" s="1631"/>
    </row>
    <row r="641" spans="2:2" s="1623" customFormat="1" x14ac:dyDescent="0.2">
      <c r="B641" s="1631"/>
    </row>
    <row r="642" spans="2:2" s="1623" customFormat="1" x14ac:dyDescent="0.2">
      <c r="B642" s="1631"/>
    </row>
    <row r="643" spans="2:2" s="1623" customFormat="1" x14ac:dyDescent="0.2">
      <c r="B643" s="1631"/>
    </row>
    <row r="644" spans="2:2" s="1623" customFormat="1" x14ac:dyDescent="0.2">
      <c r="B644" s="1631"/>
    </row>
    <row r="645" spans="2:2" s="1623" customFormat="1" x14ac:dyDescent="0.2">
      <c r="B645" s="1631"/>
    </row>
    <row r="646" spans="2:2" s="1623" customFormat="1" x14ac:dyDescent="0.2">
      <c r="B646" s="1631"/>
    </row>
    <row r="647" spans="2:2" s="1623" customFormat="1" x14ac:dyDescent="0.2">
      <c r="B647" s="1631"/>
    </row>
    <row r="648" spans="2:2" s="1623" customFormat="1" x14ac:dyDescent="0.2">
      <c r="B648" s="1631"/>
    </row>
    <row r="649" spans="2:2" s="1623" customFormat="1" x14ac:dyDescent="0.2">
      <c r="B649" s="1631"/>
    </row>
    <row r="650" spans="2:2" s="1623" customFormat="1" x14ac:dyDescent="0.2">
      <c r="B650" s="1631"/>
    </row>
    <row r="651" spans="2:2" s="1623" customFormat="1" x14ac:dyDescent="0.2">
      <c r="B651" s="1631"/>
    </row>
    <row r="652" spans="2:2" s="1623" customFormat="1" x14ac:dyDescent="0.2">
      <c r="B652" s="1631"/>
    </row>
    <row r="653" spans="2:2" s="1623" customFormat="1" x14ac:dyDescent="0.2">
      <c r="B653" s="1631"/>
    </row>
    <row r="654" spans="2:2" s="1623" customFormat="1" x14ac:dyDescent="0.2">
      <c r="B654" s="1631"/>
    </row>
    <row r="655" spans="2:2" s="1623" customFormat="1" x14ac:dyDescent="0.2">
      <c r="B655" s="1631"/>
    </row>
    <row r="656" spans="2:2" s="1623" customFormat="1" x14ac:dyDescent="0.2">
      <c r="B656" s="1631"/>
    </row>
    <row r="657" spans="2:2" s="1623" customFormat="1" x14ac:dyDescent="0.2">
      <c r="B657" s="1631"/>
    </row>
    <row r="658" spans="2:2" s="1623" customFormat="1" x14ac:dyDescent="0.2">
      <c r="B658" s="1631"/>
    </row>
    <row r="659" spans="2:2" s="1623" customFormat="1" x14ac:dyDescent="0.2">
      <c r="B659" s="1631"/>
    </row>
    <row r="660" spans="2:2" s="1623" customFormat="1" x14ac:dyDescent="0.2">
      <c r="B660" s="1631"/>
    </row>
    <row r="661" spans="2:2" s="1623" customFormat="1" x14ac:dyDescent="0.2">
      <c r="B661" s="1631"/>
    </row>
    <row r="662" spans="2:2" s="1623" customFormat="1" x14ac:dyDescent="0.2">
      <c r="B662" s="1631"/>
    </row>
    <row r="663" spans="2:2" s="1623" customFormat="1" x14ac:dyDescent="0.2">
      <c r="B663" s="1631"/>
    </row>
    <row r="664" spans="2:2" s="1623" customFormat="1" x14ac:dyDescent="0.2">
      <c r="B664" s="1631"/>
    </row>
    <row r="665" spans="2:2" s="1623" customFormat="1" x14ac:dyDescent="0.2">
      <c r="B665" s="1631"/>
    </row>
    <row r="666" spans="2:2" s="1623" customFormat="1" x14ac:dyDescent="0.2">
      <c r="B666" s="1631"/>
    </row>
    <row r="667" spans="2:2" s="1623" customFormat="1" x14ac:dyDescent="0.2">
      <c r="B667" s="1631"/>
    </row>
    <row r="668" spans="2:2" s="1623" customFormat="1" x14ac:dyDescent="0.2">
      <c r="B668" s="1631"/>
    </row>
    <row r="669" spans="2:2" s="1623" customFormat="1" x14ac:dyDescent="0.2">
      <c r="B669" s="1631"/>
    </row>
    <row r="670" spans="2:2" s="1623" customFormat="1" x14ac:dyDescent="0.2">
      <c r="B670" s="1631"/>
    </row>
    <row r="671" spans="2:2" s="1623" customFormat="1" x14ac:dyDescent="0.2">
      <c r="B671" s="1631"/>
    </row>
    <row r="672" spans="2:2" s="1623" customFormat="1" x14ac:dyDescent="0.2">
      <c r="B672" s="1631"/>
    </row>
    <row r="673" spans="2:2" s="1623" customFormat="1" x14ac:dyDescent="0.2">
      <c r="B673" s="1631"/>
    </row>
    <row r="674" spans="2:2" s="1623" customFormat="1" x14ac:dyDescent="0.2">
      <c r="B674" s="1631"/>
    </row>
    <row r="675" spans="2:2" s="1623" customFormat="1" x14ac:dyDescent="0.2">
      <c r="B675" s="1631"/>
    </row>
    <row r="676" spans="2:2" s="1623" customFormat="1" x14ac:dyDescent="0.2">
      <c r="B676" s="1631"/>
    </row>
    <row r="677" spans="2:2" s="1623" customFormat="1" x14ac:dyDescent="0.2">
      <c r="B677" s="1631"/>
    </row>
    <row r="678" spans="2:2" s="1623" customFormat="1" x14ac:dyDescent="0.2">
      <c r="B678" s="1631"/>
    </row>
    <row r="679" spans="2:2" s="1623" customFormat="1" x14ac:dyDescent="0.2">
      <c r="B679" s="1631"/>
    </row>
    <row r="680" spans="2:2" s="1623" customFormat="1" x14ac:dyDescent="0.2">
      <c r="B680" s="1631"/>
    </row>
    <row r="681" spans="2:2" s="1623" customFormat="1" x14ac:dyDescent="0.2">
      <c r="B681" s="1631"/>
    </row>
    <row r="682" spans="2:2" s="1623" customFormat="1" x14ac:dyDescent="0.2">
      <c r="B682" s="1631"/>
    </row>
    <row r="683" spans="2:2" s="1623" customFormat="1" x14ac:dyDescent="0.2">
      <c r="B683" s="1631"/>
    </row>
    <row r="684" spans="2:2" s="1623" customFormat="1" x14ac:dyDescent="0.2">
      <c r="B684" s="1631"/>
    </row>
    <row r="685" spans="2:2" s="1623" customFormat="1" x14ac:dyDescent="0.2">
      <c r="B685" s="1631"/>
    </row>
    <row r="686" spans="2:2" s="1623" customFormat="1" x14ac:dyDescent="0.2">
      <c r="B686" s="1631"/>
    </row>
    <row r="687" spans="2:2" s="1623" customFormat="1" x14ac:dyDescent="0.2">
      <c r="B687" s="1631"/>
    </row>
    <row r="688" spans="2:2" s="1623" customFormat="1" x14ac:dyDescent="0.2">
      <c r="B688" s="1631"/>
    </row>
    <row r="689" spans="2:2" s="1623" customFormat="1" x14ac:dyDescent="0.2">
      <c r="B689" s="1631"/>
    </row>
    <row r="690" spans="2:2" s="1623" customFormat="1" x14ac:dyDescent="0.2">
      <c r="B690" s="1631"/>
    </row>
    <row r="691" spans="2:2" s="1623" customFormat="1" x14ac:dyDescent="0.2">
      <c r="B691" s="1631"/>
    </row>
    <row r="692" spans="2:2" s="1623" customFormat="1" x14ac:dyDescent="0.2">
      <c r="B692" s="1631"/>
    </row>
    <row r="693" spans="2:2" s="1623" customFormat="1" x14ac:dyDescent="0.2">
      <c r="B693" s="1631"/>
    </row>
    <row r="694" spans="2:2" s="1623" customFormat="1" x14ac:dyDescent="0.2">
      <c r="B694" s="1631"/>
    </row>
    <row r="695" spans="2:2" s="1623" customFormat="1" x14ac:dyDescent="0.2">
      <c r="B695" s="1631"/>
    </row>
    <row r="696" spans="2:2" s="1623" customFormat="1" x14ac:dyDescent="0.2">
      <c r="B696" s="1631"/>
    </row>
    <row r="697" spans="2:2" s="1623" customFormat="1" x14ac:dyDescent="0.2">
      <c r="B697" s="1631"/>
    </row>
    <row r="698" spans="2:2" s="1623" customFormat="1" x14ac:dyDescent="0.2">
      <c r="B698" s="1631"/>
    </row>
    <row r="699" spans="2:2" s="1623" customFormat="1" x14ac:dyDescent="0.2">
      <c r="B699" s="1631"/>
    </row>
    <row r="700" spans="2:2" s="1623" customFormat="1" x14ac:dyDescent="0.2">
      <c r="B700" s="1631"/>
    </row>
    <row r="701" spans="2:2" s="1623" customFormat="1" x14ac:dyDescent="0.2">
      <c r="B701" s="1631"/>
    </row>
    <row r="702" spans="2:2" s="1623" customFormat="1" x14ac:dyDescent="0.2">
      <c r="B702" s="1631"/>
    </row>
    <row r="703" spans="2:2" s="1623" customFormat="1" x14ac:dyDescent="0.2">
      <c r="B703" s="1631"/>
    </row>
    <row r="704" spans="2:2" s="1623" customFormat="1" x14ac:dyDescent="0.2">
      <c r="B704" s="1631"/>
    </row>
    <row r="705" spans="2:2" s="1623" customFormat="1" x14ac:dyDescent="0.2">
      <c r="B705" s="1631"/>
    </row>
    <row r="706" spans="2:2" s="1623" customFormat="1" x14ac:dyDescent="0.2">
      <c r="B706" s="1631"/>
    </row>
  </sheetData>
  <sheetProtection sheet="1" objects="1" scenarios="1"/>
  <pageMargins left="0.7" right="0.7" top="0.75" bottom="0.75" header="0.3" footer="0.3"/>
  <pageSetup paperSize="9" orientation="portrait" verticalDpi="0"/>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
    <tabColor indexed="61"/>
  </sheetPr>
  <dimension ref="A2:AJ491"/>
  <sheetViews>
    <sheetView showGridLines="0" topLeftCell="A466" zoomScale="70" zoomScaleNormal="70" zoomScalePageLayoutView="70" workbookViewId="0">
      <selection activeCell="F473" sqref="F473:F478"/>
    </sheetView>
  </sheetViews>
  <sheetFormatPr baseColWidth="10" defaultColWidth="12" defaultRowHeight="12.75" x14ac:dyDescent="0.2"/>
  <cols>
    <col min="1" max="1" width="15.1640625" style="528" customWidth="1"/>
    <col min="2" max="2" width="20" style="260" customWidth="1"/>
    <col min="3" max="3" width="26.5" style="260" customWidth="1"/>
    <col min="4" max="4" width="13.1640625" style="260" customWidth="1"/>
    <col min="5" max="5" width="17.1640625" style="260" bestFit="1" customWidth="1"/>
    <col min="6" max="6" width="15" style="260" customWidth="1"/>
    <col min="7" max="7" width="14.83203125" style="260" customWidth="1"/>
    <col min="8" max="8" width="13.1640625" style="260" bestFit="1" customWidth="1"/>
    <col min="9" max="9" width="13.1640625" style="260" customWidth="1"/>
    <col min="10" max="11" width="12" style="260"/>
    <col min="12" max="12" width="13.1640625" style="260" bestFit="1" customWidth="1"/>
    <col min="13" max="16384" width="12" style="260"/>
  </cols>
  <sheetData>
    <row r="2" spans="1:13" s="263" customFormat="1" ht="16.5" thickBot="1" x14ac:dyDescent="0.3">
      <c r="A2" s="2177" t="str">
        <f>'TRAD-Children YEAR(2)'!B3</f>
        <v>Répartition prévue au début de la 2ème année  pour les ENFANTS déjà pris en charge</v>
      </c>
      <c r="B2" s="2177"/>
      <c r="C2" s="2177"/>
      <c r="D2" s="2177"/>
      <c r="E2" s="2177"/>
      <c r="F2" s="2177"/>
      <c r="G2" s="2177"/>
      <c r="H2" s="2177"/>
      <c r="I2" s="2177"/>
      <c r="J2" s="2177"/>
      <c r="K2" s="2177"/>
      <c r="L2" s="2177"/>
      <c r="M2" s="262"/>
    </row>
    <row r="3" spans="1:13" ht="13.5" thickBot="1" x14ac:dyDescent="0.25">
      <c r="A3" s="260"/>
    </row>
    <row r="4" spans="1:13" s="524" customFormat="1" ht="16.5" thickBot="1" x14ac:dyDescent="0.3">
      <c r="B4" s="525" t="str">
        <f>'General Data'!D14</f>
        <v>Année 2</v>
      </c>
      <c r="C4" s="526">
        <f>'General Data'!E14</f>
        <v>0</v>
      </c>
      <c r="D4" s="527"/>
    </row>
    <row r="5" spans="1:13" ht="13.5" thickBot="1" x14ac:dyDescent="0.25"/>
    <row r="6" spans="1:13" s="524" customFormat="1" ht="16.5" thickBot="1" x14ac:dyDescent="0.3">
      <c r="B6" s="898" t="str">
        <f>'TRAD-Children YEAR(1)'!B2</f>
        <v>Période réellement quantifiée :</v>
      </c>
      <c r="C6" s="899"/>
      <c r="D6" s="900" t="str">
        <f>IF('General Data'!G24="NA", "0", 'General Data'!G24)</f>
        <v>0</v>
      </c>
      <c r="E6" s="901" t="str">
        <f>'TRAD-Children YEAR(1)'!B3</f>
        <v>mois</v>
      </c>
      <c r="G6" s="524" t="str">
        <f>'TRAD-Children YEAR(1)'!B4</f>
        <v>Facteur multiplicateur</v>
      </c>
      <c r="I6" s="524">
        <f>D6*(D6+1)/2</f>
        <v>0</v>
      </c>
    </row>
    <row r="7" spans="1:13" s="524" customFormat="1" ht="16.5" thickBot="1" x14ac:dyDescent="0.3">
      <c r="B7" s="898" t="str">
        <f>'TRAD-Children YEAR(1)'!B5</f>
        <v>Période quantifiée + tampon</v>
      </c>
      <c r="C7" s="899"/>
      <c r="D7" s="900">
        <f>D6+'General Data'!$E$30</f>
        <v>3</v>
      </c>
      <c r="E7" s="901" t="str">
        <f>'TRAD-Children YEAR(1)'!B3</f>
        <v>mois</v>
      </c>
      <c r="G7" s="524" t="str">
        <f>'TRAD-Children YEAR(1)'!B4</f>
        <v>Facteur multiplicateur</v>
      </c>
      <c r="I7" s="524">
        <f>D7*(D7+1)/2</f>
        <v>6</v>
      </c>
    </row>
    <row r="8" spans="1:13" ht="13.5" thickBot="1" x14ac:dyDescent="0.25"/>
    <row r="9" spans="1:13" ht="26.25" thickBot="1" x14ac:dyDescent="0.25">
      <c r="A9" s="260"/>
      <c r="B9" s="1609" t="str">
        <f>'TRAD-Children YEAR(1)'!B6</f>
        <v>Schéma thérapeutique</v>
      </c>
      <c r="C9" s="1609" t="str">
        <f>'TRAD-Children YEAR(2)'!B40</f>
        <v>Nb de patients prévus au début de la 2ème année</v>
      </c>
      <c r="D9" s="529" t="s">
        <v>278</v>
      </c>
    </row>
    <row r="10" spans="1:13" x14ac:dyDescent="0.2">
      <c r="A10" s="260"/>
      <c r="B10" s="155" t="str">
        <f t="array" ref="B10:B19">'Data &amp; hypothesis Children'!$C$26:$C$35</f>
        <v>D4T+3TC+NVP</v>
      </c>
      <c r="C10" s="2062">
        <f>'Children YEAR1'!F473+'Data &amp; hypothesis Children'!D$10*'Children YEAR2'!D10</f>
        <v>0</v>
      </c>
      <c r="D10" s="530">
        <f>'Children YEAR1'!G473</f>
        <v>0</v>
      </c>
      <c r="F10" s="266" t="str">
        <f>'TRAD-Children YEAR(1)'!B10</f>
        <v>Total Premières lignes</v>
      </c>
      <c r="G10" s="531"/>
      <c r="H10" s="532">
        <f>SUM(C10:C15)</f>
        <v>786.14200000000005</v>
      </c>
    </row>
    <row r="11" spans="1:13" ht="13.5" thickBot="1" x14ac:dyDescent="0.25">
      <c r="A11" s="260"/>
      <c r="B11" s="156" t="str">
        <v>AZT+3TC+NVP</v>
      </c>
      <c r="C11" s="2063">
        <f>'Children YEAR1'!F474+'Data &amp; hypothesis Children'!D$10*'Children YEAR2'!D11</f>
        <v>500.75812500000001</v>
      </c>
      <c r="D11" s="534">
        <f>'Children YEAR1'!G474</f>
        <v>0.62128799627791564</v>
      </c>
      <c r="F11" s="535"/>
      <c r="G11" s="536" t="s">
        <v>51</v>
      </c>
      <c r="H11" s="537">
        <f>H10/C20</f>
        <v>0.97536228287841198</v>
      </c>
    </row>
    <row r="12" spans="1:13" x14ac:dyDescent="0.2">
      <c r="A12" s="260"/>
      <c r="B12" s="156" t="str">
        <v>AZT+3TC+EFV</v>
      </c>
      <c r="C12" s="2063">
        <f>'Children YEAR1'!F475+'Data &amp; hypothesis Children'!D$10*'Children YEAR2'!D12</f>
        <v>11.845891129032257</v>
      </c>
      <c r="D12" s="534">
        <f>'Children YEAR1'!G475</f>
        <v>1.4697135395821658E-2</v>
      </c>
      <c r="F12" s="266" t="str">
        <f>'TRAD-Children YEAR(1)'!B11</f>
        <v>Total Deuxièmes lignes</v>
      </c>
      <c r="G12" s="531"/>
      <c r="H12" s="532">
        <f>C16+C19</f>
        <v>16.772799999999997</v>
      </c>
    </row>
    <row r="13" spans="1:13" ht="13.5" thickBot="1" x14ac:dyDescent="0.25">
      <c r="A13" s="260"/>
      <c r="B13" s="156" t="str">
        <v>LPV/r+3TC+ABC</v>
      </c>
      <c r="C13" s="2063">
        <f>'Children YEAR1'!F476+'Data &amp; hypothesis Children'!D$10*'Children YEAR2'!D13</f>
        <v>17.64</v>
      </c>
      <c r="D13" s="534">
        <f>'Children YEAR1'!G476</f>
        <v>2.1885856079404468E-2</v>
      </c>
      <c r="F13" s="535"/>
      <c r="G13" s="536" t="s">
        <v>51</v>
      </c>
      <c r="H13" s="537">
        <f>H12/C20</f>
        <v>2.080992555831265E-2</v>
      </c>
    </row>
    <row r="14" spans="1:13" x14ac:dyDescent="0.2">
      <c r="A14" s="260"/>
      <c r="B14" s="156" t="str">
        <v>ABC+3TC+NVP</v>
      </c>
      <c r="C14" s="2063">
        <f>'Children YEAR1'!F477+'Data &amp; hypothesis Children'!D$10*'Children YEAR2'!D14</f>
        <v>4.3075967741935486</v>
      </c>
      <c r="D14" s="534">
        <f>'Children YEAR1'!G477</f>
        <v>5.3444128712078764E-3</v>
      </c>
      <c r="F14" s="497"/>
      <c r="G14" s="522"/>
      <c r="H14" s="1270"/>
    </row>
    <row r="15" spans="1:13" x14ac:dyDescent="0.2">
      <c r="A15" s="260"/>
      <c r="B15" s="1253" t="str">
        <v>AZT+3TC+LPV/r</v>
      </c>
      <c r="C15" s="2064">
        <f>'Children YEAR1'!F478+'Data &amp; hypothesis Children'!D$10*'Children YEAR2'!D15</f>
        <v>251.59038709677421</v>
      </c>
      <c r="D15" s="1947">
        <f>'Children YEAR1'!G478</f>
        <v>0.31214688225406229</v>
      </c>
    </row>
    <row r="16" spans="1:13" x14ac:dyDescent="0.2">
      <c r="A16" s="260"/>
      <c r="B16" s="1948" t="str">
        <v>ABC+3TC+EFV</v>
      </c>
      <c r="C16" s="2065">
        <f>'Children YEAR1'!F479+'Data &amp; hypothesis Children'!D$10*'Children YEAR2'!D16</f>
        <v>16.772799999999997</v>
      </c>
      <c r="D16" s="1949">
        <f>'Children YEAR1'!G479</f>
        <v>2.080992555831265E-2</v>
      </c>
    </row>
    <row r="17" spans="1:16" x14ac:dyDescent="0.2">
      <c r="A17" s="260"/>
      <c r="B17" s="156" t="str">
        <v>TDF+3TC+LPV/r</v>
      </c>
      <c r="C17" s="2063">
        <f>'Children YEAR1'!F480+'Data &amp; hypothesis Children'!D$10*'Children YEAR2'!D17</f>
        <v>2.4681599999999997</v>
      </c>
      <c r="D17" s="534">
        <f>'Children YEAR1'!G480</f>
        <v>3.0622332506203471E-3</v>
      </c>
    </row>
    <row r="18" spans="1:16" x14ac:dyDescent="0.2">
      <c r="A18" s="260"/>
      <c r="B18" s="156" t="str">
        <v>AZT+3TC+EFV</v>
      </c>
      <c r="C18" s="2063">
        <f>'Children YEAR1'!F481+'Data &amp; hypothesis Children'!D$10*'Children YEAR2'!D18</f>
        <v>0.61703999999999992</v>
      </c>
      <c r="D18" s="534">
        <f>'Children YEAR1'!G481</f>
        <v>7.6555831265508678E-4</v>
      </c>
    </row>
    <row r="19" spans="1:16" ht="13.5" thickBot="1" x14ac:dyDescent="0.25">
      <c r="A19" s="260"/>
      <c r="B19" s="157">
        <v>0</v>
      </c>
      <c r="C19" s="2066">
        <f>'Children YEAR1'!F482+'Data &amp; hypothesis Children'!D$10*'Children YEAR2'!D19</f>
        <v>0</v>
      </c>
      <c r="D19" s="539">
        <f>'Children YEAR1'!G482</f>
        <v>0</v>
      </c>
    </row>
    <row r="20" spans="1:16" ht="14.25" thickTop="1" thickBot="1" x14ac:dyDescent="0.25">
      <c r="B20" s="540" t="s">
        <v>6</v>
      </c>
      <c r="C20" s="541">
        <f>SUM(C10:C19)</f>
        <v>806</v>
      </c>
      <c r="D20" s="542">
        <f>SUM(D10:D19)</f>
        <v>1</v>
      </c>
    </row>
    <row r="21" spans="1:16" x14ac:dyDescent="0.2">
      <c r="A21" s="260"/>
    </row>
    <row r="22" spans="1:16" s="263" customFormat="1" ht="16.5" thickBot="1" x14ac:dyDescent="0.3">
      <c r="A22" s="2177" t="str">
        <f>'TRAD-Children YEAR(2)'!B8</f>
        <v>Evolution de la file active sous traitement ARV à prévoir pour la deuxième année</v>
      </c>
      <c r="B22" s="2177"/>
      <c r="C22" s="2177"/>
      <c r="D22" s="2177"/>
      <c r="E22" s="2177"/>
      <c r="F22" s="2177"/>
      <c r="G22" s="2177"/>
      <c r="H22" s="2177"/>
      <c r="I22" s="2177"/>
      <c r="J22" s="2177"/>
      <c r="K22" s="2177"/>
      <c r="L22" s="2177"/>
      <c r="M22" s="262"/>
      <c r="N22" s="262"/>
      <c r="O22" s="262"/>
      <c r="P22" s="262"/>
    </row>
    <row r="23" spans="1:16" x14ac:dyDescent="0.2">
      <c r="A23" s="260"/>
    </row>
    <row r="24" spans="1:16" ht="15" x14ac:dyDescent="0.2">
      <c r="A24" s="260"/>
      <c r="B24" s="2143" t="str">
        <f>'TRAD-Children YEAR(1)'!B14</f>
        <v>Répartition des Initiations</v>
      </c>
      <c r="C24" s="2143"/>
      <c r="D24" s="2143"/>
      <c r="E24" s="2143"/>
      <c r="F24" s="2143"/>
      <c r="G24" s="2143"/>
      <c r="H24" s="2143"/>
      <c r="I24" s="2143"/>
      <c r="J24" s="2143"/>
      <c r="K24" s="2143"/>
      <c r="L24" s="2143"/>
      <c r="M24" s="2143"/>
      <c r="N24" s="497"/>
      <c r="O24" s="497"/>
      <c r="P24" s="497"/>
    </row>
    <row r="25" spans="1:16" ht="13.5" thickBot="1" x14ac:dyDescent="0.25"/>
    <row r="26" spans="1:16" s="545" customFormat="1" ht="64.5" thickBot="1" x14ac:dyDescent="0.25">
      <c r="A26" s="543"/>
      <c r="B26" s="544" t="str">
        <f>'TRAD-Children YEAR(1)'!B6</f>
        <v>Schéma thérapeutique</v>
      </c>
      <c r="C26" s="544" t="str">
        <f>'TRAD-Children YEAR(1)'!B15</f>
        <v>critères / schémas</v>
      </c>
      <c r="D26" s="544" t="s">
        <v>51</v>
      </c>
      <c r="E26" s="544" t="str">
        <f>'TRAD-Children YEAR(1)'!B16</f>
        <v>Nb de patients mensuels</v>
      </c>
      <c r="F26" s="894" t="str">
        <f>'TRAD-Children YEAR(1)'!B17</f>
        <v>Nb de nvx patients total sur la période</v>
      </c>
      <c r="G26" s="544" t="str">
        <f>'TRAD-Children YEAR(1)'!B18</f>
        <v>Nb de nvx patients total sur la période AVEC la marge de sécu</v>
      </c>
    </row>
    <row r="27" spans="1:16" x14ac:dyDescent="0.2">
      <c r="B27" s="155" t="str">
        <f t="array" ref="B27:B32">'Data &amp; hypothesis Children'!$C$26:$C$31</f>
        <v>D4T+3TC+NVP</v>
      </c>
      <c r="C27" s="546"/>
      <c r="D27" s="547">
        <f>'Data &amp; hypothesis Children'!E55</f>
        <v>0.5</v>
      </c>
      <c r="E27" s="548">
        <f t="shared" ref="E27:E32" si="0">D27*E$33</f>
        <v>0</v>
      </c>
      <c r="F27" s="548">
        <f t="shared" ref="F27:F32" si="1">E27*$D$6</f>
        <v>0</v>
      </c>
      <c r="G27" s="548">
        <f>E27*$D$7</f>
        <v>0</v>
      </c>
    </row>
    <row r="28" spans="1:16" x14ac:dyDescent="0.2">
      <c r="B28" s="156" t="str">
        <v>AZT+3TC+NVP</v>
      </c>
      <c r="C28" s="323"/>
      <c r="D28" s="550">
        <f>'Data &amp; hypothesis Children'!E56</f>
        <v>0.5</v>
      </c>
      <c r="E28" s="324">
        <f t="shared" si="0"/>
        <v>0</v>
      </c>
      <c r="F28" s="324">
        <f t="shared" si="1"/>
        <v>0</v>
      </c>
      <c r="G28" s="324">
        <f t="shared" ref="G28:G32" si="2">E28*$D$7</f>
        <v>0</v>
      </c>
    </row>
    <row r="29" spans="1:16" x14ac:dyDescent="0.2">
      <c r="B29" s="156" t="str">
        <v>AZT+3TC+EFV</v>
      </c>
      <c r="C29" s="323"/>
      <c r="D29" s="550">
        <f>'Data &amp; hypothesis Children'!E57</f>
        <v>0</v>
      </c>
      <c r="E29" s="324">
        <f t="shared" si="0"/>
        <v>0</v>
      </c>
      <c r="F29" s="324">
        <f t="shared" si="1"/>
        <v>0</v>
      </c>
      <c r="G29" s="324">
        <f t="shared" si="2"/>
        <v>0</v>
      </c>
    </row>
    <row r="30" spans="1:16" x14ac:dyDescent="0.2">
      <c r="B30" s="156" t="str">
        <v>LPV/r+3TC+ABC</v>
      </c>
      <c r="C30" s="323"/>
      <c r="D30" s="550">
        <f>'Data &amp; hypothesis Children'!E58</f>
        <v>0</v>
      </c>
      <c r="E30" s="324">
        <f t="shared" si="0"/>
        <v>0</v>
      </c>
      <c r="F30" s="324">
        <f t="shared" si="1"/>
        <v>0</v>
      </c>
      <c r="G30" s="324">
        <f t="shared" si="2"/>
        <v>0</v>
      </c>
    </row>
    <row r="31" spans="1:16" x14ac:dyDescent="0.2">
      <c r="B31" s="156" t="str">
        <v>ABC+3TC+NVP</v>
      </c>
      <c r="C31" s="323"/>
      <c r="D31" s="550">
        <f>'Data &amp; hypothesis Children'!E59</f>
        <v>0</v>
      </c>
      <c r="E31" s="324">
        <f t="shared" si="0"/>
        <v>0</v>
      </c>
      <c r="F31" s="324">
        <f t="shared" si="1"/>
        <v>0</v>
      </c>
      <c r="G31" s="324">
        <f t="shared" si="2"/>
        <v>0</v>
      </c>
    </row>
    <row r="32" spans="1:16" ht="13.5" thickBot="1" x14ac:dyDescent="0.25">
      <c r="B32" s="157" t="str">
        <v>AZT+3TC+LPV/r</v>
      </c>
      <c r="C32" s="538" t="s">
        <v>199</v>
      </c>
      <c r="D32" s="1271">
        <f>'Data &amp; hypothesis Children'!E60</f>
        <v>0</v>
      </c>
      <c r="E32" s="589">
        <f t="shared" si="0"/>
        <v>0</v>
      </c>
      <c r="F32" s="589">
        <f t="shared" si="1"/>
        <v>0</v>
      </c>
      <c r="G32" s="589">
        <f t="shared" si="2"/>
        <v>0</v>
      </c>
    </row>
    <row r="33" spans="1:17" ht="13.5" thickTop="1" x14ac:dyDescent="0.2">
      <c r="B33" s="260" t="s">
        <v>6</v>
      </c>
      <c r="C33" s="497"/>
      <c r="D33" s="347"/>
      <c r="E33" s="553">
        <f>'Data &amp; hypothesis Children'!E10</f>
        <v>0</v>
      </c>
      <c r="F33" s="347">
        <f>SUM(F27:F32)</f>
        <v>0</v>
      </c>
      <c r="G33" s="347">
        <f>SUM(G27:G32)</f>
        <v>0</v>
      </c>
    </row>
    <row r="34" spans="1:17" ht="13.5" thickBot="1" x14ac:dyDescent="0.25"/>
    <row r="35" spans="1:17" ht="64.5" thickBot="1" x14ac:dyDescent="0.25">
      <c r="A35" s="260"/>
      <c r="B35" s="554" t="str">
        <f>'TRAD-Children YEAR(1)'!B6</f>
        <v>Schéma thérapeutique</v>
      </c>
      <c r="C35" s="554"/>
      <c r="D35" s="544" t="str">
        <f>'TRAD-Children YEAR(1)'!B16</f>
        <v>Nb de patients mensuels</v>
      </c>
      <c r="E35" s="544" t="str">
        <f>'TRAD-Children YEAR(1)'!B19</f>
        <v>Total 
patients-mois</v>
      </c>
      <c r="F35" s="2189" t="str">
        <f>'TRAD-Children YEAR(1)'!B20</f>
        <v>Médicaments nécessaires</v>
      </c>
      <c r="G35" s="2189"/>
      <c r="H35" s="544" t="str">
        <f>'TRAD-Children YEAR(1)'!B21</f>
        <v>Total patients-mois AVEC Marge de sécurité</v>
      </c>
      <c r="I35" s="544" t="str">
        <f>'TRAD-Children YEAR(1)'!B22</f>
        <v>Nb de patients-mois Marge de sécurité</v>
      </c>
    </row>
    <row r="36" spans="1:17" x14ac:dyDescent="0.2">
      <c r="A36" s="260"/>
      <c r="B36" s="155" t="str">
        <f t="array" ref="B36:B41">'Data &amp; hypothesis Children'!$C$26:$C$31</f>
        <v>D4T+3TC+NVP</v>
      </c>
      <c r="C36" s="546"/>
      <c r="D36" s="548">
        <f t="shared" ref="D36:D41" si="3">$E27</f>
        <v>0</v>
      </c>
      <c r="E36" s="555">
        <f t="shared" ref="E36:E41" si="4">$I$6*D36</f>
        <v>0</v>
      </c>
      <c r="F36" s="546" t="s">
        <v>59</v>
      </c>
      <c r="G36" s="546"/>
      <c r="H36" s="555">
        <f t="shared" ref="H36:H41" si="5">D36*$I$7</f>
        <v>0</v>
      </c>
      <c r="I36" s="555">
        <f t="shared" ref="I36:I41" si="6">H36-E36</f>
        <v>0</v>
      </c>
    </row>
    <row r="37" spans="1:17" x14ac:dyDescent="0.2">
      <c r="A37" s="260"/>
      <c r="B37" s="156" t="str">
        <v>AZT+3TC+NVP</v>
      </c>
      <c r="C37" s="323"/>
      <c r="D37" s="324">
        <f t="shared" si="3"/>
        <v>0</v>
      </c>
      <c r="E37" s="1272">
        <f t="shared" si="4"/>
        <v>0</v>
      </c>
      <c r="F37" s="323" t="s">
        <v>57</v>
      </c>
      <c r="G37" s="323"/>
      <c r="H37" s="1272">
        <f t="shared" si="5"/>
        <v>0</v>
      </c>
      <c r="I37" s="1272">
        <f t="shared" si="6"/>
        <v>0</v>
      </c>
    </row>
    <row r="38" spans="1:17" x14ac:dyDescent="0.2">
      <c r="A38" s="260"/>
      <c r="B38" s="156" t="str">
        <v>AZT+3TC+EFV</v>
      </c>
      <c r="C38" s="323"/>
      <c r="D38" s="324">
        <f t="shared" si="3"/>
        <v>0</v>
      </c>
      <c r="E38" s="1272">
        <f t="shared" si="4"/>
        <v>0</v>
      </c>
      <c r="F38" s="323" t="s">
        <v>58</v>
      </c>
      <c r="G38" s="323" t="s">
        <v>17</v>
      </c>
      <c r="H38" s="1272">
        <f t="shared" si="5"/>
        <v>0</v>
      </c>
      <c r="I38" s="1272">
        <f t="shared" si="6"/>
        <v>0</v>
      </c>
    </row>
    <row r="39" spans="1:17" x14ac:dyDescent="0.2">
      <c r="A39" s="260"/>
      <c r="B39" s="156" t="str">
        <v>LPV/r+3TC+ABC</v>
      </c>
      <c r="C39" s="323" t="s">
        <v>53</v>
      </c>
      <c r="D39" s="324">
        <f t="shared" si="3"/>
        <v>0</v>
      </c>
      <c r="E39" s="1272">
        <f t="shared" si="4"/>
        <v>0</v>
      </c>
      <c r="F39" s="323" t="s">
        <v>58</v>
      </c>
      <c r="G39" s="323" t="s">
        <v>25</v>
      </c>
      <c r="H39" s="1272">
        <f t="shared" si="5"/>
        <v>0</v>
      </c>
      <c r="I39" s="1272">
        <f t="shared" si="6"/>
        <v>0</v>
      </c>
    </row>
    <row r="40" spans="1:17" x14ac:dyDescent="0.2">
      <c r="A40" s="260"/>
      <c r="B40" s="156" t="str">
        <v>ABC+3TC+NVP</v>
      </c>
      <c r="C40" s="323"/>
      <c r="D40" s="324">
        <f t="shared" si="3"/>
        <v>0</v>
      </c>
      <c r="E40" s="1272">
        <f t="shared" si="4"/>
        <v>0</v>
      </c>
      <c r="F40" s="323"/>
      <c r="G40" s="323"/>
      <c r="H40" s="1272">
        <f t="shared" si="5"/>
        <v>0</v>
      </c>
      <c r="I40" s="1272">
        <f t="shared" si="6"/>
        <v>0</v>
      </c>
    </row>
    <row r="41" spans="1:17" ht="13.5" thickBot="1" x14ac:dyDescent="0.25">
      <c r="A41" s="260"/>
      <c r="B41" s="157" t="str">
        <v>AZT+3TC+LPV/r</v>
      </c>
      <c r="C41" s="538" t="s">
        <v>199</v>
      </c>
      <c r="D41" s="589">
        <f t="shared" si="3"/>
        <v>0</v>
      </c>
      <c r="E41" s="557">
        <f t="shared" si="4"/>
        <v>0</v>
      </c>
      <c r="F41" s="538" t="s">
        <v>58</v>
      </c>
      <c r="G41" s="538" t="s">
        <v>33</v>
      </c>
      <c r="H41" s="557">
        <f t="shared" si="5"/>
        <v>0</v>
      </c>
      <c r="I41" s="557">
        <f t="shared" si="6"/>
        <v>0</v>
      </c>
    </row>
    <row r="42" spans="1:17" ht="14.25" thickTop="1" thickBot="1" x14ac:dyDescent="0.25">
      <c r="A42" s="260"/>
      <c r="B42" s="558" t="s">
        <v>288</v>
      </c>
      <c r="C42" s="559"/>
      <c r="D42" s="560">
        <f>SUM(D36:D41)</f>
        <v>0</v>
      </c>
      <c r="E42" s="561">
        <f>SUM(E36:E41)</f>
        <v>0</v>
      </c>
      <c r="F42" s="559"/>
      <c r="H42" s="562">
        <f>SUM(H36:H41)</f>
        <v>0</v>
      </c>
      <c r="I42" s="562">
        <f>SUM(I36:I41)</f>
        <v>0</v>
      </c>
    </row>
    <row r="43" spans="1:17" s="292" customFormat="1" x14ac:dyDescent="0.2">
      <c r="F43" s="522"/>
      <c r="G43" s="563"/>
    </row>
    <row r="44" spans="1:17" x14ac:dyDescent="0.2">
      <c r="A44" s="260"/>
      <c r="Q44" s="292"/>
    </row>
    <row r="45" spans="1:17" x14ac:dyDescent="0.2">
      <c r="A45" s="260"/>
      <c r="Q45" s="292"/>
    </row>
    <row r="46" spans="1:17" ht="15" x14ac:dyDescent="0.2">
      <c r="A46" s="260"/>
      <c r="B46" s="2143" t="str">
        <f>'TRAD-Children YEAR(1)'!B26</f>
        <v>Répartition des passages en 2ème ligne</v>
      </c>
      <c r="C46" s="2143"/>
      <c r="D46" s="2143"/>
      <c r="E46" s="2143"/>
      <c r="F46" s="2143"/>
      <c r="G46" s="2143"/>
      <c r="H46" s="2143"/>
      <c r="I46" s="2143"/>
      <c r="J46" s="2143"/>
      <c r="K46" s="2143"/>
      <c r="L46" s="2143"/>
      <c r="M46" s="2143"/>
      <c r="Q46" s="292"/>
    </row>
    <row r="47" spans="1:17" x14ac:dyDescent="0.2">
      <c r="A47" s="260"/>
      <c r="Q47" s="292"/>
    </row>
    <row r="48" spans="1:17" x14ac:dyDescent="0.2">
      <c r="A48" s="260"/>
      <c r="B48" s="528" t="str">
        <f>'TRAD-Children YEAR(1)'!B28</f>
        <v>Taux de passage en 2ème ligne</v>
      </c>
      <c r="C48" s="528"/>
      <c r="D48" s="564">
        <f>'Data &amp; hypothesis Children'!D68</f>
        <v>0</v>
      </c>
      <c r="E48" s="528"/>
      <c r="F48" s="528"/>
      <c r="G48" s="565" t="str">
        <f>'TRAD-Children YEAR(1)'!B29</f>
        <v>des patients à la fin de l'année, soit :</v>
      </c>
      <c r="H48" s="566">
        <f>ROUNDUP(D48*(C20+F33), 0)</f>
        <v>0</v>
      </c>
      <c r="I48" s="528" t="str">
        <f>'TRAD-Children YEAR(1)'!B32</f>
        <v>patients au total à la fin de l'année</v>
      </c>
    </row>
    <row r="49" spans="1:17" s="523" customFormat="1" ht="13.5" thickBot="1" x14ac:dyDescent="0.25">
      <c r="E49" s="567"/>
      <c r="G49" s="565" t="str">
        <f>'TRAD-Children YEAR(1)'!B30</f>
        <v>Actuellement en 2ème ligne :</v>
      </c>
      <c r="H49" s="568">
        <f>H12</f>
        <v>16.772799999999997</v>
      </c>
    </row>
    <row r="50" spans="1:17" ht="13.5" thickBot="1" x14ac:dyDescent="0.25">
      <c r="A50" s="260"/>
      <c r="C50" s="528"/>
      <c r="D50" s="569"/>
      <c r="E50" s="570"/>
      <c r="F50" s="571"/>
      <c r="G50" s="572" t="str">
        <f>'TRAD-Children YEAR(1)'!B31</f>
        <v>Nb de patients ayant switché dans l'année :</v>
      </c>
      <c r="H50" s="573">
        <f>IF(H48-H12&gt;0, H48-H12, 0)</f>
        <v>0</v>
      </c>
      <c r="J50" s="574" t="str">
        <f>'TRAD-Children YEAR(1)'!B33</f>
        <v>Proportion mensuelle :</v>
      </c>
      <c r="K50" s="575"/>
      <c r="L50" s="576" t="e">
        <f>H50/$D$6</f>
        <v>#DIV/0!</v>
      </c>
    </row>
    <row r="51" spans="1:17" ht="13.5" thickBot="1" x14ac:dyDescent="0.25">
      <c r="A51" s="260"/>
    </row>
    <row r="52" spans="1:17" ht="64.5" thickBot="1" x14ac:dyDescent="0.25">
      <c r="A52" s="260"/>
      <c r="B52" s="554" t="str">
        <f>'TRAD-Children YEAR(1)'!B34</f>
        <v>2èmes lignes</v>
      </c>
      <c r="C52" s="554" t="s">
        <v>51</v>
      </c>
      <c r="D52" s="544" t="str">
        <f>'TRAD-Children YEAR(1)'!B16</f>
        <v>Nb de patients mensuels</v>
      </c>
      <c r="E52" s="544" t="str">
        <f>'TRAD-Children YEAR(1)'!B35</f>
        <v>Nb de patients annuels / schéma</v>
      </c>
      <c r="F52" s="2189" t="str">
        <f>'TRAD-Children YEAR(1)'!B20</f>
        <v>Médicaments nécessaires</v>
      </c>
      <c r="G52" s="2189"/>
      <c r="H52" s="2189"/>
      <c r="I52" s="544" t="str">
        <f>'TRAD-Children YEAR(1)'!B39</f>
        <v>Nb de patients -mois</v>
      </c>
      <c r="J52" s="544" t="str">
        <f>'TRAD-Children YEAR(1)'!B21</f>
        <v>Total patients-mois AVEC Marge de sécurité</v>
      </c>
      <c r="K52" s="544" t="str">
        <f>'TRAD-Children YEAR(1)'!B23</f>
        <v>Nb de patients-mois Marge de sécurité SEULE</v>
      </c>
    </row>
    <row r="53" spans="1:17" x14ac:dyDescent="0.2">
      <c r="A53" s="260"/>
      <c r="B53" s="1950" t="str">
        <f t="array" ref="B53:B56">'Data &amp; hypothesis Children'!$C$32:$C$35</f>
        <v>ABC+3TC+EFV</v>
      </c>
      <c r="C53" s="1951">
        <f>'Data &amp; hypothesis Children'!D79</f>
        <v>0</v>
      </c>
      <c r="D53" s="1952" t="e">
        <f>$C53*$L$50</f>
        <v>#DIV/0!</v>
      </c>
      <c r="E53" s="1952" t="e">
        <f>D53*$D$6</f>
        <v>#DIV/0!</v>
      </c>
      <c r="F53" s="1952"/>
      <c r="G53" s="1952"/>
      <c r="H53" s="1952"/>
      <c r="I53" s="1953" t="e">
        <f>$I$6*D53</f>
        <v>#DIV/0!</v>
      </c>
      <c r="J53" s="1953" t="e">
        <f>D53*$I$7</f>
        <v>#DIV/0!</v>
      </c>
      <c r="K53" s="1954" t="e">
        <f>J53-I53</f>
        <v>#DIV/0!</v>
      </c>
    </row>
    <row r="54" spans="1:17" x14ac:dyDescent="0.2">
      <c r="A54" s="260"/>
      <c r="B54" s="1955" t="str">
        <v>TDF+3TC+LPV/r</v>
      </c>
      <c r="C54" s="1956">
        <f>'Data &amp; hypothesis Children'!D80</f>
        <v>0</v>
      </c>
      <c r="D54" s="734" t="e">
        <f t="shared" ref="D54:D55" si="7">$C54*$L$50</f>
        <v>#DIV/0!</v>
      </c>
      <c r="E54" s="734" t="e">
        <f t="shared" ref="E54:E55" si="8">D54*$D$6</f>
        <v>#DIV/0!</v>
      </c>
      <c r="F54" s="734"/>
      <c r="G54" s="734"/>
      <c r="H54" s="734"/>
      <c r="I54" s="1272" t="e">
        <f t="shared" ref="I54:I55" si="9">$I$6*D54</f>
        <v>#DIV/0!</v>
      </c>
      <c r="J54" s="1272" t="e">
        <f t="shared" ref="J54:J55" si="10">D54*$I$7</f>
        <v>#DIV/0!</v>
      </c>
      <c r="K54" s="1957" t="e">
        <f t="shared" ref="K54:K55" si="11">J54-I54</f>
        <v>#DIV/0!</v>
      </c>
    </row>
    <row r="55" spans="1:17" x14ac:dyDescent="0.2">
      <c r="A55" s="260"/>
      <c r="B55" s="1955" t="str">
        <v>AZT+3TC+EFV</v>
      </c>
      <c r="C55" s="1956">
        <f>'Data &amp; hypothesis Children'!D81</f>
        <v>0</v>
      </c>
      <c r="D55" s="734" t="e">
        <f t="shared" si="7"/>
        <v>#DIV/0!</v>
      </c>
      <c r="E55" s="734" t="e">
        <f t="shared" si="8"/>
        <v>#DIV/0!</v>
      </c>
      <c r="F55" s="734"/>
      <c r="G55" s="734"/>
      <c r="H55" s="734"/>
      <c r="I55" s="1272" t="e">
        <f t="shared" si="9"/>
        <v>#DIV/0!</v>
      </c>
      <c r="J55" s="1272" t="e">
        <f t="shared" si="10"/>
        <v>#DIV/0!</v>
      </c>
      <c r="K55" s="1957" t="e">
        <f t="shared" si="11"/>
        <v>#DIV/0!</v>
      </c>
    </row>
    <row r="56" spans="1:17" ht="13.5" thickBot="1" x14ac:dyDescent="0.25">
      <c r="A56" s="260"/>
      <c r="B56" s="1958">
        <v>0</v>
      </c>
      <c r="C56" s="1273">
        <f>'Data &amp; hypothesis Children'!D82</f>
        <v>0</v>
      </c>
      <c r="D56" s="1197" t="e">
        <f>$C56*$L$50</f>
        <v>#DIV/0!</v>
      </c>
      <c r="E56" s="1197" t="e">
        <f>D56*$D$6</f>
        <v>#DIV/0!</v>
      </c>
      <c r="F56" s="1197"/>
      <c r="G56" s="1197"/>
      <c r="H56" s="1197"/>
      <c r="I56" s="557" t="e">
        <f>$I$6*D56</f>
        <v>#DIV/0!</v>
      </c>
      <c r="J56" s="557" t="e">
        <f>D56*$I$7</f>
        <v>#DIV/0!</v>
      </c>
      <c r="K56" s="1959" t="e">
        <f>J56-I56</f>
        <v>#DIV/0!</v>
      </c>
    </row>
    <row r="57" spans="1:17" ht="14.25" thickTop="1" thickBot="1" x14ac:dyDescent="0.25">
      <c r="A57" s="260"/>
      <c r="B57" s="528" t="s">
        <v>6</v>
      </c>
      <c r="C57" s="528"/>
      <c r="D57" s="577" t="e">
        <f>SUM(D53:D56)</f>
        <v>#DIV/0!</v>
      </c>
      <c r="E57" s="577" t="e">
        <f>SUM(E53:E56)</f>
        <v>#DIV/0!</v>
      </c>
      <c r="F57" s="577"/>
      <c r="G57" s="577"/>
      <c r="H57" s="577"/>
      <c r="I57" s="562" t="e">
        <f>SUM(I53:I56)</f>
        <v>#DIV/0!</v>
      </c>
      <c r="J57" s="562" t="e">
        <f>SUM(J53:J56)</f>
        <v>#DIV/0!</v>
      </c>
      <c r="K57" s="562" t="e">
        <f>SUM(K53:K56)</f>
        <v>#DIV/0!</v>
      </c>
    </row>
    <row r="58" spans="1:17" x14ac:dyDescent="0.2">
      <c r="A58" s="260"/>
      <c r="I58" s="292"/>
    </row>
    <row r="59" spans="1:17" x14ac:dyDescent="0.2">
      <c r="A59" s="260"/>
      <c r="Q59" s="292"/>
    </row>
    <row r="60" spans="1:17" s="263" customFormat="1" ht="16.5" thickBot="1" x14ac:dyDescent="0.3">
      <c r="A60" s="2177" t="str">
        <f>'TRAD-Children YEAR(1)'!B24</f>
        <v>Répartition de la FA sous traitement en nb de patients - mois / poids / schéma</v>
      </c>
      <c r="B60" s="2177"/>
      <c r="C60" s="2177"/>
      <c r="D60" s="2177"/>
      <c r="E60" s="2177"/>
      <c r="F60" s="2177"/>
      <c r="G60" s="2177"/>
      <c r="H60" s="2177"/>
      <c r="I60" s="2177"/>
      <c r="J60" s="2177"/>
      <c r="K60" s="2177"/>
      <c r="L60" s="2177"/>
      <c r="M60" s="2177"/>
      <c r="N60" s="2177"/>
    </row>
    <row r="61" spans="1:17" ht="13.5" thickBot="1" x14ac:dyDescent="0.25">
      <c r="A61" s="260"/>
      <c r="Q61" s="292"/>
    </row>
    <row r="62" spans="1:17" ht="13.5" thickBot="1" x14ac:dyDescent="0.25">
      <c r="A62" s="260"/>
      <c r="B62" s="554" t="str">
        <f>'TRAD-Children YEAR(1)'!B36</f>
        <v>Poids (kg)</v>
      </c>
      <c r="C62" s="544" t="s">
        <v>206</v>
      </c>
      <c r="D62" s="544" t="s">
        <v>207</v>
      </c>
      <c r="E62" s="544" t="s">
        <v>208</v>
      </c>
      <c r="F62" s="544" t="s">
        <v>112</v>
      </c>
      <c r="Q62" s="292"/>
    </row>
    <row r="63" spans="1:17" ht="13.5" thickBot="1" x14ac:dyDescent="0.25">
      <c r="A63" s="260"/>
      <c r="B63" s="578" t="str">
        <f>'TRAD-Children YEAR(1)'!B37</f>
        <v>Pourcentage</v>
      </c>
      <c r="C63" s="579">
        <f>'Data &amp; hypothesis Children'!C44</f>
        <v>0.25</v>
      </c>
      <c r="D63" s="579">
        <f>'Data &amp; hypothesis Children'!D44</f>
        <v>0.5</v>
      </c>
      <c r="E63" s="580">
        <f>'Data &amp; hypothesis Children'!E44</f>
        <v>0.13</v>
      </c>
      <c r="F63" s="580">
        <f>'Data &amp; hypothesis Children'!F44</f>
        <v>0.12</v>
      </c>
      <c r="Q63" s="292"/>
    </row>
    <row r="64" spans="1:17" x14ac:dyDescent="0.2">
      <c r="A64" s="260"/>
      <c r="Q64" s="292"/>
    </row>
    <row r="65" spans="1:17" ht="15" x14ac:dyDescent="0.2">
      <c r="A65" s="260"/>
      <c r="B65" s="2191" t="str">
        <f>'TRAD-Children YEAR(1)'!B38</f>
        <v>SANS marge de sécurité</v>
      </c>
      <c r="C65" s="2191"/>
      <c r="D65" s="2191"/>
      <c r="E65" s="2191"/>
      <c r="F65" s="2191"/>
      <c r="Q65" s="292"/>
    </row>
    <row r="66" spans="1:17" x14ac:dyDescent="0.2">
      <c r="A66" s="260"/>
      <c r="C66" s="291"/>
      <c r="D66" s="291"/>
      <c r="E66" s="291"/>
      <c r="F66" s="291"/>
      <c r="G66" s="291"/>
      <c r="H66" s="291"/>
      <c r="I66" s="291"/>
      <c r="Q66" s="292"/>
    </row>
    <row r="67" spans="1:17" ht="13.5" thickBot="1" x14ac:dyDescent="0.25">
      <c r="A67" s="260"/>
      <c r="C67" s="2168" t="str">
        <f>'TRAD-Children YEAR(1)'!B39</f>
        <v>Nb de patients -mois</v>
      </c>
      <c r="D67" s="2168"/>
      <c r="E67" s="2190"/>
      <c r="F67" s="2168" t="str">
        <f>'TRAD-Children YEAR(1)'!B40</f>
        <v>Répartition des patients mois / tranches de poids</v>
      </c>
      <c r="G67" s="2168"/>
      <c r="H67" s="2168"/>
      <c r="I67" s="2168"/>
      <c r="Q67" s="292"/>
    </row>
    <row r="68" spans="1:17" ht="39" thickBot="1" x14ac:dyDescent="0.25">
      <c r="A68" s="260"/>
      <c r="B68" s="529" t="str">
        <f>'TRAD-Children YEAR(1)'!B6</f>
        <v>Schéma thérapeutique</v>
      </c>
      <c r="C68" s="529" t="str">
        <f>'TRAD-Children YEAR(1)'!B41</f>
        <v>Enfants présents au début de l'année</v>
      </c>
      <c r="D68" s="529" t="str">
        <f>'TRAD-Children YEAR(1)'!B42</f>
        <v>Initiations et passages en 2ème lignes</v>
      </c>
      <c r="E68" s="581" t="str">
        <f>'TRAD-Children YEAR(1)'!B43</f>
        <v>Total annuel en nb de patients -mois</v>
      </c>
      <c r="F68" s="544" t="s">
        <v>206</v>
      </c>
      <c r="G68" s="544" t="s">
        <v>207</v>
      </c>
      <c r="H68" s="544" t="s">
        <v>208</v>
      </c>
      <c r="I68" s="544" t="s">
        <v>112</v>
      </c>
      <c r="O68" s="292"/>
    </row>
    <row r="69" spans="1:17" x14ac:dyDescent="0.2">
      <c r="A69" s="260"/>
      <c r="B69" s="155" t="str">
        <f t="array" ref="B69:B78">'Data &amp; hypothesis Children'!$C$26:$C$35</f>
        <v>D4T+3TC+NVP</v>
      </c>
      <c r="C69" s="582">
        <f t="shared" ref="C69:C74" si="12">$D$6*C10</f>
        <v>0</v>
      </c>
      <c r="D69" s="582">
        <f t="shared" ref="D69:D74" si="13">E36</f>
        <v>0</v>
      </c>
      <c r="E69" s="583">
        <f>SUM(C69:D69)</f>
        <v>0</v>
      </c>
      <c r="F69" s="584">
        <f t="shared" ref="F69:I70" si="14">C$63*$E69</f>
        <v>0</v>
      </c>
      <c r="G69" s="584">
        <f t="shared" si="14"/>
        <v>0</v>
      </c>
      <c r="H69" s="584">
        <f t="shared" si="14"/>
        <v>0</v>
      </c>
      <c r="I69" s="584">
        <f t="shared" si="14"/>
        <v>0</v>
      </c>
      <c r="O69" s="292"/>
    </row>
    <row r="70" spans="1:17" x14ac:dyDescent="0.2">
      <c r="A70" s="260"/>
      <c r="B70" s="156" t="str">
        <v>AZT+3TC+NVP</v>
      </c>
      <c r="C70" s="585">
        <f t="shared" si="12"/>
        <v>0</v>
      </c>
      <c r="D70" s="585">
        <f t="shared" si="13"/>
        <v>0</v>
      </c>
      <c r="E70" s="586">
        <f t="shared" ref="E70:E78" si="15">SUM(C70:D70)</f>
        <v>0</v>
      </c>
      <c r="F70" s="587">
        <f t="shared" si="14"/>
        <v>0</v>
      </c>
      <c r="G70" s="587">
        <f t="shared" si="14"/>
        <v>0</v>
      </c>
      <c r="H70" s="587">
        <f t="shared" si="14"/>
        <v>0</v>
      </c>
      <c r="I70" s="587">
        <f t="shared" si="14"/>
        <v>0</v>
      </c>
      <c r="O70" s="292"/>
    </row>
    <row r="71" spans="1:17" x14ac:dyDescent="0.2">
      <c r="A71" s="260"/>
      <c r="B71" s="156" t="str">
        <v>AZT+3TC+EFV</v>
      </c>
      <c r="C71" s="585">
        <f t="shared" si="12"/>
        <v>0</v>
      </c>
      <c r="D71" s="585">
        <f t="shared" si="13"/>
        <v>0</v>
      </c>
      <c r="E71" s="586">
        <f t="shared" si="15"/>
        <v>0</v>
      </c>
      <c r="F71" s="588"/>
      <c r="G71" s="587">
        <f>(C$63+D$63)*$E71</f>
        <v>0</v>
      </c>
      <c r="H71" s="587">
        <f t="shared" ref="H71:I78" si="16">E$63*$E71</f>
        <v>0</v>
      </c>
      <c r="I71" s="587">
        <f t="shared" si="16"/>
        <v>0</v>
      </c>
      <c r="O71" s="292"/>
    </row>
    <row r="72" spans="1:17" x14ac:dyDescent="0.2">
      <c r="A72" s="260"/>
      <c r="B72" s="156" t="str">
        <v>LPV/r+3TC+ABC</v>
      </c>
      <c r="C72" s="585">
        <f t="shared" si="12"/>
        <v>0</v>
      </c>
      <c r="D72" s="585">
        <f t="shared" si="13"/>
        <v>0</v>
      </c>
      <c r="E72" s="586">
        <f t="shared" si="15"/>
        <v>0</v>
      </c>
      <c r="F72" s="587">
        <f t="shared" ref="F72:G78" si="17">C$63*$E72</f>
        <v>0</v>
      </c>
      <c r="G72" s="587">
        <f t="shared" si="17"/>
        <v>0</v>
      </c>
      <c r="H72" s="587">
        <f t="shared" si="16"/>
        <v>0</v>
      </c>
      <c r="I72" s="587">
        <f t="shared" si="16"/>
        <v>0</v>
      </c>
      <c r="O72" s="292"/>
    </row>
    <row r="73" spans="1:17" x14ac:dyDescent="0.2">
      <c r="A73" s="260"/>
      <c r="B73" s="156" t="str">
        <v>ABC+3TC+NVP</v>
      </c>
      <c r="C73" s="585">
        <f t="shared" si="12"/>
        <v>0</v>
      </c>
      <c r="D73" s="585">
        <f t="shared" si="13"/>
        <v>0</v>
      </c>
      <c r="E73" s="586">
        <f t="shared" si="15"/>
        <v>0</v>
      </c>
      <c r="F73" s="587">
        <f t="shared" si="17"/>
        <v>0</v>
      </c>
      <c r="G73" s="587">
        <f t="shared" si="17"/>
        <v>0</v>
      </c>
      <c r="H73" s="587">
        <f t="shared" si="16"/>
        <v>0</v>
      </c>
      <c r="I73" s="587">
        <f t="shared" si="16"/>
        <v>0</v>
      </c>
      <c r="O73" s="292"/>
    </row>
    <row r="74" spans="1:17" x14ac:dyDescent="0.2">
      <c r="A74" s="260"/>
      <c r="B74" s="1253" t="str">
        <v>AZT+3TC+LPV/r</v>
      </c>
      <c r="C74" s="772">
        <f t="shared" si="12"/>
        <v>0</v>
      </c>
      <c r="D74" s="772">
        <f t="shared" si="13"/>
        <v>0</v>
      </c>
      <c r="E74" s="1276">
        <f t="shared" si="15"/>
        <v>0</v>
      </c>
      <c r="F74" s="777">
        <f t="shared" si="17"/>
        <v>0</v>
      </c>
      <c r="G74" s="777">
        <f t="shared" si="17"/>
        <v>0</v>
      </c>
      <c r="H74" s="777">
        <f t="shared" si="16"/>
        <v>0</v>
      </c>
      <c r="I74" s="777">
        <f t="shared" si="16"/>
        <v>0</v>
      </c>
      <c r="O74" s="292"/>
    </row>
    <row r="75" spans="1:17" x14ac:dyDescent="0.2">
      <c r="A75" s="260"/>
      <c r="B75" s="1948" t="str">
        <v>ABC+3TC+EFV</v>
      </c>
      <c r="C75" s="771">
        <f>$D$6*C16</f>
        <v>0</v>
      </c>
      <c r="D75" s="771" t="e">
        <f>I53</f>
        <v>#DIV/0!</v>
      </c>
      <c r="E75" s="1274" t="e">
        <f t="shared" si="15"/>
        <v>#DIV/0!</v>
      </c>
      <c r="F75" s="1275" t="e">
        <f t="shared" si="17"/>
        <v>#DIV/0!</v>
      </c>
      <c r="G75" s="1275" t="e">
        <f t="shared" si="17"/>
        <v>#DIV/0!</v>
      </c>
      <c r="H75" s="1275" t="e">
        <f t="shared" si="16"/>
        <v>#DIV/0!</v>
      </c>
      <c r="I75" s="1275" t="e">
        <f t="shared" si="16"/>
        <v>#DIV/0!</v>
      </c>
      <c r="O75" s="292"/>
    </row>
    <row r="76" spans="1:17" x14ac:dyDescent="0.2">
      <c r="A76" s="260"/>
      <c r="B76" s="156" t="str">
        <v>TDF+3TC+LPV/r</v>
      </c>
      <c r="C76" s="771">
        <f t="shared" ref="C76:C77" si="18">$D$6*C17</f>
        <v>0</v>
      </c>
      <c r="D76" s="771" t="e">
        <f t="shared" ref="D76:D77" si="19">I54</f>
        <v>#DIV/0!</v>
      </c>
      <c r="E76" s="1274" t="e">
        <f t="shared" ref="E76:E77" si="20">SUM(C76:D76)</f>
        <v>#DIV/0!</v>
      </c>
      <c r="F76" s="1275" t="e">
        <f t="shared" ref="F76:F77" si="21">C$63*$E76</f>
        <v>#DIV/0!</v>
      </c>
      <c r="G76" s="1275" t="e">
        <f t="shared" ref="G76:G77" si="22">D$63*$E76</f>
        <v>#DIV/0!</v>
      </c>
      <c r="H76" s="1275" t="e">
        <f t="shared" ref="H76:H77" si="23">E$63*$E76</f>
        <v>#DIV/0!</v>
      </c>
      <c r="I76" s="1275" t="e">
        <f t="shared" ref="I76:I77" si="24">F$63*$E76</f>
        <v>#DIV/0!</v>
      </c>
      <c r="O76" s="292"/>
    </row>
    <row r="77" spans="1:17" x14ac:dyDescent="0.2">
      <c r="A77" s="260"/>
      <c r="B77" s="156" t="str">
        <v>AZT+3TC+EFV</v>
      </c>
      <c r="C77" s="771">
        <f t="shared" si="18"/>
        <v>0</v>
      </c>
      <c r="D77" s="771" t="e">
        <f t="shared" si="19"/>
        <v>#DIV/0!</v>
      </c>
      <c r="E77" s="1274" t="e">
        <f t="shared" si="20"/>
        <v>#DIV/0!</v>
      </c>
      <c r="F77" s="1275" t="e">
        <f t="shared" si="21"/>
        <v>#DIV/0!</v>
      </c>
      <c r="G77" s="1275" t="e">
        <f t="shared" si="22"/>
        <v>#DIV/0!</v>
      </c>
      <c r="H77" s="1275" t="e">
        <f t="shared" si="23"/>
        <v>#DIV/0!</v>
      </c>
      <c r="I77" s="1275" t="e">
        <f t="shared" si="24"/>
        <v>#DIV/0!</v>
      </c>
      <c r="O77" s="292"/>
    </row>
    <row r="78" spans="1:17" ht="13.5" thickBot="1" x14ac:dyDescent="0.25">
      <c r="A78" s="260"/>
      <c r="B78" s="157">
        <v>0</v>
      </c>
      <c r="C78" s="589">
        <f>$D$6*C19</f>
        <v>0</v>
      </c>
      <c r="D78" s="589" t="e">
        <f>I56</f>
        <v>#DIV/0!</v>
      </c>
      <c r="E78" s="590" t="e">
        <f t="shared" si="15"/>
        <v>#DIV/0!</v>
      </c>
      <c r="F78" s="591" t="e">
        <f t="shared" si="17"/>
        <v>#DIV/0!</v>
      </c>
      <c r="G78" s="591" t="e">
        <f t="shared" si="17"/>
        <v>#DIV/0!</v>
      </c>
      <c r="H78" s="591" t="e">
        <f t="shared" si="16"/>
        <v>#DIV/0!</v>
      </c>
      <c r="I78" s="591" t="e">
        <f t="shared" si="16"/>
        <v>#DIV/0!</v>
      </c>
      <c r="O78" s="292"/>
    </row>
    <row r="79" spans="1:17" ht="13.5" thickTop="1" x14ac:dyDescent="0.2">
      <c r="A79" s="260"/>
      <c r="B79" s="592"/>
      <c r="C79" s="592"/>
      <c r="D79" s="592"/>
      <c r="E79" s="592"/>
      <c r="O79" s="292"/>
    </row>
    <row r="80" spans="1:17" x14ac:dyDescent="0.2">
      <c r="A80" s="260"/>
      <c r="B80" s="593"/>
      <c r="C80" s="593"/>
      <c r="D80" s="593"/>
      <c r="E80" s="593"/>
      <c r="O80" s="292"/>
    </row>
    <row r="81" spans="1:17" ht="15" x14ac:dyDescent="0.2">
      <c r="A81" s="260"/>
      <c r="B81" s="2191" t="str">
        <f>'TRAD-Children YEAR(1)'!B44</f>
        <v>AVEC marge de sécurité</v>
      </c>
      <c r="C81" s="2191"/>
      <c r="D81" s="2191"/>
      <c r="E81" s="2191"/>
      <c r="F81" s="2191"/>
      <c r="Q81" s="292"/>
    </row>
    <row r="82" spans="1:17" x14ac:dyDescent="0.2">
      <c r="A82" s="260"/>
      <c r="C82" s="291"/>
      <c r="D82" s="291"/>
      <c r="E82" s="291"/>
      <c r="F82" s="291"/>
      <c r="G82" s="291"/>
      <c r="H82" s="291"/>
      <c r="I82" s="291"/>
      <c r="Q82" s="292"/>
    </row>
    <row r="83" spans="1:17" ht="13.5" thickBot="1" x14ac:dyDescent="0.25">
      <c r="A83" s="260"/>
      <c r="C83" s="2168" t="str">
        <f>'TRAD-Children YEAR(1)'!B39</f>
        <v>Nb de patients -mois</v>
      </c>
      <c r="D83" s="2168"/>
      <c r="E83" s="2190"/>
      <c r="F83" s="2168" t="str">
        <f>'TRAD-Children YEAR(1)'!B40</f>
        <v>Répartition des patients mois / tranches de poids</v>
      </c>
      <c r="G83" s="2168"/>
      <c r="H83" s="2168"/>
      <c r="I83" s="2168"/>
      <c r="Q83" s="292"/>
    </row>
    <row r="84" spans="1:17" ht="39" thickBot="1" x14ac:dyDescent="0.25">
      <c r="A84" s="260"/>
      <c r="B84" s="529" t="str">
        <f>'TRAD-Children YEAR(1)'!B6</f>
        <v>Schéma thérapeutique</v>
      </c>
      <c r="C84" s="529" t="str">
        <f>'TRAD-Children YEAR(1)'!B41</f>
        <v>Enfants présents au début de l'année</v>
      </c>
      <c r="D84" s="529" t="str">
        <f>'TRAD-Children YEAR(1)'!B42</f>
        <v>Initiations et passages en 2ème lignes</v>
      </c>
      <c r="E84" s="581" t="str">
        <f>'TRAD-Children YEAR(1)'!B43</f>
        <v>Total annuel en nb de patients -mois</v>
      </c>
      <c r="F84" s="544" t="s">
        <v>206</v>
      </c>
      <c r="G84" s="544" t="s">
        <v>207</v>
      </c>
      <c r="H84" s="544" t="s">
        <v>208</v>
      </c>
      <c r="I84" s="544" t="s">
        <v>112</v>
      </c>
      <c r="O84" s="292"/>
    </row>
    <row r="85" spans="1:17" x14ac:dyDescent="0.2">
      <c r="A85" s="260"/>
      <c r="B85" s="155" t="str">
        <f t="array" ref="B85:B94">'Data &amp; hypothesis Children'!$C$26:$C$35</f>
        <v>D4T+3TC+NVP</v>
      </c>
      <c r="C85" s="582">
        <f t="shared" ref="C85:C91" si="25">$D$7*C10</f>
        <v>0</v>
      </c>
      <c r="D85" s="582">
        <f t="shared" ref="D85:D90" si="26">H36</f>
        <v>0</v>
      </c>
      <c r="E85" s="583">
        <f t="shared" ref="E85:E91" si="27">SUM(C85:D85)</f>
        <v>0</v>
      </c>
      <c r="F85" s="584">
        <f t="shared" ref="F85:I86" si="28">C$63*$E85</f>
        <v>0</v>
      </c>
      <c r="G85" s="584">
        <f t="shared" si="28"/>
        <v>0</v>
      </c>
      <c r="H85" s="584">
        <f t="shared" si="28"/>
        <v>0</v>
      </c>
      <c r="I85" s="584">
        <f t="shared" si="28"/>
        <v>0</v>
      </c>
      <c r="O85" s="292"/>
    </row>
    <row r="86" spans="1:17" x14ac:dyDescent="0.2">
      <c r="A86" s="260"/>
      <c r="B86" s="156" t="str">
        <v>AZT+3TC+NVP</v>
      </c>
      <c r="C86" s="585">
        <f t="shared" si="25"/>
        <v>1502.274375</v>
      </c>
      <c r="D86" s="585">
        <f t="shared" si="26"/>
        <v>0</v>
      </c>
      <c r="E86" s="586">
        <f t="shared" si="27"/>
        <v>1502.274375</v>
      </c>
      <c r="F86" s="587">
        <f t="shared" si="28"/>
        <v>375.56859374999999</v>
      </c>
      <c r="G86" s="587">
        <f t="shared" si="28"/>
        <v>751.13718749999998</v>
      </c>
      <c r="H86" s="587">
        <f t="shared" si="28"/>
        <v>195.29566875</v>
      </c>
      <c r="I86" s="587">
        <f t="shared" si="28"/>
        <v>180.27292499999999</v>
      </c>
      <c r="O86" s="292"/>
    </row>
    <row r="87" spans="1:17" x14ac:dyDescent="0.2">
      <c r="A87" s="260"/>
      <c r="B87" s="156" t="str">
        <v>AZT+3TC+EFV</v>
      </c>
      <c r="C87" s="585">
        <f t="shared" si="25"/>
        <v>35.537673387096774</v>
      </c>
      <c r="D87" s="585">
        <f t="shared" si="26"/>
        <v>0</v>
      </c>
      <c r="E87" s="586">
        <f t="shared" si="27"/>
        <v>35.537673387096774</v>
      </c>
      <c r="F87" s="588"/>
      <c r="G87" s="587">
        <f>(C$63+D$63)*$E87</f>
        <v>26.653255040322581</v>
      </c>
      <c r="H87" s="587">
        <f t="shared" ref="H87:I91" si="29">E$63*$E87</f>
        <v>4.6198975403225804</v>
      </c>
      <c r="I87" s="587">
        <f t="shared" si="29"/>
        <v>4.2645208064516131</v>
      </c>
      <c r="O87" s="292"/>
    </row>
    <row r="88" spans="1:17" x14ac:dyDescent="0.2">
      <c r="A88" s="260"/>
      <c r="B88" s="156" t="str">
        <v>LPV/r+3TC+ABC</v>
      </c>
      <c r="C88" s="585">
        <f t="shared" si="25"/>
        <v>52.92</v>
      </c>
      <c r="D88" s="585">
        <f t="shared" si="26"/>
        <v>0</v>
      </c>
      <c r="E88" s="586">
        <f t="shared" si="27"/>
        <v>52.92</v>
      </c>
      <c r="F88" s="587">
        <f t="shared" ref="F88:G91" si="30">C$63*$E88</f>
        <v>13.23</v>
      </c>
      <c r="G88" s="587">
        <f t="shared" si="30"/>
        <v>26.46</v>
      </c>
      <c r="H88" s="587">
        <f t="shared" si="29"/>
        <v>6.8796000000000008</v>
      </c>
      <c r="I88" s="587">
        <f t="shared" si="29"/>
        <v>6.3503999999999996</v>
      </c>
      <c r="O88" s="292"/>
    </row>
    <row r="89" spans="1:17" x14ac:dyDescent="0.2">
      <c r="A89" s="260"/>
      <c r="B89" s="156" t="str">
        <v>ABC+3TC+NVP</v>
      </c>
      <c r="C89" s="585">
        <f t="shared" si="25"/>
        <v>12.922790322580646</v>
      </c>
      <c r="D89" s="585">
        <f t="shared" si="26"/>
        <v>0</v>
      </c>
      <c r="E89" s="586">
        <f t="shared" si="27"/>
        <v>12.922790322580646</v>
      </c>
      <c r="F89" s="587">
        <f t="shared" si="30"/>
        <v>3.2306975806451614</v>
      </c>
      <c r="G89" s="587">
        <f t="shared" si="30"/>
        <v>6.4613951612903229</v>
      </c>
      <c r="H89" s="587">
        <f t="shared" si="29"/>
        <v>1.6799627419354839</v>
      </c>
      <c r="I89" s="587">
        <f t="shared" si="29"/>
        <v>1.5507348387096775</v>
      </c>
      <c r="O89" s="292"/>
    </row>
    <row r="90" spans="1:17" x14ac:dyDescent="0.2">
      <c r="A90" s="260"/>
      <c r="B90" s="1253" t="str">
        <v>AZT+3TC+LPV/r</v>
      </c>
      <c r="C90" s="772">
        <f t="shared" si="25"/>
        <v>754.77116129032265</v>
      </c>
      <c r="D90" s="772">
        <f t="shared" si="26"/>
        <v>0</v>
      </c>
      <c r="E90" s="1276">
        <f t="shared" si="27"/>
        <v>754.77116129032265</v>
      </c>
      <c r="F90" s="777">
        <f t="shared" si="30"/>
        <v>188.69279032258066</v>
      </c>
      <c r="G90" s="777">
        <f t="shared" si="30"/>
        <v>377.38558064516133</v>
      </c>
      <c r="H90" s="777">
        <f t="shared" si="29"/>
        <v>98.120250967741953</v>
      </c>
      <c r="I90" s="777">
        <f t="shared" si="29"/>
        <v>90.57253935483871</v>
      </c>
      <c r="O90" s="292"/>
    </row>
    <row r="91" spans="1:17" x14ac:dyDescent="0.2">
      <c r="A91" s="260"/>
      <c r="B91" s="1948" t="str">
        <v>ABC+3TC+EFV</v>
      </c>
      <c r="C91" s="771">
        <f t="shared" si="25"/>
        <v>50.31839999999999</v>
      </c>
      <c r="D91" s="771" t="e">
        <f>J53</f>
        <v>#DIV/0!</v>
      </c>
      <c r="E91" s="1274" t="e">
        <f t="shared" si="27"/>
        <v>#DIV/0!</v>
      </c>
      <c r="F91" s="1275" t="e">
        <f t="shared" si="30"/>
        <v>#DIV/0!</v>
      </c>
      <c r="G91" s="1275" t="e">
        <f t="shared" si="30"/>
        <v>#DIV/0!</v>
      </c>
      <c r="H91" s="1275" t="e">
        <f t="shared" si="29"/>
        <v>#DIV/0!</v>
      </c>
      <c r="I91" s="1275" t="e">
        <f t="shared" si="29"/>
        <v>#DIV/0!</v>
      </c>
      <c r="O91" s="292"/>
    </row>
    <row r="92" spans="1:17" x14ac:dyDescent="0.2">
      <c r="A92" s="260"/>
      <c r="B92" s="156" t="str">
        <v>TDF+3TC+LPV/r</v>
      </c>
      <c r="C92" s="771">
        <f t="shared" ref="C92:C94" si="31">$D$7*C17</f>
        <v>7.4044799999999995</v>
      </c>
      <c r="D92" s="771" t="e">
        <f t="shared" ref="D92:D94" si="32">J54</f>
        <v>#DIV/0!</v>
      </c>
      <c r="E92" s="1274" t="e">
        <f t="shared" ref="E92:E94" si="33">SUM(C92:D92)</f>
        <v>#DIV/0!</v>
      </c>
      <c r="F92" s="1275" t="e">
        <f t="shared" ref="F92:F94" si="34">C$63*$E92</f>
        <v>#DIV/0!</v>
      </c>
      <c r="G92" s="1275" t="e">
        <f t="shared" ref="G92:G94" si="35">D$63*$E92</f>
        <v>#DIV/0!</v>
      </c>
      <c r="H92" s="1275" t="e">
        <f t="shared" ref="H92:H94" si="36">E$63*$E92</f>
        <v>#DIV/0!</v>
      </c>
      <c r="I92" s="1275" t="e">
        <f t="shared" ref="I92:I94" si="37">F$63*$E92</f>
        <v>#DIV/0!</v>
      </c>
      <c r="O92" s="292"/>
    </row>
    <row r="93" spans="1:17" x14ac:dyDescent="0.2">
      <c r="A93" s="260"/>
      <c r="B93" s="156" t="str">
        <v>AZT+3TC+EFV</v>
      </c>
      <c r="C93" s="771">
        <f t="shared" si="31"/>
        <v>1.8511199999999999</v>
      </c>
      <c r="D93" s="771" t="e">
        <f t="shared" si="32"/>
        <v>#DIV/0!</v>
      </c>
      <c r="E93" s="1274" t="e">
        <f t="shared" si="33"/>
        <v>#DIV/0!</v>
      </c>
      <c r="F93" s="1275" t="e">
        <f t="shared" si="34"/>
        <v>#DIV/0!</v>
      </c>
      <c r="G93" s="1275" t="e">
        <f t="shared" si="35"/>
        <v>#DIV/0!</v>
      </c>
      <c r="H93" s="1275" t="e">
        <f t="shared" si="36"/>
        <v>#DIV/0!</v>
      </c>
      <c r="I93" s="1275" t="e">
        <f t="shared" si="37"/>
        <v>#DIV/0!</v>
      </c>
      <c r="O93" s="292"/>
    </row>
    <row r="94" spans="1:17" ht="13.5" thickBot="1" x14ac:dyDescent="0.25">
      <c r="A94" s="260"/>
      <c r="B94" s="157">
        <v>0</v>
      </c>
      <c r="C94" s="589">
        <f t="shared" si="31"/>
        <v>0</v>
      </c>
      <c r="D94" s="589" t="e">
        <f t="shared" si="32"/>
        <v>#DIV/0!</v>
      </c>
      <c r="E94" s="590" t="e">
        <f t="shared" si="33"/>
        <v>#DIV/0!</v>
      </c>
      <c r="F94" s="591" t="e">
        <f t="shared" si="34"/>
        <v>#DIV/0!</v>
      </c>
      <c r="G94" s="591" t="e">
        <f t="shared" si="35"/>
        <v>#DIV/0!</v>
      </c>
      <c r="H94" s="591" t="e">
        <f t="shared" si="36"/>
        <v>#DIV/0!</v>
      </c>
      <c r="I94" s="591" t="e">
        <f t="shared" si="37"/>
        <v>#DIV/0!</v>
      </c>
      <c r="O94" s="292"/>
    </row>
    <row r="95" spans="1:17" ht="13.5" thickTop="1" x14ac:dyDescent="0.2">
      <c r="A95" s="260"/>
      <c r="B95" s="592"/>
      <c r="C95" s="592"/>
      <c r="D95" s="592"/>
      <c r="E95" s="592"/>
      <c r="O95" s="292"/>
    </row>
    <row r="97" spans="1:17" s="263" customFormat="1" ht="16.5" thickBot="1" x14ac:dyDescent="0.3">
      <c r="A97" s="2177" t="s">
        <v>90</v>
      </c>
      <c r="B97" s="2177"/>
      <c r="C97" s="2177"/>
      <c r="D97" s="2177"/>
      <c r="E97" s="2177"/>
      <c r="F97" s="2177"/>
      <c r="G97" s="2177"/>
      <c r="H97" s="2177"/>
      <c r="I97" s="2177"/>
      <c r="J97" s="2177"/>
      <c r="K97" s="2177"/>
      <c r="L97" s="2177"/>
      <c r="M97" s="2177"/>
      <c r="N97" s="2177"/>
    </row>
    <row r="99" spans="1:17" ht="15" x14ac:dyDescent="0.2">
      <c r="A99" s="260"/>
      <c r="B99" s="2143" t="s">
        <v>132</v>
      </c>
      <c r="C99" s="2143"/>
      <c r="D99" s="2143"/>
      <c r="E99" s="2143"/>
      <c r="F99" s="2143"/>
      <c r="G99" s="2143"/>
      <c r="H99" s="2143"/>
      <c r="I99" s="2143"/>
      <c r="J99" s="2143"/>
      <c r="K99" s="2143"/>
      <c r="L99" s="2143"/>
      <c r="M99" s="2143"/>
      <c r="Q99" s="292"/>
    </row>
    <row r="100" spans="1:17" ht="13.5" thickBot="1" x14ac:dyDescent="0.25"/>
    <row r="101" spans="1:17" ht="40.5" customHeight="1" thickBot="1" x14ac:dyDescent="0.25">
      <c r="A101" s="594"/>
      <c r="C101" s="595" t="s">
        <v>75</v>
      </c>
      <c r="D101" s="2175" t="s">
        <v>91</v>
      </c>
      <c r="E101" s="2176"/>
      <c r="F101" s="2178" t="str">
        <f>'TRAD-Children YEAR(1)'!B48</f>
        <v>Qtés mensuelles</v>
      </c>
      <c r="G101" s="2179"/>
    </row>
    <row r="102" spans="1:17" ht="13.5" thickBot="1" x14ac:dyDescent="0.25">
      <c r="C102" s="596" t="str">
        <f>'TRAD-Children YEAR(1)'!B49</f>
        <v>Posologies</v>
      </c>
      <c r="D102" s="2175" t="str">
        <f>'TRAD-Children YEAR(1)'!B50</f>
        <v>Voir les formes simples</v>
      </c>
      <c r="E102" s="2176"/>
      <c r="F102" s="597" t="str">
        <f>'TRAD-Children YEAR(1)'!B52</f>
        <v>cp</v>
      </c>
      <c r="G102" s="597" t="str">
        <f>'TRAD-Children YEAR(1)'!B53</f>
        <v>boites</v>
      </c>
    </row>
    <row r="103" spans="1:17" ht="12.75" customHeight="1" thickBot="1" x14ac:dyDescent="0.25">
      <c r="C103" s="2187" t="str">
        <f>'TRAD-Children YEAR(1)'!B54</f>
        <v xml:space="preserve">Forme galénique </v>
      </c>
      <c r="D103" s="2175" t="str">
        <f>'TRAD-Children YEAR(1)'!B51</f>
        <v>Cpr, 6 mg d4T,</v>
      </c>
      <c r="E103" s="2176"/>
      <c r="F103" s="2199"/>
      <c r="G103" s="2199"/>
    </row>
    <row r="104" spans="1:17" ht="12.75" customHeight="1" x14ac:dyDescent="0.2">
      <c r="C104" s="2188"/>
      <c r="D104" s="2207" t="s">
        <v>97</v>
      </c>
      <c r="E104" s="2208"/>
      <c r="F104" s="2200"/>
      <c r="G104" s="2200"/>
    </row>
    <row r="105" spans="1:17" ht="13.5" thickBot="1" x14ac:dyDescent="0.25">
      <c r="C105" s="2213"/>
      <c r="D105" s="2197" t="s">
        <v>98</v>
      </c>
      <c r="E105" s="2198"/>
      <c r="F105" s="2201"/>
      <c r="G105" s="2201"/>
    </row>
    <row r="106" spans="1:17" ht="13.5" thickBot="1" x14ac:dyDescent="0.25">
      <c r="C106" s="600" t="str">
        <f>'TRAD-Children YEAR(1)'!B36</f>
        <v>Poids (kg)</v>
      </c>
      <c r="D106" s="601" t="str">
        <f>'TRAD-Children YEAR(1)'!B55</f>
        <v>Matin</v>
      </c>
      <c r="E106" s="601" t="str">
        <f>'TRAD-Children YEAR(1)'!B56</f>
        <v>Soir</v>
      </c>
      <c r="F106" s="602"/>
      <c r="G106" s="602"/>
    </row>
    <row r="107" spans="1:17" x14ac:dyDescent="0.2">
      <c r="C107" s="848" t="s">
        <v>388</v>
      </c>
      <c r="D107" s="844">
        <v>1</v>
      </c>
      <c r="E107" s="844">
        <v>1</v>
      </c>
      <c r="F107" s="845">
        <v>60</v>
      </c>
      <c r="G107" s="845">
        <v>1</v>
      </c>
    </row>
    <row r="108" spans="1:17" x14ac:dyDescent="0.2">
      <c r="C108" s="848" t="s">
        <v>389</v>
      </c>
      <c r="D108" s="844">
        <v>1</v>
      </c>
      <c r="E108" s="844">
        <v>1</v>
      </c>
      <c r="F108" s="845">
        <v>60</v>
      </c>
      <c r="G108" s="845">
        <v>1</v>
      </c>
    </row>
    <row r="109" spans="1:17" x14ac:dyDescent="0.2">
      <c r="C109" s="603" t="s">
        <v>101</v>
      </c>
      <c r="D109" s="844">
        <v>1</v>
      </c>
      <c r="E109" s="844">
        <v>1</v>
      </c>
      <c r="F109" s="845">
        <v>60</v>
      </c>
      <c r="G109" s="845">
        <v>1</v>
      </c>
    </row>
    <row r="110" spans="1:17" x14ac:dyDescent="0.2">
      <c r="C110" s="604" t="s">
        <v>102</v>
      </c>
      <c r="D110" s="844">
        <v>1.5</v>
      </c>
      <c r="E110" s="844">
        <v>1.5</v>
      </c>
      <c r="F110" s="845">
        <v>90</v>
      </c>
      <c r="G110" s="845">
        <v>1.5</v>
      </c>
    </row>
    <row r="111" spans="1:17" x14ac:dyDescent="0.2">
      <c r="C111" s="604" t="s">
        <v>103</v>
      </c>
      <c r="D111" s="844">
        <v>1.5</v>
      </c>
      <c r="E111" s="844">
        <v>1.5</v>
      </c>
      <c r="F111" s="845">
        <v>90</v>
      </c>
      <c r="G111" s="845">
        <v>1.5</v>
      </c>
    </row>
    <row r="112" spans="1:17" x14ac:dyDescent="0.2">
      <c r="C112" s="604" t="s">
        <v>104</v>
      </c>
      <c r="D112" s="844">
        <v>1.5</v>
      </c>
      <c r="E112" s="844">
        <v>1.5</v>
      </c>
      <c r="F112" s="845">
        <v>90</v>
      </c>
      <c r="G112" s="845">
        <v>1.5</v>
      </c>
    </row>
    <row r="113" spans="1:8" x14ac:dyDescent="0.2">
      <c r="C113" s="604" t="s">
        <v>105</v>
      </c>
      <c r="D113" s="845">
        <v>1.5</v>
      </c>
      <c r="E113" s="845">
        <v>1.5</v>
      </c>
      <c r="F113" s="845">
        <v>90</v>
      </c>
      <c r="G113" s="845">
        <v>1.5</v>
      </c>
    </row>
    <row r="114" spans="1:8" x14ac:dyDescent="0.2">
      <c r="C114" s="604" t="s">
        <v>106</v>
      </c>
      <c r="D114" s="844" t="s">
        <v>107</v>
      </c>
      <c r="E114" s="844">
        <v>2</v>
      </c>
      <c r="F114" s="845">
        <v>120</v>
      </c>
      <c r="G114" s="845">
        <v>2</v>
      </c>
    </row>
    <row r="115" spans="1:8" x14ac:dyDescent="0.2">
      <c r="C115" s="604" t="s">
        <v>108</v>
      </c>
      <c r="D115" s="844" t="s">
        <v>107</v>
      </c>
      <c r="E115" s="844">
        <v>2</v>
      </c>
      <c r="F115" s="845">
        <v>120</v>
      </c>
      <c r="G115" s="845">
        <v>2</v>
      </c>
    </row>
    <row r="116" spans="1:8" x14ac:dyDescent="0.2">
      <c r="C116" s="604" t="s">
        <v>109</v>
      </c>
      <c r="D116" s="844" t="s">
        <v>107</v>
      </c>
      <c r="E116" s="844">
        <v>2</v>
      </c>
      <c r="F116" s="845">
        <v>120</v>
      </c>
      <c r="G116" s="845">
        <v>2</v>
      </c>
    </row>
    <row r="117" spans="1:8" x14ac:dyDescent="0.2">
      <c r="C117" s="604" t="s">
        <v>110</v>
      </c>
      <c r="D117" s="844">
        <v>2.5</v>
      </c>
      <c r="E117" s="844">
        <v>2.5</v>
      </c>
      <c r="F117" s="845">
        <v>150</v>
      </c>
      <c r="G117" s="845">
        <v>2.5</v>
      </c>
    </row>
    <row r="118" spans="1:8" x14ac:dyDescent="0.2">
      <c r="C118" s="604" t="s">
        <v>111</v>
      </c>
      <c r="D118" s="844">
        <v>2.5</v>
      </c>
      <c r="E118" s="844">
        <v>2.5</v>
      </c>
      <c r="F118" s="845">
        <v>150</v>
      </c>
      <c r="G118" s="845">
        <v>2.5</v>
      </c>
    </row>
    <row r="119" spans="1:8" x14ac:dyDescent="0.2">
      <c r="C119" s="604" t="s">
        <v>112</v>
      </c>
      <c r="D119" s="844">
        <v>3</v>
      </c>
      <c r="E119" s="844">
        <v>3</v>
      </c>
      <c r="F119" s="845">
        <v>180</v>
      </c>
      <c r="G119" s="845">
        <v>3</v>
      </c>
    </row>
    <row r="120" spans="1:8" x14ac:dyDescent="0.2">
      <c r="C120" s="604" t="s">
        <v>113</v>
      </c>
      <c r="D120" s="844"/>
      <c r="E120" s="844"/>
      <c r="F120" s="845"/>
      <c r="G120" s="845"/>
    </row>
    <row r="121" spans="1:8" ht="13.5" thickBot="1" x14ac:dyDescent="0.25">
      <c r="C121" s="605" t="s">
        <v>114</v>
      </c>
      <c r="D121" s="846"/>
      <c r="E121" s="846"/>
      <c r="F121" s="847"/>
      <c r="G121" s="847"/>
    </row>
    <row r="123" spans="1:8" s="4" customFormat="1" x14ac:dyDescent="0.2">
      <c r="A123" s="3"/>
      <c r="B123" s="3" t="str">
        <f>'TRAD-Children YEAR(1)'!B58</f>
        <v>Si enfants &gt; 15 kg : formes adultes à prendre en compte</v>
      </c>
    </row>
    <row r="125" spans="1:8" ht="13.5" thickBot="1" x14ac:dyDescent="0.25"/>
    <row r="126" spans="1:8" ht="13.5" thickBot="1" x14ac:dyDescent="0.25">
      <c r="A126" s="260"/>
      <c r="B126" s="2202" t="str">
        <f>'TRAD-Children YEAR(1)'!B59</f>
        <v>Initiation du traitement NVP pour les enfants recevant la TRIOMUNE bébé</v>
      </c>
      <c r="C126" s="2203"/>
      <c r="D126" s="2203"/>
      <c r="E126" s="2203"/>
      <c r="F126" s="2204"/>
    </row>
    <row r="127" spans="1:8" ht="13.5" thickBot="1" x14ac:dyDescent="0.25">
      <c r="A127" s="260"/>
      <c r="B127" s="606"/>
      <c r="C127" s="606"/>
      <c r="D127" s="606"/>
      <c r="E127" s="606"/>
      <c r="F127" s="606"/>
    </row>
    <row r="128" spans="1:8" s="1560" customFormat="1" ht="90" thickBot="1" x14ac:dyDescent="0.25">
      <c r="A128" s="543"/>
      <c r="E128" s="368"/>
      <c r="F128" s="369" t="str">
        <f>'TRAD-Children YEAR(1)'!B60</f>
        <v>Qté / enfant</v>
      </c>
      <c r="G128" s="498" t="str">
        <f>'TRAD-Children YEAR(1)'!B61</f>
        <v>Nb total de flacon pour les nouveaux enfants de l'année</v>
      </c>
      <c r="H128" s="498" t="str">
        <f>'TRAD-Children YEAR(1)'!B62</f>
        <v>Nb total de flacon pour les nouveaux enfants sur période AVEC marge sécu</v>
      </c>
    </row>
    <row r="129" spans="1:17" x14ac:dyDescent="0.2">
      <c r="C129" s="260" t="str">
        <f>'TRAD-Children YEAR(1)'!B63</f>
        <v>15 premiers jours</v>
      </c>
      <c r="E129" s="607" t="s">
        <v>61</v>
      </c>
      <c r="F129" s="374" t="str">
        <f>'TRAD-Children YEAR(1)'!B64</f>
        <v>1 flacon</v>
      </c>
      <c r="G129" s="1568">
        <f>IF('Data &amp; hypothesis Children'!$G$111="X", ROUNDUP(F27, 0), 0)</f>
        <v>0</v>
      </c>
      <c r="H129" s="1568">
        <f>IF('Data &amp; hypothesis Children'!$G$111="X", ROUNDUP(G27, 0), 0)</f>
        <v>0</v>
      </c>
    </row>
    <row r="130" spans="1:17" x14ac:dyDescent="0.2">
      <c r="E130" s="608" t="s">
        <v>39</v>
      </c>
      <c r="F130" s="382" t="str">
        <f>'TRAD-Children YEAR(1)'!B64</f>
        <v>1 flacon</v>
      </c>
      <c r="G130" s="1569">
        <f>IF('Data &amp; hypothesis Children'!$G$108="X", ROUNDUP(F28, 0), 0)</f>
        <v>0</v>
      </c>
      <c r="H130" s="1569">
        <f>IF('Data &amp; hypothesis Children'!$G$108="X", ROUNDUP(G28, 0), 0)</f>
        <v>0</v>
      </c>
    </row>
    <row r="131" spans="1:17" x14ac:dyDescent="0.2">
      <c r="B131" s="528"/>
      <c r="E131" s="608" t="s">
        <v>15</v>
      </c>
      <c r="F131" s="382" t="str">
        <f>'TRAD-Children YEAR(1)'!B64</f>
        <v>1 flacon</v>
      </c>
      <c r="G131" s="1569">
        <f>IF('Data &amp; hypothesis Children'!$G$108="X", ROUNDUP(F28, 0), 0)+IF('Data &amp; hypothesis Children'!$G$111="X", ROUNDUP(F27, 0), 0)</f>
        <v>0</v>
      </c>
      <c r="H131" s="1569">
        <f>IF('Data &amp; hypothesis Children'!$G$108="X", ROUNDUP(G28, 0), 0)+IF('Data &amp; hypothesis Children'!$G$111="X", ROUNDUP(G27, 0), 0)</f>
        <v>0</v>
      </c>
    </row>
    <row r="132" spans="1:17" ht="13.5" thickBot="1" x14ac:dyDescent="0.25">
      <c r="B132" s="528"/>
      <c r="E132" s="609" t="s">
        <v>19</v>
      </c>
      <c r="F132" s="424" t="str">
        <f>'TRAD-Children YEAR(1)'!B64</f>
        <v>1 flacon</v>
      </c>
      <c r="G132" s="1570">
        <f>IF(OR('Data &amp; hypothesis Children'!$G$107="X", 'Data &amp; hypothesis Children'!$G$108="X"), ROUNDUP(F28, 0), 0)+IF(OR('Data &amp; hypothesis Children'!$G$110="X", 'Data &amp; hypothesis Children'!$G$111="X"), ROUNDUP(F27, 0), 0)</f>
        <v>0</v>
      </c>
      <c r="H132" s="1570">
        <f>IF(OR('Data &amp; hypothesis Children'!$G$107="X", 'Data &amp; hypothesis Children'!$G$108="X"), ROUNDUP(G28, 0), 0)+IF(OR('Data &amp; hypothesis Children'!$G$110="X", 'Data &amp; hypothesis Children'!$G$111="X"), ROUNDUP(G27, 0), 0)</f>
        <v>0</v>
      </c>
    </row>
    <row r="133" spans="1:17" x14ac:dyDescent="0.2">
      <c r="B133" s="528"/>
      <c r="E133" s="608" t="s">
        <v>50</v>
      </c>
      <c r="F133" s="382" t="s">
        <v>723</v>
      </c>
      <c r="G133" s="1569">
        <f>IF('Data &amp; hypothesis Children'!$G$109="X", ROUNDUP(F27*0.25, 0), 0)</f>
        <v>0</v>
      </c>
      <c r="H133" s="1569">
        <f>IF('Data &amp; hypothesis Children'!$G$109="X", ROUNDUP(G27*0.25, 0), 0)</f>
        <v>0</v>
      </c>
    </row>
    <row r="134" spans="1:17" x14ac:dyDescent="0.2">
      <c r="B134" s="528"/>
      <c r="E134" s="608" t="s">
        <v>81</v>
      </c>
      <c r="F134" s="382" t="s">
        <v>744</v>
      </c>
      <c r="G134" s="1569">
        <f>IF('Data &amp; hypothesis Children'!$G$109="X", ROUNDUP(F27*0.25, 0), 0)+IF('Data &amp; hypothesis Children'!$G$110="X", ROUNDUP(F27*0.5, 0), 0)</f>
        <v>0</v>
      </c>
      <c r="H134" s="1569">
        <f>IF('Data &amp; hypothesis Children'!$G$109="X", ROUNDUP(G27*0.25, 0), 0)+IF('Data &amp; hypothesis Children'!$G$110="X", ROUNDUP(G27*0.5, 0), 0)</f>
        <v>0</v>
      </c>
    </row>
    <row r="135" spans="1:17" x14ac:dyDescent="0.2">
      <c r="B135" s="528"/>
      <c r="E135" s="608" t="s">
        <v>7</v>
      </c>
      <c r="F135" s="382" t="s">
        <v>723</v>
      </c>
      <c r="G135" s="1569">
        <f>IF('Data &amp; hypothesis Children'!$G$106="X", ROUNDUP(F28*0.25, 0), 0)</f>
        <v>0</v>
      </c>
      <c r="H135" s="1569">
        <f>IF('Data &amp; hypothesis Children'!$G$106="X", ROUNDUP(G28*0.25, 0), 0)</f>
        <v>0</v>
      </c>
    </row>
    <row r="136" spans="1:17" ht="13.5" thickBot="1" x14ac:dyDescent="0.25">
      <c r="B136" s="528"/>
      <c r="E136" s="609" t="s">
        <v>11</v>
      </c>
      <c r="F136" s="424" t="s">
        <v>723</v>
      </c>
      <c r="G136" s="1570">
        <f>IF('Data &amp; hypothesis Children'!$G$106="X", ROUNDUP(F28*0.25, 0), 0)+IF('Data &amp; hypothesis Children'!$G$107="X", ROUNDUP(F28*0.5, 0), 0)</f>
        <v>0</v>
      </c>
      <c r="H136" s="1570">
        <f>IF('Data &amp; hypothesis Children'!$G$106="X", ROUNDUP(G28*0.25, 0), 0)+IF('Data &amp; hypothesis Children'!$G$107="X", ROUNDUP(G28*0.5, 0), 0)</f>
        <v>0</v>
      </c>
    </row>
    <row r="138" spans="1:17" ht="15" x14ac:dyDescent="0.2">
      <c r="A138" s="260"/>
      <c r="B138" s="2143" t="str">
        <f>'TRAD-Children YEAR(1)'!B66</f>
        <v>Autres schémas (1ères et 2èmes lignes)</v>
      </c>
      <c r="C138" s="2143"/>
      <c r="D138" s="2143"/>
      <c r="E138" s="2143"/>
      <c r="F138" s="2143"/>
      <c r="G138" s="2143"/>
      <c r="H138" s="2143"/>
      <c r="I138" s="2143"/>
      <c r="J138" s="2143"/>
      <c r="K138" s="2143"/>
      <c r="L138" s="2143"/>
      <c r="M138" s="2143"/>
      <c r="Q138" s="292"/>
    </row>
    <row r="139" spans="1:17" ht="13.5" thickBot="1" x14ac:dyDescent="0.25">
      <c r="F139" s="497"/>
      <c r="G139" s="497"/>
    </row>
    <row r="140" spans="1:17" ht="51.75" thickBot="1" x14ac:dyDescent="0.25">
      <c r="C140" s="368" t="str">
        <f>'TRAD-Children YEAR(1)'!B67</f>
        <v>Composition</v>
      </c>
      <c r="D140" s="369" t="str">
        <f>'TRAD-Children YEAR(1)'!B54</f>
        <v xml:space="preserve">Forme galénique </v>
      </c>
      <c r="E140" s="369" t="str">
        <f>'TRAD-Children YEAR(1)'!B68</f>
        <v>Dosage</v>
      </c>
      <c r="F140" s="369" t="str">
        <f>'TRAD-Children YEAR(1)'!B69</f>
        <v>Nom de spécialité</v>
      </c>
      <c r="G140" s="369" t="str">
        <f>'TRAD-Children YEAR(1)'!B70</f>
        <v>Volume conditionnement primaire (mL)</v>
      </c>
      <c r="H140" s="369" t="str">
        <f>'TRAD-Children YEAR(1)'!B71</f>
        <v>Conditionement secondaire</v>
      </c>
      <c r="I140" s="610" t="str">
        <f>'TRAD-Children YEAR(1)'!B72</f>
        <v>Qtés de patients - mois</v>
      </c>
    </row>
    <row r="141" spans="1:17" x14ac:dyDescent="0.2">
      <c r="C141" s="607" t="s">
        <v>39</v>
      </c>
      <c r="D141" s="611" t="s">
        <v>40</v>
      </c>
      <c r="E141" s="611" t="s">
        <v>41</v>
      </c>
      <c r="F141" s="374" t="s">
        <v>42</v>
      </c>
      <c r="G141" s="1428">
        <f>'Available Stocks'!$K$55</f>
        <v>240</v>
      </c>
      <c r="H141" s="374">
        <f>'Available Stocks'!L55</f>
        <v>1</v>
      </c>
      <c r="I141" s="612"/>
    </row>
    <row r="142" spans="1:17" x14ac:dyDescent="0.2">
      <c r="C142" s="608" t="s">
        <v>61</v>
      </c>
      <c r="D142" s="613" t="s">
        <v>40</v>
      </c>
      <c r="E142" s="613" t="s">
        <v>41</v>
      </c>
      <c r="F142" s="382"/>
      <c r="G142" s="1429">
        <f>'Available Stocks'!$K$56</f>
        <v>240</v>
      </c>
      <c r="H142" s="382">
        <f>'Available Stocks'!L56</f>
        <v>1</v>
      </c>
      <c r="I142" s="614"/>
    </row>
    <row r="143" spans="1:17" x14ac:dyDescent="0.2">
      <c r="C143" s="615" t="s">
        <v>15</v>
      </c>
      <c r="D143" s="616" t="s">
        <v>40</v>
      </c>
      <c r="E143" s="616" t="s">
        <v>41</v>
      </c>
      <c r="F143" s="391" t="s">
        <v>43</v>
      </c>
      <c r="G143" s="1430">
        <f>'Available Stocks'!$K$57</f>
        <v>240</v>
      </c>
      <c r="H143" s="391">
        <f>'Available Stocks'!L57</f>
        <v>1</v>
      </c>
      <c r="I143" s="617"/>
    </row>
    <row r="144" spans="1:17" x14ac:dyDescent="0.2">
      <c r="C144" s="615" t="s">
        <v>25</v>
      </c>
      <c r="D144" s="616" t="s">
        <v>40</v>
      </c>
      <c r="E144" s="616" t="s">
        <v>44</v>
      </c>
      <c r="F144" s="391" t="s">
        <v>26</v>
      </c>
      <c r="G144" s="1430">
        <f>'Available Stocks'!$K$58</f>
        <v>240</v>
      </c>
      <c r="H144" s="391">
        <f>'Available Stocks'!L58</f>
        <v>1</v>
      </c>
      <c r="I144" s="617"/>
    </row>
    <row r="145" spans="2:9" x14ac:dyDescent="0.2">
      <c r="C145" s="615" t="s">
        <v>28</v>
      </c>
      <c r="D145" s="616" t="s">
        <v>45</v>
      </c>
      <c r="E145" s="616" t="s">
        <v>46</v>
      </c>
      <c r="F145" s="391" t="s">
        <v>30</v>
      </c>
      <c r="G145" s="1430">
        <f>'Available Stocks'!$K$59</f>
        <v>200</v>
      </c>
      <c r="H145" s="391">
        <f>'Available Stocks'!L59</f>
        <v>1</v>
      </c>
      <c r="I145" s="617"/>
    </row>
    <row r="146" spans="2:9" x14ac:dyDescent="0.2">
      <c r="C146" s="615" t="s">
        <v>19</v>
      </c>
      <c r="D146" s="616" t="s">
        <v>40</v>
      </c>
      <c r="E146" s="616" t="s">
        <v>41</v>
      </c>
      <c r="F146" s="391" t="s">
        <v>21</v>
      </c>
      <c r="G146" s="1430">
        <f>'Available Stocks'!$K$60</f>
        <v>240</v>
      </c>
      <c r="H146" s="391">
        <f>'Available Stocks'!L60</f>
        <v>1</v>
      </c>
      <c r="I146" s="617"/>
    </row>
    <row r="147" spans="2:9" x14ac:dyDescent="0.2">
      <c r="C147" s="618" t="s">
        <v>17</v>
      </c>
      <c r="D147" s="619" t="s">
        <v>40</v>
      </c>
      <c r="E147" s="619" t="s">
        <v>259</v>
      </c>
      <c r="F147" s="400" t="s">
        <v>249</v>
      </c>
      <c r="G147" s="1431">
        <f>'Available Stocks'!$K$61</f>
        <v>180</v>
      </c>
      <c r="H147" s="400">
        <f>'Available Stocks'!L61</f>
        <v>1</v>
      </c>
      <c r="I147" s="620"/>
    </row>
    <row r="148" spans="2:9" ht="13.5" thickBot="1" x14ac:dyDescent="0.25">
      <c r="C148" s="609" t="s">
        <v>33</v>
      </c>
      <c r="D148" s="621" t="s">
        <v>40</v>
      </c>
      <c r="E148" s="621" t="s">
        <v>47</v>
      </c>
      <c r="F148" s="424" t="s">
        <v>48</v>
      </c>
      <c r="G148" s="1432">
        <f>'Available Stocks'!$K$62</f>
        <v>60</v>
      </c>
      <c r="H148" s="424">
        <f>'Available Stocks'!L62</f>
        <v>4</v>
      </c>
      <c r="I148" s="622"/>
    </row>
    <row r="149" spans="2:9" ht="13.5" thickBot="1" x14ac:dyDescent="0.25">
      <c r="B149" s="623"/>
      <c r="C149" s="624"/>
      <c r="D149" s="624"/>
      <c r="E149" s="623"/>
      <c r="F149" s="623"/>
      <c r="G149" s="623"/>
      <c r="H149" s="623"/>
    </row>
    <row r="150" spans="2:9" ht="13.5" thickBot="1" x14ac:dyDescent="0.25">
      <c r="B150" s="2165" t="str">
        <f>'TRAD-Children YEAR(1)'!B75</f>
        <v>Si enfant de 6 - 7 kg (pris en compte pour la tranche 3 - 9,9 kg)</v>
      </c>
      <c r="C150" s="2166"/>
      <c r="D150" s="2166"/>
      <c r="E150" s="2166"/>
      <c r="F150" s="2166"/>
      <c r="G150" s="2166"/>
      <c r="H150" s="2167"/>
    </row>
    <row r="151" spans="2:9" ht="13.5" thickBot="1" x14ac:dyDescent="0.25">
      <c r="B151" s="625"/>
      <c r="C151" s="624"/>
      <c r="D151" s="624"/>
      <c r="E151" s="623"/>
      <c r="F151" s="623"/>
      <c r="G151" s="623"/>
      <c r="H151" s="623"/>
    </row>
    <row r="152" spans="2:9" ht="39" thickBot="1" x14ac:dyDescent="0.25">
      <c r="C152" s="368"/>
      <c r="D152" s="369" t="str">
        <f>'TRAD-Children YEAR(1)'!B76</f>
        <v>volume (mL) / jour</v>
      </c>
      <c r="E152" s="369" t="str">
        <f>'TRAD-Children YEAR(1)'!B77</f>
        <v>volume (mL) / mois</v>
      </c>
      <c r="F152" s="369" t="str">
        <f>'TRAD-Children YEAR(1)'!B78</f>
        <v>volume flacon (mL)</v>
      </c>
      <c r="G152" s="369" t="str">
        <f>'TRAD-Children YEAR(1)'!B79</f>
        <v>nb de flacons / mois</v>
      </c>
      <c r="H152" s="369" t="str">
        <f>'TRAD-Children YEAR(1)'!B80</f>
        <v>nb de flacons / mois arrondi</v>
      </c>
      <c r="I152" s="369" t="str">
        <f>'TRAD-Children YEAR(1)'!B81</f>
        <v>reste (mL)</v>
      </c>
    </row>
    <row r="153" spans="2:9" x14ac:dyDescent="0.2">
      <c r="C153" s="607" t="s">
        <v>39</v>
      </c>
      <c r="D153" s="1434">
        <f>'Data &amp; hypothesis Children'!D195</f>
        <v>18</v>
      </c>
      <c r="E153" s="626">
        <f t="shared" ref="E153:E160" si="38">D153*30</f>
        <v>540</v>
      </c>
      <c r="F153" s="1428">
        <f>'Available Stocks'!$K$55</f>
        <v>240</v>
      </c>
      <c r="G153" s="627">
        <f t="shared" ref="G153:G160" si="39">E153/F153</f>
        <v>2.25</v>
      </c>
      <c r="H153" s="627">
        <f t="shared" ref="H153:H160" si="40">ROUNDUP(E153/F153, 0)</f>
        <v>3</v>
      </c>
      <c r="I153" s="628">
        <f t="shared" ref="I153:I160" si="41">H153*F153-E153</f>
        <v>180</v>
      </c>
    </row>
    <row r="154" spans="2:9" x14ac:dyDescent="0.2">
      <c r="C154" s="615" t="s">
        <v>61</v>
      </c>
      <c r="D154" s="1435">
        <f>'Data &amp; hypothesis Children'!D196</f>
        <v>14</v>
      </c>
      <c r="E154" s="629">
        <f t="shared" si="38"/>
        <v>420</v>
      </c>
      <c r="F154" s="1429">
        <f>'Available Stocks'!$K$56</f>
        <v>240</v>
      </c>
      <c r="G154" s="630">
        <f t="shared" si="39"/>
        <v>1.75</v>
      </c>
      <c r="H154" s="630">
        <f t="shared" si="40"/>
        <v>2</v>
      </c>
      <c r="I154" s="631">
        <f t="shared" si="41"/>
        <v>60</v>
      </c>
    </row>
    <row r="155" spans="2:9" x14ac:dyDescent="0.2">
      <c r="C155" s="615" t="s">
        <v>15</v>
      </c>
      <c r="D155" s="1435">
        <f>'Data &amp; hypothesis Children'!D197</f>
        <v>8</v>
      </c>
      <c r="E155" s="629">
        <f t="shared" si="38"/>
        <v>240</v>
      </c>
      <c r="F155" s="1430">
        <f>'Available Stocks'!$K$57</f>
        <v>240</v>
      </c>
      <c r="G155" s="630">
        <f t="shared" si="39"/>
        <v>1</v>
      </c>
      <c r="H155" s="630">
        <f t="shared" si="40"/>
        <v>1</v>
      </c>
      <c r="I155" s="631">
        <f t="shared" si="41"/>
        <v>0</v>
      </c>
    </row>
    <row r="156" spans="2:9" x14ac:dyDescent="0.2">
      <c r="C156" s="615" t="s">
        <v>25</v>
      </c>
      <c r="D156" s="1435">
        <f>'Data &amp; hypothesis Children'!D198</f>
        <v>6</v>
      </c>
      <c r="E156" s="629">
        <f t="shared" si="38"/>
        <v>180</v>
      </c>
      <c r="F156" s="1430">
        <f>'Available Stocks'!$K$58</f>
        <v>240</v>
      </c>
      <c r="G156" s="630">
        <f t="shared" si="39"/>
        <v>0.75</v>
      </c>
      <c r="H156" s="630">
        <f t="shared" si="40"/>
        <v>1</v>
      </c>
      <c r="I156" s="631">
        <f t="shared" si="41"/>
        <v>60</v>
      </c>
    </row>
    <row r="157" spans="2:9" x14ac:dyDescent="0.2">
      <c r="C157" s="615" t="s">
        <v>28</v>
      </c>
      <c r="D157" s="1435">
        <f>'Data &amp; hypothesis Children'!D199</f>
        <v>10</v>
      </c>
      <c r="E157" s="629">
        <f t="shared" si="38"/>
        <v>300</v>
      </c>
      <c r="F157" s="1430">
        <f>'Available Stocks'!$K$59</f>
        <v>200</v>
      </c>
      <c r="G157" s="632">
        <f t="shared" si="39"/>
        <v>1.5</v>
      </c>
      <c r="H157" s="632">
        <f t="shared" si="40"/>
        <v>2</v>
      </c>
      <c r="I157" s="633">
        <f t="shared" si="41"/>
        <v>100</v>
      </c>
    </row>
    <row r="158" spans="2:9" x14ac:dyDescent="0.2">
      <c r="C158" s="634" t="s">
        <v>19</v>
      </c>
      <c r="D158" s="1435">
        <f>'Data &amp; hypothesis Children'!D200</f>
        <v>14</v>
      </c>
      <c r="E158" s="629">
        <f t="shared" si="38"/>
        <v>420</v>
      </c>
      <c r="F158" s="1430">
        <f>'Available Stocks'!$K$60</f>
        <v>240</v>
      </c>
      <c r="G158" s="630">
        <f t="shared" si="39"/>
        <v>1.75</v>
      </c>
      <c r="H158" s="630">
        <f t="shared" si="40"/>
        <v>2</v>
      </c>
      <c r="I158" s="631">
        <f t="shared" si="41"/>
        <v>60</v>
      </c>
    </row>
    <row r="159" spans="2:9" x14ac:dyDescent="0.2">
      <c r="C159" s="634" t="s">
        <v>17</v>
      </c>
      <c r="D159" s="1435">
        <f>'Data &amp; hypothesis Children'!D201</f>
        <v>0</v>
      </c>
      <c r="E159" s="629">
        <f t="shared" si="38"/>
        <v>0</v>
      </c>
      <c r="F159" s="1431">
        <f>'Available Stocks'!$K$61</f>
        <v>180</v>
      </c>
      <c r="G159" s="630">
        <f t="shared" si="39"/>
        <v>0</v>
      </c>
      <c r="H159" s="630">
        <f t="shared" si="40"/>
        <v>0</v>
      </c>
      <c r="I159" s="631">
        <f t="shared" si="41"/>
        <v>0</v>
      </c>
    </row>
    <row r="160" spans="2:9" ht="13.5" thickBot="1" x14ac:dyDescent="0.25">
      <c r="C160" s="609" t="s">
        <v>33</v>
      </c>
      <c r="D160" s="1436">
        <f>'Data &amp; hypothesis Children'!D202</f>
        <v>3</v>
      </c>
      <c r="E160" s="635">
        <f t="shared" si="38"/>
        <v>90</v>
      </c>
      <c r="F160" s="1432">
        <f>'Available Stocks'!$K$62</f>
        <v>60</v>
      </c>
      <c r="G160" s="636">
        <f t="shared" si="39"/>
        <v>1.5</v>
      </c>
      <c r="H160" s="636">
        <f t="shared" si="40"/>
        <v>2</v>
      </c>
      <c r="I160" s="637">
        <f t="shared" si="41"/>
        <v>30</v>
      </c>
    </row>
    <row r="161" spans="2:9" x14ac:dyDescent="0.2">
      <c r="B161" s="623"/>
      <c r="C161" s="624"/>
      <c r="D161" s="624"/>
      <c r="E161" s="623"/>
      <c r="F161" s="623"/>
      <c r="G161" s="623"/>
      <c r="H161" s="623"/>
    </row>
    <row r="162" spans="2:9" ht="13.5" thickBot="1" x14ac:dyDescent="0.25">
      <c r="B162" s="623"/>
      <c r="C162" s="624"/>
      <c r="D162" s="624"/>
      <c r="E162" s="623"/>
      <c r="F162" s="623"/>
      <c r="G162" s="623"/>
      <c r="H162" s="623"/>
    </row>
    <row r="163" spans="2:9" ht="13.5" thickBot="1" x14ac:dyDescent="0.25">
      <c r="B163" s="2165" t="str">
        <f>'TRAD-Children YEAR(1)'!B82</f>
        <v>Si enfant de 12 - 14 kg (pris en compte pour la tranche 10 - 14,9 kg)</v>
      </c>
      <c r="C163" s="2166"/>
      <c r="D163" s="2166"/>
      <c r="E163" s="2166"/>
      <c r="F163" s="2166"/>
      <c r="G163" s="2166"/>
      <c r="H163" s="2167"/>
    </row>
    <row r="164" spans="2:9" ht="13.5" thickBot="1" x14ac:dyDescent="0.25">
      <c r="B164" s="623"/>
      <c r="C164" s="624"/>
      <c r="D164" s="624"/>
      <c r="E164" s="623"/>
      <c r="F164" s="623"/>
      <c r="G164" s="623"/>
      <c r="H164" s="623"/>
    </row>
    <row r="165" spans="2:9" ht="39" thickBot="1" x14ac:dyDescent="0.25">
      <c r="C165" s="368"/>
      <c r="D165" s="369" t="str">
        <f>'TRAD-Children YEAR(1)'!B76</f>
        <v>volume (mL) / jour</v>
      </c>
      <c r="E165" s="369" t="str">
        <f>'TRAD-Children YEAR(1)'!B77</f>
        <v>volume (mL) / mois</v>
      </c>
      <c r="F165" s="369" t="str">
        <f>'TRAD-Children YEAR(1)'!B78</f>
        <v>volume flacon (mL)</v>
      </c>
      <c r="G165" s="369" t="str">
        <f>'TRAD-Children YEAR(1)'!B79</f>
        <v>nb de flacons / mois</v>
      </c>
      <c r="H165" s="369" t="str">
        <f>'TRAD-Children YEAR(1)'!B80</f>
        <v>nb de flacons / mois arrondi</v>
      </c>
      <c r="I165" s="369" t="str">
        <f>'TRAD-Children YEAR(1)'!B81</f>
        <v>reste (mL)</v>
      </c>
    </row>
    <row r="166" spans="2:9" x14ac:dyDescent="0.2">
      <c r="C166" s="607" t="s">
        <v>39</v>
      </c>
      <c r="D166" s="1434">
        <f>'Data &amp; hypothesis Children'!D210</f>
        <v>24</v>
      </c>
      <c r="E166" s="626">
        <f t="shared" ref="E166:E173" si="42">D166*30</f>
        <v>720</v>
      </c>
      <c r="F166" s="1428">
        <f>'Available Stocks'!$K$55</f>
        <v>240</v>
      </c>
      <c r="G166" s="627">
        <f t="shared" ref="G166:G173" si="43">E166/F166</f>
        <v>3</v>
      </c>
      <c r="H166" s="627">
        <f t="shared" ref="H166:H173" si="44">ROUNDUP(E166/F166, 0)</f>
        <v>3</v>
      </c>
      <c r="I166" s="628">
        <f t="shared" ref="I166:I173" si="45">H166*F166-E166</f>
        <v>0</v>
      </c>
    </row>
    <row r="167" spans="2:9" x14ac:dyDescent="0.2">
      <c r="C167" s="615" t="s">
        <v>61</v>
      </c>
      <c r="D167" s="1435">
        <f>'Data &amp; hypothesis Children'!D211</f>
        <v>24</v>
      </c>
      <c r="E167" s="629">
        <f t="shared" si="42"/>
        <v>720</v>
      </c>
      <c r="F167" s="1429">
        <f>'Available Stocks'!$K$56</f>
        <v>240</v>
      </c>
      <c r="G167" s="630">
        <f t="shared" si="43"/>
        <v>3</v>
      </c>
      <c r="H167" s="630">
        <f t="shared" si="44"/>
        <v>3</v>
      </c>
      <c r="I167" s="631">
        <f t="shared" si="45"/>
        <v>0</v>
      </c>
    </row>
    <row r="168" spans="2:9" x14ac:dyDescent="0.2">
      <c r="C168" s="615" t="s">
        <v>15</v>
      </c>
      <c r="D168" s="1435">
        <f>'Data &amp; hypothesis Children'!D212</f>
        <v>12</v>
      </c>
      <c r="E168" s="629">
        <f t="shared" si="42"/>
        <v>360</v>
      </c>
      <c r="F168" s="1430">
        <f>'Available Stocks'!$K$57</f>
        <v>240</v>
      </c>
      <c r="G168" s="630">
        <f t="shared" si="43"/>
        <v>1.5</v>
      </c>
      <c r="H168" s="630">
        <f t="shared" si="44"/>
        <v>2</v>
      </c>
      <c r="I168" s="631">
        <f t="shared" si="45"/>
        <v>120</v>
      </c>
    </row>
    <row r="169" spans="2:9" x14ac:dyDescent="0.2">
      <c r="C169" s="615" t="s">
        <v>25</v>
      </c>
      <c r="D169" s="1435">
        <f>'Data &amp; hypothesis Children'!D213</f>
        <v>12</v>
      </c>
      <c r="E169" s="629">
        <f t="shared" si="42"/>
        <v>360</v>
      </c>
      <c r="F169" s="1430">
        <f>'Available Stocks'!$K$58</f>
        <v>240</v>
      </c>
      <c r="G169" s="630">
        <f t="shared" si="43"/>
        <v>1.5</v>
      </c>
      <c r="H169" s="630">
        <f t="shared" si="44"/>
        <v>2</v>
      </c>
      <c r="I169" s="631">
        <f t="shared" si="45"/>
        <v>120</v>
      </c>
    </row>
    <row r="170" spans="2:9" x14ac:dyDescent="0.2">
      <c r="C170" s="615" t="s">
        <v>28</v>
      </c>
      <c r="D170" s="1435">
        <f>'Data &amp; hypothesis Children'!D214</f>
        <v>14</v>
      </c>
      <c r="E170" s="629">
        <f t="shared" si="42"/>
        <v>420</v>
      </c>
      <c r="F170" s="1430">
        <f>'Available Stocks'!$K$59</f>
        <v>200</v>
      </c>
      <c r="G170" s="632">
        <f t="shared" si="43"/>
        <v>2.1</v>
      </c>
      <c r="H170" s="632">
        <f t="shared" si="44"/>
        <v>3</v>
      </c>
      <c r="I170" s="633">
        <f t="shared" si="45"/>
        <v>180</v>
      </c>
    </row>
    <row r="171" spans="2:9" x14ac:dyDescent="0.2">
      <c r="C171" s="634" t="s">
        <v>19</v>
      </c>
      <c r="D171" s="1435">
        <f>'Data &amp; hypothesis Children'!D215</f>
        <v>20</v>
      </c>
      <c r="E171" s="629">
        <f t="shared" si="42"/>
        <v>600</v>
      </c>
      <c r="F171" s="1430">
        <f>'Available Stocks'!$K$60</f>
        <v>240</v>
      </c>
      <c r="G171" s="630">
        <f t="shared" si="43"/>
        <v>2.5</v>
      </c>
      <c r="H171" s="630">
        <f t="shared" si="44"/>
        <v>3</v>
      </c>
      <c r="I171" s="631">
        <f t="shared" si="45"/>
        <v>120</v>
      </c>
    </row>
    <row r="172" spans="2:9" x14ac:dyDescent="0.2">
      <c r="C172" s="634" t="s">
        <v>17</v>
      </c>
      <c r="D172" s="1435">
        <f>'Data &amp; hypothesis Children'!D216</f>
        <v>7</v>
      </c>
      <c r="E172" s="629">
        <f t="shared" si="42"/>
        <v>210</v>
      </c>
      <c r="F172" s="1431">
        <f>'Available Stocks'!$K$61</f>
        <v>180</v>
      </c>
      <c r="G172" s="630">
        <f>E172/F172</f>
        <v>1.1666666666666667</v>
      </c>
      <c r="H172" s="630">
        <f>ROUNDUP(E172/F172, 0)</f>
        <v>2</v>
      </c>
      <c r="I172" s="631">
        <f t="shared" si="45"/>
        <v>150</v>
      </c>
    </row>
    <row r="173" spans="2:9" ht="13.5" thickBot="1" x14ac:dyDescent="0.25">
      <c r="C173" s="609" t="s">
        <v>33</v>
      </c>
      <c r="D173" s="1436">
        <f>'Data &amp; hypothesis Children'!D217</f>
        <v>4</v>
      </c>
      <c r="E173" s="635">
        <f t="shared" si="42"/>
        <v>120</v>
      </c>
      <c r="F173" s="1432">
        <f>'Available Stocks'!$K$62</f>
        <v>60</v>
      </c>
      <c r="G173" s="636">
        <f t="shared" si="43"/>
        <v>2</v>
      </c>
      <c r="H173" s="636">
        <f t="shared" si="44"/>
        <v>2</v>
      </c>
      <c r="I173" s="637">
        <f t="shared" si="45"/>
        <v>0</v>
      </c>
    </row>
    <row r="174" spans="2:9" x14ac:dyDescent="0.2">
      <c r="B174" s="623"/>
      <c r="C174" s="624"/>
      <c r="D174" s="624"/>
      <c r="E174" s="623"/>
      <c r="F174" s="623"/>
      <c r="G174" s="623"/>
      <c r="H174" s="623"/>
    </row>
    <row r="175" spans="2:9" ht="13.5" thickBot="1" x14ac:dyDescent="0.25"/>
    <row r="176" spans="2:9" ht="13.5" thickBot="1" x14ac:dyDescent="0.25">
      <c r="B176" s="2165" t="str">
        <f>'TRAD-Children YEAR(1)'!B83</f>
        <v>Si enfant de 15 - 19,9 kg (pris en compte pour la tranche 17 - 19,9 kg)</v>
      </c>
      <c r="C176" s="2166"/>
      <c r="D176" s="2166"/>
      <c r="E176" s="2166"/>
      <c r="F176" s="2166"/>
      <c r="G176" s="2166"/>
      <c r="H176" s="2167"/>
    </row>
    <row r="177" spans="2:9" ht="13.5" thickBot="1" x14ac:dyDescent="0.25">
      <c r="B177" s="623"/>
      <c r="C177" s="624"/>
      <c r="D177" s="624"/>
      <c r="E177" s="623"/>
      <c r="F177" s="623"/>
      <c r="G177" s="623"/>
      <c r="H177" s="623"/>
    </row>
    <row r="178" spans="2:9" ht="39" thickBot="1" x14ac:dyDescent="0.25">
      <c r="C178" s="368"/>
      <c r="D178" s="369" t="str">
        <f>'TRAD-Children YEAR(1)'!B76</f>
        <v>volume (mL) / jour</v>
      </c>
      <c r="E178" s="369" t="str">
        <f>'TRAD-Children YEAR(1)'!B77</f>
        <v>volume (mL) / mois</v>
      </c>
      <c r="F178" s="369" t="str">
        <f>'TRAD-Children YEAR(1)'!B78</f>
        <v>volume flacon (mL)</v>
      </c>
      <c r="G178" s="369" t="s">
        <v>215</v>
      </c>
      <c r="H178" s="369" t="str">
        <f>'TRAD-Children YEAR(1)'!B80</f>
        <v>nb de flacons / mois arrondi</v>
      </c>
      <c r="I178" s="369" t="str">
        <f>'TRAD-Children YEAR(1)'!B81</f>
        <v>reste (mL)</v>
      </c>
    </row>
    <row r="179" spans="2:9" x14ac:dyDescent="0.2">
      <c r="C179" s="607" t="s">
        <v>39</v>
      </c>
      <c r="D179" s="1434">
        <f>'Data &amp; hypothesis Children'!D223</f>
        <v>30</v>
      </c>
      <c r="E179" s="626">
        <f t="shared" ref="E179:E186" si="46">D179*30</f>
        <v>900</v>
      </c>
      <c r="F179" s="1428">
        <f>'Available Stocks'!$K$55</f>
        <v>240</v>
      </c>
      <c r="G179" s="627">
        <f t="shared" ref="G179:G184" si="47">E179/F179</f>
        <v>3.75</v>
      </c>
      <c r="H179" s="627">
        <f t="shared" ref="H179:H184" si="48">ROUNDUP(E179/F179, 0)</f>
        <v>4</v>
      </c>
      <c r="I179" s="628">
        <f t="shared" ref="I179:I186" si="49">H179*F179-E179</f>
        <v>60</v>
      </c>
    </row>
    <row r="180" spans="2:9" x14ac:dyDescent="0.2">
      <c r="C180" s="615" t="s">
        <v>61</v>
      </c>
      <c r="D180" s="1435">
        <f>'Data &amp; hypothesis Children'!D224</f>
        <v>30</v>
      </c>
      <c r="E180" s="629">
        <f t="shared" si="46"/>
        <v>900</v>
      </c>
      <c r="F180" s="1429">
        <f>'Available Stocks'!$K$56</f>
        <v>240</v>
      </c>
      <c r="G180" s="630">
        <f t="shared" si="47"/>
        <v>3.75</v>
      </c>
      <c r="H180" s="630">
        <f t="shared" si="48"/>
        <v>4</v>
      </c>
      <c r="I180" s="631">
        <f t="shared" si="49"/>
        <v>60</v>
      </c>
    </row>
    <row r="181" spans="2:9" x14ac:dyDescent="0.2">
      <c r="C181" s="615" t="s">
        <v>15</v>
      </c>
      <c r="D181" s="1435">
        <f>'Data &amp; hypothesis Children'!D225</f>
        <v>15</v>
      </c>
      <c r="E181" s="629">
        <f t="shared" si="46"/>
        <v>450</v>
      </c>
      <c r="F181" s="1430">
        <f>'Available Stocks'!$K$57</f>
        <v>240</v>
      </c>
      <c r="G181" s="630">
        <f t="shared" si="47"/>
        <v>1.875</v>
      </c>
      <c r="H181" s="630">
        <f t="shared" si="48"/>
        <v>2</v>
      </c>
      <c r="I181" s="631">
        <f t="shared" si="49"/>
        <v>30</v>
      </c>
    </row>
    <row r="182" spans="2:9" x14ac:dyDescent="0.2">
      <c r="C182" s="615" t="s">
        <v>25</v>
      </c>
      <c r="D182" s="1435">
        <f>'Data &amp; hypothesis Children'!D226</f>
        <v>15</v>
      </c>
      <c r="E182" s="629">
        <f t="shared" si="46"/>
        <v>450</v>
      </c>
      <c r="F182" s="1430">
        <f>'Available Stocks'!$K$58</f>
        <v>240</v>
      </c>
      <c r="G182" s="630">
        <f t="shared" si="47"/>
        <v>1.875</v>
      </c>
      <c r="H182" s="630">
        <f t="shared" si="48"/>
        <v>2</v>
      </c>
      <c r="I182" s="631">
        <f t="shared" si="49"/>
        <v>30</v>
      </c>
    </row>
    <row r="183" spans="2:9" x14ac:dyDescent="0.2">
      <c r="C183" s="615" t="s">
        <v>28</v>
      </c>
      <c r="D183" s="1435">
        <f>'Data &amp; hypothesis Children'!D227</f>
        <v>20</v>
      </c>
      <c r="E183" s="629">
        <f t="shared" si="46"/>
        <v>600</v>
      </c>
      <c r="F183" s="1430">
        <f>'Available Stocks'!$K$59</f>
        <v>200</v>
      </c>
      <c r="G183" s="632">
        <f t="shared" si="47"/>
        <v>3</v>
      </c>
      <c r="H183" s="632">
        <f t="shared" si="48"/>
        <v>3</v>
      </c>
      <c r="I183" s="633">
        <f t="shared" si="49"/>
        <v>0</v>
      </c>
    </row>
    <row r="184" spans="2:9" x14ac:dyDescent="0.2">
      <c r="C184" s="634" t="s">
        <v>19</v>
      </c>
      <c r="D184" s="1435">
        <f>'Data &amp; hypothesis Children'!D228</f>
        <v>24</v>
      </c>
      <c r="E184" s="629">
        <f t="shared" si="46"/>
        <v>720</v>
      </c>
      <c r="F184" s="1430">
        <f>'Available Stocks'!$K$60</f>
        <v>240</v>
      </c>
      <c r="G184" s="630">
        <f t="shared" si="47"/>
        <v>3</v>
      </c>
      <c r="H184" s="630">
        <f t="shared" si="48"/>
        <v>3</v>
      </c>
      <c r="I184" s="631">
        <f t="shared" si="49"/>
        <v>0</v>
      </c>
    </row>
    <row r="185" spans="2:9" x14ac:dyDescent="0.2">
      <c r="C185" s="634" t="s">
        <v>17</v>
      </c>
      <c r="D185" s="1435">
        <f>'Data &amp; hypothesis Children'!D229</f>
        <v>13</v>
      </c>
      <c r="E185" s="629">
        <f t="shared" si="46"/>
        <v>390</v>
      </c>
      <c r="F185" s="1431">
        <f>'Available Stocks'!$K$61</f>
        <v>180</v>
      </c>
      <c r="G185" s="630">
        <f>E185/F185</f>
        <v>2.1666666666666665</v>
      </c>
      <c r="H185" s="630">
        <f>ROUNDUP(E185/F185, 0)</f>
        <v>3</v>
      </c>
      <c r="I185" s="631">
        <f t="shared" si="49"/>
        <v>150</v>
      </c>
    </row>
    <row r="186" spans="2:9" ht="13.5" thickBot="1" x14ac:dyDescent="0.25">
      <c r="C186" s="609" t="s">
        <v>33</v>
      </c>
      <c r="D186" s="1436">
        <f>'Data &amp; hypothesis Children'!D230</f>
        <v>5</v>
      </c>
      <c r="E186" s="635">
        <f t="shared" si="46"/>
        <v>150</v>
      </c>
      <c r="F186" s="1432">
        <f>'Available Stocks'!$K$62</f>
        <v>60</v>
      </c>
      <c r="G186" s="636">
        <f t="shared" ref="G186" si="50">E186/F186</f>
        <v>2.5</v>
      </c>
      <c r="H186" s="636">
        <f t="shared" ref="H186" si="51">ROUNDUP(E186/F186, 0)</f>
        <v>3</v>
      </c>
      <c r="I186" s="637">
        <f t="shared" si="49"/>
        <v>30</v>
      </c>
    </row>
    <row r="188" spans="2:9" ht="13.5" thickBot="1" x14ac:dyDescent="0.25"/>
    <row r="189" spans="2:9" ht="13.5" thickBot="1" x14ac:dyDescent="0.25">
      <c r="B189" s="2184" t="str">
        <f>'TRAD-Children YEAR(1)'!B84</f>
        <v>Si enfant &gt; 15 kg pouvant recevoir des formes adultes</v>
      </c>
      <c r="C189" s="2185"/>
      <c r="D189" s="2185"/>
      <c r="E189" s="2185"/>
      <c r="F189" s="2185"/>
      <c r="G189" s="2185"/>
      <c r="H189" s="2186"/>
    </row>
    <row r="191" spans="2:9" ht="13.5" thickBot="1" x14ac:dyDescent="0.25">
      <c r="D191" s="2168" t="str">
        <f>'TRAD-Children YEAR(1)'!B86</f>
        <v>Poids envisagés</v>
      </c>
      <c r="E191" s="2168"/>
      <c r="F191" s="2168"/>
      <c r="G191" s="2168"/>
    </row>
    <row r="192" spans="2:9" ht="13.5" thickBot="1" x14ac:dyDescent="0.25">
      <c r="C192" s="368" t="str">
        <f>'TRAD-Children YEAR(1)'!B85</f>
        <v>Formes adultes</v>
      </c>
      <c r="E192" s="838" t="s">
        <v>206</v>
      </c>
      <c r="F192" s="838" t="s">
        <v>207</v>
      </c>
      <c r="G192" s="838" t="s">
        <v>208</v>
      </c>
      <c r="H192" s="838" t="s">
        <v>112</v>
      </c>
    </row>
    <row r="193" spans="3:10" ht="13.5" customHeight="1" thickBot="1" x14ac:dyDescent="0.25">
      <c r="C193" s="2181" t="str">
        <f>'TRAD-Children YEAR(1)'!B87</f>
        <v>Nb de boites / mois / patient</v>
      </c>
      <c r="D193" s="2182"/>
      <c r="E193" s="2182"/>
      <c r="F193" s="2182"/>
      <c r="G193" s="2183"/>
    </row>
    <row r="194" spans="3:10" x14ac:dyDescent="0.2">
      <c r="C194" s="849" t="str">
        <f t="array" ref="C194:H216">'Data &amp; hypothesis Children'!$C$238:$H$260</f>
        <v>AZT+ 3TC+ NVP adulte</v>
      </c>
      <c r="D194" s="1172" t="str">
        <v>300/150/200 mg</v>
      </c>
      <c r="E194" s="1433">
        <v>0</v>
      </c>
      <c r="F194" s="1433">
        <v>0</v>
      </c>
      <c r="G194" s="1433">
        <v>1</v>
      </c>
      <c r="H194" s="1433">
        <v>1</v>
      </c>
      <c r="I194" s="849"/>
      <c r="J194" s="1172"/>
    </row>
    <row r="195" spans="3:10" x14ac:dyDescent="0.2">
      <c r="C195" s="849" t="str">
        <v>AZT+ 3TC+ NVP bébé</v>
      </c>
      <c r="D195" s="1172" t="str">
        <v>60/30/50 mg</v>
      </c>
      <c r="E195" s="1433">
        <v>1.5</v>
      </c>
      <c r="F195" s="1433">
        <v>2</v>
      </c>
      <c r="G195" s="1433">
        <v>2.5</v>
      </c>
      <c r="H195" s="1433">
        <v>3</v>
      </c>
      <c r="I195" s="639"/>
      <c r="J195" s="1172"/>
    </row>
    <row r="196" spans="3:10" x14ac:dyDescent="0.2">
      <c r="C196" s="849" t="str">
        <v>AZT+ 3TC adulte</v>
      </c>
      <c r="D196" s="1172" t="str">
        <v>300/150 mg</v>
      </c>
      <c r="E196" s="1433">
        <v>0</v>
      </c>
      <c r="F196" s="1433">
        <v>0</v>
      </c>
      <c r="G196" s="1433">
        <v>1</v>
      </c>
      <c r="H196" s="1433">
        <v>1</v>
      </c>
      <c r="I196" s="849"/>
      <c r="J196" s="1172"/>
    </row>
    <row r="197" spans="3:10" x14ac:dyDescent="0.2">
      <c r="C197" s="849" t="str">
        <v>AZT+ 3TC bébé</v>
      </c>
      <c r="D197" s="1172" t="str">
        <v>60/30 mg</v>
      </c>
      <c r="E197" s="1433">
        <v>1.5</v>
      </c>
      <c r="F197" s="1433">
        <v>2</v>
      </c>
      <c r="G197" s="1433">
        <v>2.5</v>
      </c>
      <c r="H197" s="1433">
        <v>3</v>
      </c>
      <c r="I197" s="849"/>
      <c r="J197" s="1172"/>
    </row>
    <row r="198" spans="3:10" x14ac:dyDescent="0.2">
      <c r="C198" s="849" t="str">
        <v>D4T+ 3TC+ NVP adulte</v>
      </c>
      <c r="D198" s="1172" t="str">
        <v>30/150/200 mg</v>
      </c>
      <c r="E198" s="1433">
        <v>0</v>
      </c>
      <c r="F198" s="1433">
        <v>0</v>
      </c>
      <c r="G198" s="1433">
        <v>1</v>
      </c>
      <c r="H198" s="1433">
        <v>1</v>
      </c>
      <c r="I198" s="639"/>
      <c r="J198" s="1172"/>
    </row>
    <row r="199" spans="3:10" x14ac:dyDescent="0.2">
      <c r="C199" s="849" t="str">
        <v>D4T+ 3TC+ NVP bébé</v>
      </c>
      <c r="D199" s="1172" t="str">
        <v>6/30/50 mg</v>
      </c>
      <c r="E199" s="1433">
        <v>1.5</v>
      </c>
      <c r="F199" s="1433">
        <v>2</v>
      </c>
      <c r="G199" s="1433">
        <v>2.5</v>
      </c>
      <c r="H199" s="1433">
        <v>3</v>
      </c>
      <c r="I199" s="638"/>
      <c r="J199" s="1172"/>
    </row>
    <row r="200" spans="3:10" x14ac:dyDescent="0.2">
      <c r="C200" s="849" t="str">
        <v>D4T+ 3TC bébé</v>
      </c>
      <c r="D200" s="1172" t="str">
        <v>6/30 mg</v>
      </c>
      <c r="E200" s="1433">
        <v>1.5</v>
      </c>
      <c r="F200" s="1433">
        <v>2</v>
      </c>
      <c r="G200" s="1433">
        <v>2.5</v>
      </c>
      <c r="H200" s="1433">
        <v>3</v>
      </c>
      <c r="I200" s="638"/>
      <c r="J200" s="1172"/>
    </row>
    <row r="201" spans="3:10" x14ac:dyDescent="0.2">
      <c r="C201" s="849" t="str">
        <v>AZT+ 3TC+ ABC adulte</v>
      </c>
      <c r="D201" s="1172" t="str">
        <v>300/150/300 mg</v>
      </c>
      <c r="E201" s="1433">
        <v>0</v>
      </c>
      <c r="F201" s="1433">
        <v>0</v>
      </c>
      <c r="G201" s="1433">
        <v>1</v>
      </c>
      <c r="H201" s="1433">
        <v>1</v>
      </c>
      <c r="I201" s="849"/>
      <c r="J201" s="1172"/>
    </row>
    <row r="202" spans="3:10" x14ac:dyDescent="0.2">
      <c r="C202" s="849" t="str">
        <v>AZT+ 3TC+ ABC bébé</v>
      </c>
      <c r="D202" s="1172" t="str">
        <v>60/30/60 mg</v>
      </c>
      <c r="E202" s="1433">
        <v>1.5</v>
      </c>
      <c r="F202" s="1433">
        <v>2</v>
      </c>
      <c r="G202" s="1433">
        <v>2.5</v>
      </c>
      <c r="H202" s="1433">
        <v>3</v>
      </c>
      <c r="I202" s="849"/>
      <c r="J202" s="1172"/>
    </row>
    <row r="203" spans="3:10" x14ac:dyDescent="0.2">
      <c r="C203" s="849" t="str">
        <v>ABC+ 3TC adulte</v>
      </c>
      <c r="D203" s="1172" t="str">
        <v>600/300 mg</v>
      </c>
      <c r="E203" s="1433">
        <v>0</v>
      </c>
      <c r="F203" s="1433">
        <v>0</v>
      </c>
      <c r="G203" s="1433">
        <v>1</v>
      </c>
      <c r="H203" s="1433">
        <v>1</v>
      </c>
      <c r="I203" s="849"/>
      <c r="J203" s="1172"/>
    </row>
    <row r="204" spans="3:10" x14ac:dyDescent="0.2">
      <c r="C204" s="849" t="str">
        <v>ABC+ 3TC bébé</v>
      </c>
      <c r="D204" s="1172" t="str">
        <v>60/30 mg</v>
      </c>
      <c r="E204" s="1433">
        <v>1.5</v>
      </c>
      <c r="F204" s="1433">
        <v>2</v>
      </c>
      <c r="G204" s="1433">
        <v>2.5</v>
      </c>
      <c r="H204" s="1433">
        <v>3</v>
      </c>
      <c r="I204" s="849"/>
      <c r="J204" s="1172"/>
    </row>
    <row r="205" spans="3:10" x14ac:dyDescent="0.2">
      <c r="C205" s="849" t="str">
        <v>TDF+ FTC/3TC+ EFV adulte</v>
      </c>
      <c r="D205" s="1172" t="str">
        <v>300/200/600 mg</v>
      </c>
      <c r="E205" s="1433">
        <v>0</v>
      </c>
      <c r="F205" s="1433">
        <v>0</v>
      </c>
      <c r="G205" s="1433">
        <v>0</v>
      </c>
      <c r="H205" s="1433">
        <v>1</v>
      </c>
      <c r="I205" s="849"/>
      <c r="J205" s="1172"/>
    </row>
    <row r="206" spans="3:10" x14ac:dyDescent="0.2">
      <c r="C206" s="849" t="str">
        <v>TDF+ FTC/3TC adulte</v>
      </c>
      <c r="D206" s="1172" t="str">
        <v>300/200 mg</v>
      </c>
      <c r="E206" s="1433">
        <v>0</v>
      </c>
      <c r="F206" s="1433">
        <v>0</v>
      </c>
      <c r="G206" s="1433">
        <v>0</v>
      </c>
      <c r="H206" s="1433">
        <v>1</v>
      </c>
      <c r="I206" s="849"/>
      <c r="J206" s="1172"/>
    </row>
    <row r="207" spans="3:10" x14ac:dyDescent="0.2">
      <c r="C207" s="849" t="str">
        <v>TDF adulte</v>
      </c>
      <c r="D207" s="1172" t="str">
        <v>300 mg</v>
      </c>
      <c r="E207" s="1433">
        <v>0</v>
      </c>
      <c r="F207" s="1433">
        <v>0</v>
      </c>
      <c r="G207" s="1433">
        <v>0</v>
      </c>
      <c r="H207" s="1433">
        <v>1</v>
      </c>
      <c r="I207" s="849"/>
      <c r="J207" s="1172"/>
    </row>
    <row r="208" spans="3:10" x14ac:dyDescent="0.2">
      <c r="C208" s="849" t="str">
        <v>3TC adulte</v>
      </c>
      <c r="D208" s="1172" t="str">
        <v>150 mg</v>
      </c>
      <c r="E208" s="1433">
        <v>0</v>
      </c>
      <c r="F208" s="1433">
        <v>0</v>
      </c>
      <c r="G208" s="1433">
        <v>0.5</v>
      </c>
      <c r="H208" s="1433">
        <v>1</v>
      </c>
      <c r="I208" s="849"/>
      <c r="J208" s="1172"/>
    </row>
    <row r="209" spans="1:17" x14ac:dyDescent="0.2">
      <c r="C209" s="849" t="str">
        <v>ABC adulte</v>
      </c>
      <c r="D209" s="1172" t="str">
        <v>300 mg</v>
      </c>
      <c r="E209" s="1433">
        <v>0</v>
      </c>
      <c r="F209" s="1433">
        <v>0</v>
      </c>
      <c r="G209" s="1433">
        <v>0.5</v>
      </c>
      <c r="H209" s="1433">
        <v>1</v>
      </c>
      <c r="I209" s="849"/>
      <c r="J209" s="1172"/>
    </row>
    <row r="210" spans="1:17" x14ac:dyDescent="0.2">
      <c r="C210" s="849" t="str">
        <v>ABC bébé</v>
      </c>
      <c r="D210" s="1172" t="str">
        <v>60 mg</v>
      </c>
      <c r="E210" s="1433">
        <v>1.5</v>
      </c>
      <c r="F210" s="1433">
        <v>2</v>
      </c>
      <c r="G210" s="1433">
        <v>2.5</v>
      </c>
      <c r="H210" s="1433">
        <v>3</v>
      </c>
      <c r="I210" s="849"/>
      <c r="J210" s="1172"/>
    </row>
    <row r="211" spans="1:17" x14ac:dyDescent="0.2">
      <c r="C211" s="849" t="str">
        <v>DDI adulte</v>
      </c>
      <c r="D211" s="1172" t="str">
        <v>250 mg</v>
      </c>
      <c r="E211" s="1433">
        <v>0</v>
      </c>
      <c r="F211" s="1433">
        <v>0</v>
      </c>
      <c r="G211" s="1433">
        <v>0</v>
      </c>
      <c r="H211" s="1433">
        <v>1</v>
      </c>
      <c r="I211" s="849"/>
      <c r="J211" s="1172"/>
    </row>
    <row r="212" spans="1:17" x14ac:dyDescent="0.2">
      <c r="C212" s="850" t="str">
        <v>NVP adulte</v>
      </c>
      <c r="D212" s="1172" t="str">
        <v>200 mg</v>
      </c>
      <c r="E212" s="1433">
        <v>0</v>
      </c>
      <c r="F212" s="1433">
        <v>0</v>
      </c>
      <c r="G212" s="1433">
        <v>0.75</v>
      </c>
      <c r="H212" s="1433">
        <v>1</v>
      </c>
      <c r="I212" s="850"/>
      <c r="J212" s="1172"/>
    </row>
    <row r="213" spans="1:17" x14ac:dyDescent="0.2">
      <c r="C213" s="850" t="str">
        <v>NVP bébé</v>
      </c>
      <c r="D213" s="1172" t="str">
        <v>50 mg</v>
      </c>
      <c r="E213" s="1433">
        <v>1.5</v>
      </c>
      <c r="F213" s="1433">
        <v>2</v>
      </c>
      <c r="G213" s="1433">
        <v>2.5</v>
      </c>
      <c r="H213" s="1433">
        <v>3</v>
      </c>
      <c r="I213" s="850"/>
      <c r="J213" s="1172"/>
    </row>
    <row r="214" spans="1:17" x14ac:dyDescent="0.2">
      <c r="C214" s="850" t="str">
        <v>EFV enfant</v>
      </c>
      <c r="D214" s="1172" t="str">
        <v>200 mg</v>
      </c>
      <c r="E214" s="1433">
        <v>0</v>
      </c>
      <c r="F214" s="1433">
        <v>1</v>
      </c>
      <c r="G214" s="1433">
        <v>1.5</v>
      </c>
      <c r="H214" s="1433">
        <v>1.5</v>
      </c>
      <c r="I214" s="850"/>
      <c r="J214" s="1172"/>
    </row>
    <row r="215" spans="1:17" x14ac:dyDescent="0.2">
      <c r="C215" s="849" t="str">
        <v>LPV/r adulte</v>
      </c>
      <c r="D215" s="1172" t="str">
        <v>200/50 mg</v>
      </c>
      <c r="E215" s="1433">
        <v>0</v>
      </c>
      <c r="F215" s="1433">
        <v>0</v>
      </c>
      <c r="G215" s="1433">
        <v>0.5</v>
      </c>
      <c r="H215" s="1433">
        <v>0.5</v>
      </c>
      <c r="I215" s="849"/>
      <c r="J215" s="1172"/>
    </row>
    <row r="216" spans="1:17" ht="13.5" thickBot="1" x14ac:dyDescent="0.25">
      <c r="C216" s="849" t="str">
        <v>LPV/r enfant</v>
      </c>
      <c r="D216" s="1190" t="str">
        <v>100/25 mg</v>
      </c>
      <c r="E216" s="1433">
        <v>0</v>
      </c>
      <c r="F216" s="1433">
        <v>1.5</v>
      </c>
      <c r="G216" s="1433">
        <v>2</v>
      </c>
      <c r="H216" s="1433">
        <v>2</v>
      </c>
      <c r="I216" s="851"/>
      <c r="J216" s="1190"/>
    </row>
    <row r="217" spans="1:17" x14ac:dyDescent="0.2">
      <c r="C217" s="1356"/>
      <c r="D217" s="1357"/>
      <c r="E217" s="1357"/>
      <c r="F217" s="1357"/>
      <c r="G217" s="1357"/>
    </row>
    <row r="219" spans="1:17" s="1279" customFormat="1" ht="14.25" x14ac:dyDescent="0.2">
      <c r="B219" s="1343" t="str">
        <f>'TRAD-Children YEAR(1)'!B110</f>
        <v>Récapitulatif</v>
      </c>
      <c r="C219" s="1343"/>
      <c r="D219" s="1343"/>
      <c r="E219" s="1343"/>
      <c r="F219" s="1343"/>
      <c r="G219" s="1344"/>
      <c r="H219" s="1344"/>
      <c r="I219" s="1344"/>
      <c r="J219" s="1344"/>
      <c r="K219" s="1344"/>
      <c r="L219" s="1344"/>
      <c r="M219" s="1344"/>
      <c r="Q219" s="1345"/>
    </row>
    <row r="220" spans="1:17" s="1281" customFormat="1" x14ac:dyDescent="0.2">
      <c r="A220" s="1280"/>
    </row>
    <row r="221" spans="1:17" s="1281" customFormat="1" ht="13.5" thickBot="1" x14ac:dyDescent="0.25">
      <c r="A221" s="1280"/>
      <c r="D221" s="2180" t="str">
        <f>'TRAD-Children YEAR(1)'!B86</f>
        <v>Poids envisagés</v>
      </c>
      <c r="E221" s="2180"/>
      <c r="F221" s="2180"/>
      <c r="G221" s="2180"/>
    </row>
    <row r="222" spans="1:17" s="1281" customFormat="1" ht="13.5" thickBot="1" x14ac:dyDescent="0.25">
      <c r="A222" s="1280"/>
      <c r="C222" s="1346" t="str">
        <f>'TRAD-Children YEAR(1)'!B85</f>
        <v>Formes adultes</v>
      </c>
      <c r="D222" s="1347" t="s">
        <v>654</v>
      </c>
      <c r="E222" s="1347" t="s">
        <v>207</v>
      </c>
      <c r="F222" s="1347" t="s">
        <v>208</v>
      </c>
      <c r="G222" s="1348" t="s">
        <v>112</v>
      </c>
    </row>
    <row r="223" spans="1:17" s="1281" customFormat="1" ht="13.5" thickBot="1" x14ac:dyDescent="0.25">
      <c r="A223" s="1280"/>
      <c r="C223" s="2193" t="str">
        <f>'TRAD-Children YEAR(1)'!B87</f>
        <v>Nb de boites / mois / patient</v>
      </c>
      <c r="D223" s="2194"/>
      <c r="E223" s="2194"/>
      <c r="F223" s="2194"/>
      <c r="G223" s="2195"/>
    </row>
    <row r="224" spans="1:17" s="1281" customFormat="1" ht="13.5" thickBot="1" x14ac:dyDescent="0.25">
      <c r="A224" s="1280"/>
      <c r="B224" s="1396" t="str">
        <f>'TRAD-Children YEAR(1)'!B90</f>
        <v>Solutions buvables</v>
      </c>
      <c r="C224" s="1349" t="s">
        <v>39</v>
      </c>
      <c r="D224" s="1350">
        <f>G153</f>
        <v>2.25</v>
      </c>
      <c r="E224" s="1294">
        <f>G166</f>
        <v>3</v>
      </c>
      <c r="F224" s="1350">
        <f>G179</f>
        <v>3.75</v>
      </c>
      <c r="G224" s="1351"/>
    </row>
    <row r="225" spans="1:9" s="1281" customFormat="1" x14ac:dyDescent="0.2">
      <c r="A225" s="1280"/>
      <c r="C225" s="1352" t="s">
        <v>61</v>
      </c>
      <c r="D225" s="1350">
        <f t="shared" ref="D225:D231" si="52">G154</f>
        <v>1.75</v>
      </c>
      <c r="E225" s="1294">
        <f t="shared" ref="E225:E231" si="53">G167</f>
        <v>3</v>
      </c>
      <c r="F225" s="1350">
        <f t="shared" ref="F225:F231" si="54">G180</f>
        <v>3.75</v>
      </c>
      <c r="G225" s="1295"/>
    </row>
    <row r="226" spans="1:9" s="1281" customFormat="1" x14ac:dyDescent="0.2">
      <c r="A226" s="1280"/>
      <c r="C226" s="1349" t="s">
        <v>15</v>
      </c>
      <c r="D226" s="1350">
        <f t="shared" si="52"/>
        <v>1</v>
      </c>
      <c r="E226" s="1294">
        <f t="shared" si="53"/>
        <v>1.5</v>
      </c>
      <c r="F226" s="1350">
        <f t="shared" si="54"/>
        <v>1.875</v>
      </c>
      <c r="G226" s="1351"/>
    </row>
    <row r="227" spans="1:9" s="1281" customFormat="1" x14ac:dyDescent="0.2">
      <c r="A227" s="1280"/>
      <c r="C227" s="1349" t="s">
        <v>25</v>
      </c>
      <c r="D227" s="1350">
        <f t="shared" si="52"/>
        <v>0.75</v>
      </c>
      <c r="E227" s="1294">
        <f t="shared" si="53"/>
        <v>1.5</v>
      </c>
      <c r="F227" s="1350">
        <f t="shared" si="54"/>
        <v>1.875</v>
      </c>
      <c r="G227" s="1351"/>
    </row>
    <row r="228" spans="1:9" s="1281" customFormat="1" x14ac:dyDescent="0.2">
      <c r="A228" s="1280"/>
      <c r="C228" s="1349" t="s">
        <v>28</v>
      </c>
      <c r="D228" s="1350">
        <f t="shared" si="52"/>
        <v>1.5</v>
      </c>
      <c r="E228" s="1294">
        <f t="shared" si="53"/>
        <v>2.1</v>
      </c>
      <c r="F228" s="1350">
        <f t="shared" si="54"/>
        <v>3</v>
      </c>
      <c r="G228" s="1351"/>
    </row>
    <row r="229" spans="1:9" s="1281" customFormat="1" x14ac:dyDescent="0.2">
      <c r="A229" s="1280"/>
      <c r="C229" s="1349" t="s">
        <v>19</v>
      </c>
      <c r="D229" s="1350">
        <f t="shared" si="52"/>
        <v>1.75</v>
      </c>
      <c r="E229" s="1294">
        <f t="shared" si="53"/>
        <v>2.5</v>
      </c>
      <c r="F229" s="1350">
        <f t="shared" si="54"/>
        <v>3</v>
      </c>
      <c r="G229" s="1351"/>
    </row>
    <row r="230" spans="1:9" s="1281" customFormat="1" x14ac:dyDescent="0.2">
      <c r="A230" s="1280"/>
      <c r="C230" s="1349" t="s">
        <v>17</v>
      </c>
      <c r="D230" s="1353"/>
      <c r="E230" s="1294">
        <f t="shared" si="53"/>
        <v>1.1666666666666667</v>
      </c>
      <c r="F230" s="1350">
        <f t="shared" si="54"/>
        <v>2.1666666666666665</v>
      </c>
      <c r="G230" s="1351">
        <v>2.5</v>
      </c>
    </row>
    <row r="231" spans="1:9" s="1281" customFormat="1" ht="13.5" thickBot="1" x14ac:dyDescent="0.25">
      <c r="A231" s="1280"/>
      <c r="C231" s="1402" t="s">
        <v>33</v>
      </c>
      <c r="D231" s="1403">
        <f t="shared" si="52"/>
        <v>1.5</v>
      </c>
      <c r="E231" s="1354">
        <f t="shared" si="53"/>
        <v>2</v>
      </c>
      <c r="F231" s="1350">
        <f t="shared" si="54"/>
        <v>2.5</v>
      </c>
      <c r="G231" s="1355">
        <v>3</v>
      </c>
    </row>
    <row r="232" spans="1:9" s="1281" customFormat="1" ht="13.5" thickBot="1" x14ac:dyDescent="0.25">
      <c r="A232" s="1280"/>
      <c r="B232" s="1396" t="str">
        <f>'TRAD-Children YEAR(1)'!B91</f>
        <v>Comprimés</v>
      </c>
      <c r="C232" s="849" t="str">
        <f t="array" ref="C232:C254">C194:C216</f>
        <v>AZT+ 3TC+ NVP adulte</v>
      </c>
      <c r="D232" s="1294">
        <f t="array" ref="D232:G254">E194:H216</f>
        <v>0</v>
      </c>
      <c r="E232" s="1294">
        <v>0</v>
      </c>
      <c r="F232" s="1294">
        <v>1</v>
      </c>
      <c r="G232" s="1294">
        <v>1</v>
      </c>
      <c r="H232" s="849"/>
      <c r="I232" s="1172"/>
    </row>
    <row r="233" spans="1:9" s="1281" customFormat="1" x14ac:dyDescent="0.2">
      <c r="A233" s="1280"/>
      <c r="C233" s="849" t="str">
        <v>AZT+ 3TC+ NVP bébé</v>
      </c>
      <c r="D233" s="1294">
        <v>1.5</v>
      </c>
      <c r="E233" s="1294">
        <v>2</v>
      </c>
      <c r="F233" s="1294">
        <v>2.5</v>
      </c>
      <c r="G233" s="1294">
        <v>3</v>
      </c>
      <c r="H233" s="639"/>
      <c r="I233" s="1172"/>
    </row>
    <row r="234" spans="1:9" s="1281" customFormat="1" x14ac:dyDescent="0.2">
      <c r="A234" s="1280"/>
      <c r="C234" s="849" t="str">
        <v>AZT+ 3TC adulte</v>
      </c>
      <c r="D234" s="1294">
        <v>0</v>
      </c>
      <c r="E234" s="1294">
        <v>0</v>
      </c>
      <c r="F234" s="1294">
        <v>1</v>
      </c>
      <c r="G234" s="1294">
        <v>1</v>
      </c>
      <c r="H234" s="849"/>
      <c r="I234" s="1172"/>
    </row>
    <row r="235" spans="1:9" s="1281" customFormat="1" x14ac:dyDescent="0.2">
      <c r="A235" s="1280"/>
      <c r="C235" s="849" t="str">
        <v>AZT+ 3TC bébé</v>
      </c>
      <c r="D235" s="1294">
        <v>1.5</v>
      </c>
      <c r="E235" s="1294">
        <v>2</v>
      </c>
      <c r="F235" s="1294">
        <v>2.5</v>
      </c>
      <c r="G235" s="1294">
        <v>3</v>
      </c>
      <c r="H235" s="849"/>
      <c r="I235" s="1172"/>
    </row>
    <row r="236" spans="1:9" s="1281" customFormat="1" x14ac:dyDescent="0.2">
      <c r="A236" s="1280"/>
      <c r="C236" s="849" t="str">
        <v>D4T+ 3TC+ NVP adulte</v>
      </c>
      <c r="D236" s="1294">
        <v>0</v>
      </c>
      <c r="E236" s="1294">
        <v>0</v>
      </c>
      <c r="F236" s="1294">
        <v>1</v>
      </c>
      <c r="G236" s="1294">
        <v>1</v>
      </c>
      <c r="H236" s="639"/>
      <c r="I236" s="1172"/>
    </row>
    <row r="237" spans="1:9" s="1281" customFormat="1" x14ac:dyDescent="0.2">
      <c r="A237" s="1280"/>
      <c r="C237" s="849" t="str">
        <v>D4T+ 3TC+ NVP bébé</v>
      </c>
      <c r="D237" s="1294">
        <v>1.5</v>
      </c>
      <c r="E237" s="1294">
        <v>2</v>
      </c>
      <c r="F237" s="1294">
        <v>2.5</v>
      </c>
      <c r="G237" s="1294">
        <v>3</v>
      </c>
      <c r="H237" s="638"/>
      <c r="I237" s="1172"/>
    </row>
    <row r="238" spans="1:9" s="1281" customFormat="1" x14ac:dyDescent="0.2">
      <c r="A238" s="1280"/>
      <c r="C238" s="849" t="str">
        <v>D4T+ 3TC bébé</v>
      </c>
      <c r="D238" s="1294">
        <v>1.5</v>
      </c>
      <c r="E238" s="1294">
        <v>2</v>
      </c>
      <c r="F238" s="1294">
        <v>2.5</v>
      </c>
      <c r="G238" s="1294">
        <v>3</v>
      </c>
      <c r="H238" s="638"/>
      <c r="I238" s="1172"/>
    </row>
    <row r="239" spans="1:9" s="1281" customFormat="1" x14ac:dyDescent="0.2">
      <c r="A239" s="1280"/>
      <c r="C239" s="849" t="str">
        <v>AZT+ 3TC+ ABC adulte</v>
      </c>
      <c r="D239" s="1294">
        <v>0</v>
      </c>
      <c r="E239" s="1294">
        <v>0</v>
      </c>
      <c r="F239" s="1294">
        <v>1</v>
      </c>
      <c r="G239" s="1294">
        <v>1</v>
      </c>
      <c r="H239" s="849"/>
      <c r="I239" s="1172"/>
    </row>
    <row r="240" spans="1:9" s="1281" customFormat="1" x14ac:dyDescent="0.2">
      <c r="A240" s="1280"/>
      <c r="C240" s="849" t="str">
        <v>AZT+ 3TC+ ABC bébé</v>
      </c>
      <c r="D240" s="1294">
        <v>1.5</v>
      </c>
      <c r="E240" s="1294">
        <v>2</v>
      </c>
      <c r="F240" s="1294">
        <v>2.5</v>
      </c>
      <c r="G240" s="1294">
        <v>3</v>
      </c>
      <c r="H240" s="849"/>
      <c r="I240" s="1172"/>
    </row>
    <row r="241" spans="1:9" s="1281" customFormat="1" x14ac:dyDescent="0.2">
      <c r="A241" s="1280"/>
      <c r="C241" s="849" t="str">
        <v>ABC+ 3TC adulte</v>
      </c>
      <c r="D241" s="1294">
        <v>0</v>
      </c>
      <c r="E241" s="1294">
        <v>0</v>
      </c>
      <c r="F241" s="1294">
        <v>1</v>
      </c>
      <c r="G241" s="1294">
        <v>1</v>
      </c>
      <c r="H241" s="849"/>
      <c r="I241" s="1172"/>
    </row>
    <row r="242" spans="1:9" s="1281" customFormat="1" x14ac:dyDescent="0.2">
      <c r="A242" s="1280"/>
      <c r="C242" s="849" t="str">
        <v>ABC+ 3TC bébé</v>
      </c>
      <c r="D242" s="1294">
        <v>1.5</v>
      </c>
      <c r="E242" s="1294">
        <v>2</v>
      </c>
      <c r="F242" s="1294">
        <v>2.5</v>
      </c>
      <c r="G242" s="1294">
        <v>3</v>
      </c>
      <c r="H242" s="849"/>
      <c r="I242" s="1172"/>
    </row>
    <row r="243" spans="1:9" s="1281" customFormat="1" x14ac:dyDescent="0.2">
      <c r="A243" s="1280"/>
      <c r="C243" s="849" t="str">
        <v>TDF+ FTC/3TC+ EFV adulte</v>
      </c>
      <c r="D243" s="1294">
        <v>0</v>
      </c>
      <c r="E243" s="1294">
        <v>0</v>
      </c>
      <c r="F243" s="1294">
        <v>0</v>
      </c>
      <c r="G243" s="1294">
        <v>1</v>
      </c>
      <c r="H243" s="849"/>
      <c r="I243" s="1172"/>
    </row>
    <row r="244" spans="1:9" s="1281" customFormat="1" x14ac:dyDescent="0.2">
      <c r="A244" s="1280"/>
      <c r="C244" s="849" t="str">
        <v>TDF+ FTC/3TC adulte</v>
      </c>
      <c r="D244" s="1294">
        <v>0</v>
      </c>
      <c r="E244" s="1294">
        <v>0</v>
      </c>
      <c r="F244" s="1294">
        <v>0</v>
      </c>
      <c r="G244" s="1294">
        <v>1</v>
      </c>
      <c r="H244" s="849"/>
      <c r="I244" s="1172"/>
    </row>
    <row r="245" spans="1:9" s="1281" customFormat="1" x14ac:dyDescent="0.2">
      <c r="A245" s="1280"/>
      <c r="C245" s="849" t="str">
        <v>TDF adulte</v>
      </c>
      <c r="D245" s="1294">
        <v>0</v>
      </c>
      <c r="E245" s="1294">
        <v>0</v>
      </c>
      <c r="F245" s="1294">
        <v>0</v>
      </c>
      <c r="G245" s="1294">
        <v>1</v>
      </c>
      <c r="H245" s="849"/>
      <c r="I245" s="1172"/>
    </row>
    <row r="246" spans="1:9" s="1281" customFormat="1" x14ac:dyDescent="0.2">
      <c r="A246" s="1280"/>
      <c r="C246" s="849" t="str">
        <v>3TC adulte</v>
      </c>
      <c r="D246" s="1294">
        <v>0</v>
      </c>
      <c r="E246" s="1294">
        <v>0</v>
      </c>
      <c r="F246" s="1294">
        <v>0.5</v>
      </c>
      <c r="G246" s="1294">
        <v>1</v>
      </c>
      <c r="H246" s="849"/>
      <c r="I246" s="1172"/>
    </row>
    <row r="247" spans="1:9" s="1281" customFormat="1" x14ac:dyDescent="0.2">
      <c r="A247" s="1280"/>
      <c r="C247" s="849" t="str">
        <v>ABC adulte</v>
      </c>
      <c r="D247" s="1294">
        <v>0</v>
      </c>
      <c r="E247" s="1294">
        <v>0</v>
      </c>
      <c r="F247" s="1294">
        <v>0.5</v>
      </c>
      <c r="G247" s="1294">
        <v>1</v>
      </c>
      <c r="H247" s="849"/>
      <c r="I247" s="1172"/>
    </row>
    <row r="248" spans="1:9" s="1281" customFormat="1" x14ac:dyDescent="0.2">
      <c r="A248" s="1280"/>
      <c r="C248" s="849" t="str">
        <v>ABC bébé</v>
      </c>
      <c r="D248" s="1294">
        <v>1.5</v>
      </c>
      <c r="E248" s="1294">
        <v>2</v>
      </c>
      <c r="F248" s="1294">
        <v>2.5</v>
      </c>
      <c r="G248" s="1294">
        <v>3</v>
      </c>
      <c r="H248" s="849"/>
      <c r="I248" s="1172"/>
    </row>
    <row r="249" spans="1:9" s="1281" customFormat="1" x14ac:dyDescent="0.2">
      <c r="A249" s="1280"/>
      <c r="C249" s="849" t="str">
        <v>DDI adulte</v>
      </c>
      <c r="D249" s="1294">
        <v>0</v>
      </c>
      <c r="E249" s="1294">
        <v>0</v>
      </c>
      <c r="F249" s="1294">
        <v>0</v>
      </c>
      <c r="G249" s="1294">
        <v>1</v>
      </c>
      <c r="H249" s="849"/>
      <c r="I249" s="1172"/>
    </row>
    <row r="250" spans="1:9" s="1281" customFormat="1" x14ac:dyDescent="0.2">
      <c r="A250" s="1280"/>
      <c r="C250" s="850" t="str">
        <v>NVP adulte</v>
      </c>
      <c r="D250" s="1294">
        <v>0</v>
      </c>
      <c r="E250" s="1294">
        <v>0</v>
      </c>
      <c r="F250" s="1294">
        <v>0.75</v>
      </c>
      <c r="G250" s="1294">
        <v>1</v>
      </c>
      <c r="H250" s="850"/>
      <c r="I250" s="1172"/>
    </row>
    <row r="251" spans="1:9" s="1281" customFormat="1" x14ac:dyDescent="0.2">
      <c r="A251" s="1280"/>
      <c r="C251" s="850" t="str">
        <v>NVP bébé</v>
      </c>
      <c r="D251" s="1294">
        <v>1.5</v>
      </c>
      <c r="E251" s="1294">
        <v>2</v>
      </c>
      <c r="F251" s="1294">
        <v>2.5</v>
      </c>
      <c r="G251" s="1294">
        <v>3</v>
      </c>
      <c r="H251" s="850"/>
      <c r="I251" s="1172"/>
    </row>
    <row r="252" spans="1:9" s="1281" customFormat="1" x14ac:dyDescent="0.2">
      <c r="A252" s="1280"/>
      <c r="C252" s="850" t="str">
        <v>EFV enfant</v>
      </c>
      <c r="D252" s="1294">
        <v>0</v>
      </c>
      <c r="E252" s="1294">
        <v>1</v>
      </c>
      <c r="F252" s="1294">
        <v>1.5</v>
      </c>
      <c r="G252" s="1294">
        <v>1.5</v>
      </c>
      <c r="H252" s="850"/>
      <c r="I252" s="1172"/>
    </row>
    <row r="253" spans="1:9" s="1281" customFormat="1" x14ac:dyDescent="0.2">
      <c r="A253" s="1280"/>
      <c r="C253" s="849" t="str">
        <v>LPV/r adulte</v>
      </c>
      <c r="D253" s="1294">
        <v>0</v>
      </c>
      <c r="E253" s="1294">
        <v>0</v>
      </c>
      <c r="F253" s="1294">
        <v>0.5</v>
      </c>
      <c r="G253" s="1294">
        <v>0.5</v>
      </c>
      <c r="H253" s="849"/>
      <c r="I253" s="1172"/>
    </row>
    <row r="254" spans="1:9" s="1281" customFormat="1" ht="13.5" thickBot="1" x14ac:dyDescent="0.25">
      <c r="A254" s="1280"/>
      <c r="C254" s="849" t="str">
        <v>LPV/r enfant</v>
      </c>
      <c r="D254" s="1294">
        <v>0</v>
      </c>
      <c r="E254" s="1294">
        <v>1.5</v>
      </c>
      <c r="F254" s="1294">
        <v>2</v>
      </c>
      <c r="G254" s="1294">
        <v>2</v>
      </c>
      <c r="H254" s="851"/>
      <c r="I254" s="1190"/>
    </row>
    <row r="255" spans="1:9" s="1281" customFormat="1" x14ac:dyDescent="0.2">
      <c r="A255" s="1280"/>
      <c r="C255" s="1280"/>
      <c r="F255" s="1321"/>
      <c r="G255" s="1321"/>
    </row>
    <row r="256" spans="1:9" s="1279" customFormat="1" x14ac:dyDescent="0.2">
      <c r="A256" s="1282"/>
    </row>
    <row r="257" spans="1:36" s="1279" customFormat="1" ht="15.75" thickBot="1" x14ac:dyDescent="0.25">
      <c r="A257" s="1277" t="str">
        <f>'TRAD-Children YEAR(1)'!B111</f>
        <v>Détails des calculs Quantification</v>
      </c>
      <c r="B257" s="1278"/>
      <c r="C257" s="1278"/>
      <c r="D257" s="1278"/>
      <c r="E257" s="1278"/>
      <c r="F257" s="1278"/>
      <c r="G257" s="1278"/>
      <c r="H257" s="1278"/>
      <c r="I257" s="1278"/>
      <c r="J257" s="1278"/>
      <c r="K257" s="1278"/>
      <c r="L257" s="1278"/>
    </row>
    <row r="258" spans="1:36" s="1281" customFormat="1" ht="13.5" thickBot="1" x14ac:dyDescent="0.25">
      <c r="A258" s="1280"/>
    </row>
    <row r="259" spans="1:36" s="1279" customFormat="1" ht="13.5" thickBot="1" x14ac:dyDescent="0.25">
      <c r="A259" s="1282"/>
      <c r="B259" s="1283" t="str">
        <f>'TRAD-Children YEAR(1)'!B112</f>
        <v>Tranche 3 - 9,9 kg</v>
      </c>
      <c r="C259" s="1284"/>
      <c r="D259" s="1285"/>
      <c r="E259" s="1285"/>
      <c r="F259" s="1285"/>
      <c r="G259" s="1285"/>
      <c r="H259" s="1285"/>
      <c r="I259" s="1286"/>
    </row>
    <row r="260" spans="1:36" s="1279" customFormat="1" ht="13.5" thickBot="1" x14ac:dyDescent="0.25">
      <c r="A260" s="1282"/>
      <c r="B260" s="1323"/>
      <c r="C260" s="1324"/>
      <c r="D260" s="1323"/>
      <c r="E260" s="1323"/>
      <c r="F260" s="1323"/>
      <c r="G260" s="1323"/>
      <c r="H260" s="1323"/>
      <c r="I260" s="1323"/>
    </row>
    <row r="261" spans="1:36" s="1279" customFormat="1" ht="26.25" thickBot="1" x14ac:dyDescent="0.25">
      <c r="A261" s="1282"/>
      <c r="D261" s="1322" t="str">
        <f>'TRAD-Children YEAR(1)'!B90</f>
        <v>Solutions buvables</v>
      </c>
      <c r="E261" s="1284"/>
      <c r="F261" s="1284"/>
      <c r="G261" s="1284"/>
      <c r="H261" s="1284"/>
      <c r="I261" s="1284"/>
      <c r="J261" s="1284"/>
      <c r="K261" s="1290"/>
      <c r="L261" s="1289" t="str">
        <f>'TRAD-Children YEAR(1)'!B91</f>
        <v>Comprimés</v>
      </c>
      <c r="M261" s="1284"/>
      <c r="N261" s="1284"/>
      <c r="O261" s="1284"/>
      <c r="P261" s="1284"/>
      <c r="Q261" s="1284"/>
      <c r="R261" s="1284"/>
      <c r="S261" s="1284"/>
      <c r="T261" s="1284"/>
      <c r="U261" s="1284"/>
      <c r="V261" s="1284"/>
      <c r="W261" s="1945"/>
      <c r="X261" s="1945"/>
      <c r="Y261" s="1945"/>
      <c r="Z261" s="1284"/>
      <c r="AA261" s="1284"/>
      <c r="AB261" s="1284"/>
      <c r="AC261" s="1284"/>
      <c r="AD261" s="1284"/>
      <c r="AE261" s="1284"/>
      <c r="AF261" s="1284"/>
      <c r="AG261" s="1284"/>
      <c r="AH261" s="1284"/>
    </row>
    <row r="262" spans="1:36" s="1292" customFormat="1" ht="25.5" x14ac:dyDescent="0.2">
      <c r="A262" s="1291"/>
      <c r="C262" s="1332" t="str">
        <f>'TRAD-Children YEAR(1)'!B113</f>
        <v>Nb de boites / mois pour l'ensemble des patients</v>
      </c>
      <c r="D262" s="1329" t="s">
        <v>39</v>
      </c>
      <c r="E262" s="1329" t="s">
        <v>61</v>
      </c>
      <c r="F262" s="1329" t="s">
        <v>15</v>
      </c>
      <c r="G262" s="1329" t="s">
        <v>25</v>
      </c>
      <c r="H262" s="1329" t="s">
        <v>28</v>
      </c>
      <c r="I262" s="1329" t="s">
        <v>19</v>
      </c>
      <c r="J262" s="1329" t="s">
        <v>17</v>
      </c>
      <c r="K262" s="1333" t="s">
        <v>33</v>
      </c>
      <c r="L262" s="1334" t="s">
        <v>7</v>
      </c>
      <c r="M262" s="1330" t="s">
        <v>386</v>
      </c>
      <c r="N262" s="1330" t="s">
        <v>11</v>
      </c>
      <c r="O262" s="1330" t="s">
        <v>387</v>
      </c>
      <c r="P262" s="1330" t="s">
        <v>50</v>
      </c>
      <c r="Q262" s="1330" t="s">
        <v>392</v>
      </c>
      <c r="R262" s="1330" t="s">
        <v>81</v>
      </c>
      <c r="S262" s="1330" t="s">
        <v>140</v>
      </c>
      <c r="T262" s="1330" t="s">
        <v>635</v>
      </c>
      <c r="U262" s="1330" t="s">
        <v>586</v>
      </c>
      <c r="V262" s="1330" t="s">
        <v>575</v>
      </c>
      <c r="W262" s="1946"/>
      <c r="X262" s="1946"/>
      <c r="Y262" s="1946"/>
      <c r="Z262" s="1422" t="s">
        <v>15</v>
      </c>
      <c r="AA262" s="1330" t="s">
        <v>25</v>
      </c>
      <c r="AB262" s="1330" t="s">
        <v>648</v>
      </c>
      <c r="AC262" s="1330" t="s">
        <v>28</v>
      </c>
      <c r="AD262" s="1422" t="s">
        <v>19</v>
      </c>
      <c r="AE262" s="1586" t="s">
        <v>19</v>
      </c>
      <c r="AF262" s="1422" t="s">
        <v>17</v>
      </c>
      <c r="AG262" s="1330" t="s">
        <v>33</v>
      </c>
      <c r="AH262" s="1335" t="s">
        <v>638</v>
      </c>
    </row>
    <row r="263" spans="1:36" s="1292" customFormat="1" ht="25.5" x14ac:dyDescent="0.2">
      <c r="A263" s="1291"/>
      <c r="C263" s="1332" t="str">
        <f>'TRAD-Children YEAR(1)'!B114</f>
        <v>Dosage</v>
      </c>
      <c r="D263" s="1329" t="s">
        <v>41</v>
      </c>
      <c r="E263" s="1329" t="s">
        <v>41</v>
      </c>
      <c r="F263" s="1329" t="s">
        <v>41</v>
      </c>
      <c r="G263" s="1329" t="s">
        <v>44</v>
      </c>
      <c r="H263" s="1329" t="s">
        <v>46</v>
      </c>
      <c r="I263" s="1329" t="s">
        <v>41</v>
      </c>
      <c r="J263" s="1329" t="s">
        <v>259</v>
      </c>
      <c r="K263" s="1333" t="s">
        <v>47</v>
      </c>
      <c r="L263" s="1336" t="s">
        <v>9</v>
      </c>
      <c r="M263" s="1331" t="s">
        <v>384</v>
      </c>
      <c r="N263" s="1331" t="s">
        <v>12</v>
      </c>
      <c r="O263" s="1331" t="s">
        <v>382</v>
      </c>
      <c r="P263" s="1331" t="s">
        <v>80</v>
      </c>
      <c r="Q263" s="1331" t="s">
        <v>131</v>
      </c>
      <c r="R263" s="1331" t="s">
        <v>733</v>
      </c>
      <c r="S263" s="1331" t="s">
        <v>334</v>
      </c>
      <c r="T263" s="1331" t="s">
        <v>636</v>
      </c>
      <c r="U263" s="1331" t="s">
        <v>649</v>
      </c>
      <c r="V263" s="1331" t="s">
        <v>636</v>
      </c>
      <c r="W263" s="1331"/>
      <c r="X263" s="1331"/>
      <c r="Y263" s="1331"/>
      <c r="Z263" s="1424" t="s">
        <v>16</v>
      </c>
      <c r="AA263" s="1331" t="s">
        <v>23</v>
      </c>
      <c r="AB263" s="1331" t="s">
        <v>639</v>
      </c>
      <c r="AC263" s="1331" t="s">
        <v>29</v>
      </c>
      <c r="AD263" s="1424" t="s">
        <v>20</v>
      </c>
      <c r="AE263" s="1424" t="s">
        <v>248</v>
      </c>
      <c r="AF263" s="1424" t="s">
        <v>20</v>
      </c>
      <c r="AG263" s="1331" t="s">
        <v>34</v>
      </c>
      <c r="AH263" s="1337" t="s">
        <v>637</v>
      </c>
    </row>
    <row r="264" spans="1:36" s="1281" customFormat="1" ht="26.25" thickBot="1" x14ac:dyDescent="0.25">
      <c r="A264" s="1280"/>
      <c r="C264" s="1332" t="str">
        <f>'TRAD-Children YEAR(1)'!B115</f>
        <v>Nb de cdt/mois pour la tranche</v>
      </c>
      <c r="D264" s="1404">
        <f t="array" ref="D264:AH264">TRANSPOSE($D$224:$D$254)</f>
        <v>2.25</v>
      </c>
      <c r="E264" s="1404">
        <v>1.75</v>
      </c>
      <c r="F264" s="1404">
        <v>1</v>
      </c>
      <c r="G264" s="1404">
        <v>0.75</v>
      </c>
      <c r="H264" s="1404">
        <v>1.5</v>
      </c>
      <c r="I264" s="1404">
        <v>1.75</v>
      </c>
      <c r="J264" s="1404">
        <v>0</v>
      </c>
      <c r="K264" s="1405">
        <v>1.5</v>
      </c>
      <c r="L264" s="1406">
        <v>0</v>
      </c>
      <c r="M264" s="1407">
        <v>1.5</v>
      </c>
      <c r="N264" s="1407">
        <v>0</v>
      </c>
      <c r="O264" s="1407">
        <v>1.5</v>
      </c>
      <c r="P264" s="1407">
        <v>0</v>
      </c>
      <c r="Q264" s="1407">
        <v>1.5</v>
      </c>
      <c r="R264" s="1407">
        <v>1.5</v>
      </c>
      <c r="S264" s="1407">
        <v>0</v>
      </c>
      <c r="T264" s="1407">
        <v>1.5</v>
      </c>
      <c r="U264" s="1407">
        <v>0</v>
      </c>
      <c r="V264" s="1407">
        <v>1.5</v>
      </c>
      <c r="W264" s="1407">
        <v>0</v>
      </c>
      <c r="X264" s="1407">
        <v>0</v>
      </c>
      <c r="Y264" s="1407">
        <v>0</v>
      </c>
      <c r="Z264" s="1407">
        <v>0</v>
      </c>
      <c r="AA264" s="1407">
        <v>0</v>
      </c>
      <c r="AB264" s="1407">
        <v>1.5</v>
      </c>
      <c r="AC264" s="1407">
        <v>0</v>
      </c>
      <c r="AD264" s="1407">
        <v>0</v>
      </c>
      <c r="AE264" s="1407">
        <v>1.5</v>
      </c>
      <c r="AF264" s="1407">
        <v>0</v>
      </c>
      <c r="AG264" s="1407">
        <v>0</v>
      </c>
      <c r="AH264" s="1407">
        <v>0</v>
      </c>
      <c r="AI264" s="1338" t="s">
        <v>654</v>
      </c>
    </row>
    <row r="265" spans="1:36" s="1279" customFormat="1" ht="63.75" x14ac:dyDescent="0.2">
      <c r="A265" s="1282"/>
      <c r="B265" s="1293" t="s">
        <v>180</v>
      </c>
      <c r="C265" s="1332" t="str">
        <f>'TRAD-Children YEAR(1)'!B116</f>
        <v>Premières lignes</v>
      </c>
      <c r="D265" s="1297"/>
      <c r="E265" s="1297"/>
      <c r="F265" s="1297"/>
      <c r="G265" s="1297"/>
      <c r="H265" s="1297"/>
      <c r="I265" s="1297"/>
      <c r="J265" s="1297"/>
      <c r="K265" s="1298"/>
      <c r="L265" s="1299"/>
      <c r="M265" s="1297"/>
      <c r="N265" s="1297"/>
      <c r="O265" s="1297"/>
      <c r="P265" s="1297"/>
      <c r="Q265" s="1297"/>
      <c r="R265" s="1297"/>
      <c r="S265" s="1297"/>
      <c r="T265" s="1297"/>
      <c r="U265" s="1297"/>
      <c r="V265" s="1297"/>
      <c r="W265" s="1297"/>
      <c r="X265" s="1297"/>
      <c r="Y265" s="1297"/>
      <c r="Z265" s="1297"/>
      <c r="AA265" s="1297"/>
      <c r="AB265" s="1297"/>
      <c r="AC265" s="1297"/>
      <c r="AD265" s="1297"/>
      <c r="AE265" s="1297"/>
      <c r="AF265" s="1297"/>
      <c r="AG265" s="1297"/>
      <c r="AH265" s="1297"/>
      <c r="AI265" s="1318" t="str">
        <f>'TRAD-Children YEAR(1)'!B122</f>
        <v>nb de patients mois période quantifiée</v>
      </c>
      <c r="AJ265" s="1318" t="str">
        <f>'TRAD-Children YEAR(1)'!B123</f>
        <v>nb de patients mois avec période de sécurité</v>
      </c>
    </row>
    <row r="266" spans="1:36" s="1279" customFormat="1" ht="15" x14ac:dyDescent="0.25">
      <c r="A266" s="1282"/>
      <c r="C266" s="1319" t="str">
        <f t="array" ref="C266:C271">'Data &amp; hypothesis Children'!$C$26:$C$31</f>
        <v>D4T+3TC+NVP</v>
      </c>
      <c r="D266" s="1175">
        <f>'Data &amp; hypothesis Children'!C119</f>
        <v>0</v>
      </c>
      <c r="E266" s="1175">
        <f>'Data &amp; hypothesis Children'!D119</f>
        <v>0</v>
      </c>
      <c r="F266" s="1175">
        <f>'Data &amp; hypothesis Children'!E119</f>
        <v>0</v>
      </c>
      <c r="G266" s="1175">
        <f>'Data &amp; hypothesis Children'!F119</f>
        <v>0</v>
      </c>
      <c r="H266" s="1175">
        <f>'Data &amp; hypothesis Children'!G119</f>
        <v>0</v>
      </c>
      <c r="I266" s="1175">
        <f>'Data &amp; hypothesis Children'!H119</f>
        <v>0</v>
      </c>
      <c r="J266" s="1175">
        <f>'Data &amp; hypothesis Children'!I119</f>
        <v>0</v>
      </c>
      <c r="K266" s="1413">
        <f>'Data &amp; hypothesis Children'!J119</f>
        <v>0</v>
      </c>
      <c r="L266" s="1414">
        <f>'Data &amp; hypothesis Children'!K119</f>
        <v>0</v>
      </c>
      <c r="M266" s="1175">
        <f>'Data &amp; hypothesis Children'!L119</f>
        <v>0</v>
      </c>
      <c r="N266" s="1175">
        <f>'Data &amp; hypothesis Children'!M119</f>
        <v>0</v>
      </c>
      <c r="O266" s="1175">
        <f>'Data &amp; hypothesis Children'!N119</f>
        <v>0</v>
      </c>
      <c r="P266" s="1175">
        <f>'Data &amp; hypothesis Children'!O119</f>
        <v>0</v>
      </c>
      <c r="Q266" s="1175">
        <f>'Data &amp; hypothesis Children'!P119</f>
        <v>0</v>
      </c>
      <c r="R266" s="1175">
        <f>'Data &amp; hypothesis Children'!Q119</f>
        <v>0</v>
      </c>
      <c r="S266" s="1175">
        <f>'Data &amp; hypothesis Children'!R119</f>
        <v>0</v>
      </c>
      <c r="T266" s="1175">
        <f>'Data &amp; hypothesis Children'!S119</f>
        <v>0</v>
      </c>
      <c r="U266" s="1175">
        <f>'Data &amp; hypothesis Children'!T119</f>
        <v>0</v>
      </c>
      <c r="V266" s="1175">
        <f>'Data &amp; hypothesis Children'!U119</f>
        <v>0</v>
      </c>
      <c r="W266" s="1175">
        <f>'Data &amp; hypothesis Children'!V119</f>
        <v>0</v>
      </c>
      <c r="X266" s="1175">
        <f>'Data &amp; hypothesis Children'!W119</f>
        <v>0</v>
      </c>
      <c r="Y266" s="1175">
        <f>'Data &amp; hypothesis Children'!X119</f>
        <v>0</v>
      </c>
      <c r="Z266" s="1175">
        <f>'Data &amp; hypothesis Children'!Y119</f>
        <v>0</v>
      </c>
      <c r="AA266" s="1175">
        <f>'Data &amp; hypothesis Children'!Z119</f>
        <v>0</v>
      </c>
      <c r="AB266" s="1175">
        <f>'Data &amp; hypothesis Children'!AA119</f>
        <v>0</v>
      </c>
      <c r="AC266" s="1175">
        <f>'Data &amp; hypothesis Children'!AB119</f>
        <v>0</v>
      </c>
      <c r="AD266" s="1175">
        <f>'Data &amp; hypothesis Children'!AC119</f>
        <v>0</v>
      </c>
      <c r="AE266" s="1175">
        <f>'Data &amp; hypothesis Children'!AD119</f>
        <v>0</v>
      </c>
      <c r="AF266" s="1175">
        <f>'Data &amp; hypothesis Children'!AE119</f>
        <v>0</v>
      </c>
      <c r="AG266" s="1175">
        <f>'Data &amp; hypothesis Children'!AF119</f>
        <v>0</v>
      </c>
      <c r="AH266" s="1415">
        <f>'Data &amp; hypothesis Children'!AG119</f>
        <v>0</v>
      </c>
      <c r="AI266" s="1339">
        <f t="shared" ref="AI266:AI271" si="55">F69</f>
        <v>0</v>
      </c>
      <c r="AJ266" s="1340">
        <f t="shared" ref="AJ266:AJ271" si="56">F85</f>
        <v>0</v>
      </c>
    </row>
    <row r="267" spans="1:36" s="1279" customFormat="1" ht="15" x14ac:dyDescent="0.25">
      <c r="A267" s="1282"/>
      <c r="C267" s="1319" t="str">
        <v>AZT+3TC+NVP</v>
      </c>
      <c r="D267" s="1175">
        <f>'Data &amp; hypothesis Children'!C120</f>
        <v>0</v>
      </c>
      <c r="E267" s="1175">
        <f>'Data &amp; hypothesis Children'!D120</f>
        <v>0</v>
      </c>
      <c r="F267" s="1175">
        <f>'Data &amp; hypothesis Children'!E120</f>
        <v>0</v>
      </c>
      <c r="G267" s="1175">
        <f>'Data &amp; hypothesis Children'!F120</f>
        <v>0</v>
      </c>
      <c r="H267" s="1175">
        <f>'Data &amp; hypothesis Children'!G120</f>
        <v>0</v>
      </c>
      <c r="I267" s="1175">
        <f>'Data &amp; hypothesis Children'!H120</f>
        <v>0</v>
      </c>
      <c r="J267" s="1175">
        <f>'Data &amp; hypothesis Children'!I120</f>
        <v>0</v>
      </c>
      <c r="K267" s="1413">
        <f>'Data &amp; hypothesis Children'!J120</f>
        <v>0</v>
      </c>
      <c r="L267" s="1414">
        <f>'Data &amp; hypothesis Children'!K120</f>
        <v>0</v>
      </c>
      <c r="M267" s="1175" t="str">
        <f>'Data &amp; hypothesis Children'!L120</f>
        <v>X</v>
      </c>
      <c r="N267" s="1175">
        <f>'Data &amp; hypothesis Children'!M120</f>
        <v>0</v>
      </c>
      <c r="O267" s="1175">
        <f>'Data &amp; hypothesis Children'!N120</f>
        <v>0</v>
      </c>
      <c r="P267" s="1175">
        <f>'Data &amp; hypothesis Children'!O120</f>
        <v>0</v>
      </c>
      <c r="Q267" s="1175">
        <f>'Data &amp; hypothesis Children'!P120</f>
        <v>0</v>
      </c>
      <c r="R267" s="1175">
        <f>'Data &amp; hypothesis Children'!Q120</f>
        <v>0</v>
      </c>
      <c r="S267" s="1175">
        <f>'Data &amp; hypothesis Children'!R120</f>
        <v>0</v>
      </c>
      <c r="T267" s="1175">
        <f>'Data &amp; hypothesis Children'!S120</f>
        <v>0</v>
      </c>
      <c r="U267" s="1175">
        <f>'Data &amp; hypothesis Children'!T120</f>
        <v>0</v>
      </c>
      <c r="V267" s="1175">
        <f>'Data &amp; hypothesis Children'!U120</f>
        <v>0</v>
      </c>
      <c r="W267" s="1175">
        <f>'Data &amp; hypothesis Children'!V120</f>
        <v>0</v>
      </c>
      <c r="X267" s="1175">
        <f>'Data &amp; hypothesis Children'!W120</f>
        <v>0</v>
      </c>
      <c r="Y267" s="1175">
        <f>'Data &amp; hypothesis Children'!X120</f>
        <v>0</v>
      </c>
      <c r="Z267" s="1175">
        <f>'Data &amp; hypothesis Children'!Y120</f>
        <v>0</v>
      </c>
      <c r="AA267" s="1175">
        <f>'Data &amp; hypothesis Children'!Z120</f>
        <v>0</v>
      </c>
      <c r="AB267" s="1175">
        <f>'Data &amp; hypothesis Children'!AA120</f>
        <v>0</v>
      </c>
      <c r="AC267" s="1175">
        <f>'Data &amp; hypothesis Children'!AB120</f>
        <v>0</v>
      </c>
      <c r="AD267" s="1175">
        <f>'Data &amp; hypothesis Children'!AC120</f>
        <v>0</v>
      </c>
      <c r="AE267" s="1175">
        <f>'Data &amp; hypothesis Children'!AD120</f>
        <v>0</v>
      </c>
      <c r="AF267" s="1175">
        <f>'Data &amp; hypothesis Children'!AE120</f>
        <v>0</v>
      </c>
      <c r="AG267" s="1175">
        <f>'Data &amp; hypothesis Children'!AF120</f>
        <v>0</v>
      </c>
      <c r="AH267" s="1415">
        <f>'Data &amp; hypothesis Children'!AG120</f>
        <v>0</v>
      </c>
      <c r="AI267" s="1339">
        <f t="shared" si="55"/>
        <v>0</v>
      </c>
      <c r="AJ267" s="1340">
        <f t="shared" si="56"/>
        <v>375.56859374999999</v>
      </c>
    </row>
    <row r="268" spans="1:36" s="1279" customFormat="1" ht="15" x14ac:dyDescent="0.25">
      <c r="A268" s="1282"/>
      <c r="C268" s="1319" t="str">
        <v>AZT+3TC+EFV</v>
      </c>
      <c r="D268" s="1175">
        <f>'Data &amp; hypothesis Children'!C121</f>
        <v>0</v>
      </c>
      <c r="E268" s="1175">
        <f>'Data &amp; hypothesis Children'!D121</f>
        <v>0</v>
      </c>
      <c r="F268" s="1175">
        <f>'Data &amp; hypothesis Children'!E121</f>
        <v>0</v>
      </c>
      <c r="G268" s="1175">
        <f>'Data &amp; hypothesis Children'!F121</f>
        <v>0</v>
      </c>
      <c r="H268" s="1175">
        <f>'Data &amp; hypothesis Children'!G121</f>
        <v>0</v>
      </c>
      <c r="I268" s="1175">
        <f>'Data &amp; hypothesis Children'!H121</f>
        <v>0</v>
      </c>
      <c r="J268" s="1175">
        <f>'Data &amp; hypothesis Children'!I121</f>
        <v>0</v>
      </c>
      <c r="K268" s="1413">
        <f>'Data &amp; hypothesis Children'!J121</f>
        <v>0</v>
      </c>
      <c r="L268" s="1414">
        <f>'Data &amp; hypothesis Children'!K121</f>
        <v>0</v>
      </c>
      <c r="M268" s="1175">
        <f>'Data &amp; hypothesis Children'!L121</f>
        <v>0</v>
      </c>
      <c r="N268" s="1175">
        <f>'Data &amp; hypothesis Children'!M121</f>
        <v>0</v>
      </c>
      <c r="O268" s="1175">
        <f>'Data &amp; hypothesis Children'!N121</f>
        <v>0</v>
      </c>
      <c r="P268" s="1175">
        <f>'Data &amp; hypothesis Children'!O121</f>
        <v>0</v>
      </c>
      <c r="Q268" s="1175">
        <f>'Data &amp; hypothesis Children'!P121</f>
        <v>0</v>
      </c>
      <c r="R268" s="1175">
        <f>'Data &amp; hypothesis Children'!Q121</f>
        <v>0</v>
      </c>
      <c r="S268" s="1175">
        <f>'Data &amp; hypothesis Children'!R121</f>
        <v>0</v>
      </c>
      <c r="T268" s="1175">
        <f>'Data &amp; hypothesis Children'!S121</f>
        <v>0</v>
      </c>
      <c r="U268" s="1175">
        <f>'Data &amp; hypothesis Children'!T121</f>
        <v>0</v>
      </c>
      <c r="V268" s="1175">
        <f>'Data &amp; hypothesis Children'!U121</f>
        <v>0</v>
      </c>
      <c r="W268" s="1175">
        <f>'Data &amp; hypothesis Children'!V121</f>
        <v>0</v>
      </c>
      <c r="X268" s="1175">
        <f>'Data &amp; hypothesis Children'!W121</f>
        <v>0</v>
      </c>
      <c r="Y268" s="1175">
        <f>'Data &amp; hypothesis Children'!X121</f>
        <v>0</v>
      </c>
      <c r="Z268" s="1175">
        <f>'Data &amp; hypothesis Children'!Y121</f>
        <v>0</v>
      </c>
      <c r="AA268" s="1175">
        <f>'Data &amp; hypothesis Children'!Z121</f>
        <v>0</v>
      </c>
      <c r="AB268" s="1175">
        <f>'Data &amp; hypothesis Children'!AA121</f>
        <v>0</v>
      </c>
      <c r="AC268" s="1175">
        <f>'Data &amp; hypothesis Children'!AB121</f>
        <v>0</v>
      </c>
      <c r="AD268" s="1175">
        <f>'Data &amp; hypothesis Children'!AC121</f>
        <v>0</v>
      </c>
      <c r="AE268" s="1175">
        <f>'Data &amp; hypothesis Children'!AD121</f>
        <v>0</v>
      </c>
      <c r="AF268" s="1175">
        <f>'Data &amp; hypothesis Children'!AE121</f>
        <v>0</v>
      </c>
      <c r="AG268" s="1175">
        <f>'Data &amp; hypothesis Children'!AF121</f>
        <v>0</v>
      </c>
      <c r="AH268" s="1415">
        <f>'Data &amp; hypothesis Children'!AG121</f>
        <v>0</v>
      </c>
      <c r="AI268" s="1339">
        <f t="shared" si="55"/>
        <v>0</v>
      </c>
      <c r="AJ268" s="1340">
        <f t="shared" si="56"/>
        <v>0</v>
      </c>
    </row>
    <row r="269" spans="1:36" s="1279" customFormat="1" ht="15" x14ac:dyDescent="0.25">
      <c r="A269" s="1282"/>
      <c r="C269" s="1319" t="str">
        <v>LPV/r+3TC+ABC</v>
      </c>
      <c r="D269" s="1175">
        <f>'Data &amp; hypothesis Children'!C122</f>
        <v>0</v>
      </c>
      <c r="E269" s="1175">
        <f>'Data &amp; hypothesis Children'!D122</f>
        <v>0</v>
      </c>
      <c r="F269" s="1175">
        <f>'Data &amp; hypothesis Children'!E122</f>
        <v>0</v>
      </c>
      <c r="G269" s="1175">
        <f>'Data &amp; hypothesis Children'!F122</f>
        <v>0</v>
      </c>
      <c r="H269" s="1175">
        <f>'Data &amp; hypothesis Children'!G122</f>
        <v>0</v>
      </c>
      <c r="I269" s="1175">
        <f>'Data &amp; hypothesis Children'!H122</f>
        <v>0</v>
      </c>
      <c r="J269" s="1175">
        <f>'Data &amp; hypothesis Children'!I122</f>
        <v>0</v>
      </c>
      <c r="K269" s="1413">
        <f>'Data &amp; hypothesis Children'!J122</f>
        <v>0</v>
      </c>
      <c r="L269" s="1414">
        <f>'Data &amp; hypothesis Children'!K122</f>
        <v>0</v>
      </c>
      <c r="M269" s="1175">
        <f>'Data &amp; hypothesis Children'!L122</f>
        <v>0</v>
      </c>
      <c r="N269" s="1175">
        <f>'Data &amp; hypothesis Children'!M122</f>
        <v>0</v>
      </c>
      <c r="O269" s="1175">
        <f>'Data &amp; hypothesis Children'!N122</f>
        <v>0</v>
      </c>
      <c r="P269" s="1175">
        <f>'Data &amp; hypothesis Children'!O122</f>
        <v>0</v>
      </c>
      <c r="Q269" s="1175">
        <f>'Data &amp; hypothesis Children'!P122</f>
        <v>0</v>
      </c>
      <c r="R269" s="1175">
        <f>'Data &amp; hypothesis Children'!Q122</f>
        <v>0</v>
      </c>
      <c r="S269" s="1175">
        <f>'Data &amp; hypothesis Children'!R122</f>
        <v>0</v>
      </c>
      <c r="T269" s="1175">
        <f>'Data &amp; hypothesis Children'!S122</f>
        <v>0</v>
      </c>
      <c r="U269" s="1175">
        <f>'Data &amp; hypothesis Children'!T122</f>
        <v>0</v>
      </c>
      <c r="V269" s="1175">
        <f>'Data &amp; hypothesis Children'!U122</f>
        <v>0</v>
      </c>
      <c r="W269" s="1175">
        <f>'Data &amp; hypothesis Children'!V122</f>
        <v>0</v>
      </c>
      <c r="X269" s="1175">
        <f>'Data &amp; hypothesis Children'!W122</f>
        <v>0</v>
      </c>
      <c r="Y269" s="1175">
        <f>'Data &amp; hypothesis Children'!X122</f>
        <v>0</v>
      </c>
      <c r="Z269" s="1175">
        <f>'Data &amp; hypothesis Children'!Y122</f>
        <v>0</v>
      </c>
      <c r="AA269" s="1175">
        <f>'Data &amp; hypothesis Children'!Z122</f>
        <v>0</v>
      </c>
      <c r="AB269" s="1175">
        <f>'Data &amp; hypothesis Children'!AA122</f>
        <v>0</v>
      </c>
      <c r="AC269" s="1175">
        <f>'Data &amp; hypothesis Children'!AB122</f>
        <v>0</v>
      </c>
      <c r="AD269" s="1175">
        <f>'Data &amp; hypothesis Children'!AC122</f>
        <v>0</v>
      </c>
      <c r="AE269" s="1175">
        <f>'Data &amp; hypothesis Children'!AD122</f>
        <v>0</v>
      </c>
      <c r="AF269" s="1175">
        <f>'Data &amp; hypothesis Children'!AE122</f>
        <v>0</v>
      </c>
      <c r="AG269" s="1175">
        <f>'Data &amp; hypothesis Children'!AF122</f>
        <v>0</v>
      </c>
      <c r="AH269" s="1415">
        <f>'Data &amp; hypothesis Children'!AG122</f>
        <v>0</v>
      </c>
      <c r="AI269" s="1339">
        <f t="shared" si="55"/>
        <v>0</v>
      </c>
      <c r="AJ269" s="1340">
        <f t="shared" si="56"/>
        <v>13.23</v>
      </c>
    </row>
    <row r="270" spans="1:36" s="1279" customFormat="1" ht="15" x14ac:dyDescent="0.25">
      <c r="A270" s="1282"/>
      <c r="C270" s="1319" t="str">
        <v>ABC+3TC+NVP</v>
      </c>
      <c r="D270" s="1175">
        <f>'Data &amp; hypothesis Children'!C123</f>
        <v>0</v>
      </c>
      <c r="E270" s="1175">
        <f>'Data &amp; hypothesis Children'!D123</f>
        <v>0</v>
      </c>
      <c r="F270" s="1175">
        <f>'Data &amp; hypothesis Children'!E123</f>
        <v>0</v>
      </c>
      <c r="G270" s="1175">
        <f>'Data &amp; hypothesis Children'!F123</f>
        <v>0</v>
      </c>
      <c r="H270" s="1175">
        <f>'Data &amp; hypothesis Children'!G123</f>
        <v>0</v>
      </c>
      <c r="I270" s="1175" t="str">
        <f>'Data &amp; hypothesis Children'!H123</f>
        <v>X</v>
      </c>
      <c r="J270" s="1175">
        <f>'Data &amp; hypothesis Children'!I123</f>
        <v>0</v>
      </c>
      <c r="K270" s="1413">
        <f>'Data &amp; hypothesis Children'!J123</f>
        <v>0</v>
      </c>
      <c r="L270" s="1414">
        <f>'Data &amp; hypothesis Children'!K123</f>
        <v>0</v>
      </c>
      <c r="M270" s="1175">
        <f>'Data &amp; hypothesis Children'!L123</f>
        <v>0</v>
      </c>
      <c r="N270" s="1175">
        <f>'Data &amp; hypothesis Children'!M123</f>
        <v>0</v>
      </c>
      <c r="O270" s="1175">
        <f>'Data &amp; hypothesis Children'!N123</f>
        <v>0</v>
      </c>
      <c r="P270" s="1175">
        <f>'Data &amp; hypothesis Children'!O123</f>
        <v>0</v>
      </c>
      <c r="Q270" s="1175">
        <f>'Data &amp; hypothesis Children'!P123</f>
        <v>0</v>
      </c>
      <c r="R270" s="1175">
        <f>'Data &amp; hypothesis Children'!Q123</f>
        <v>0</v>
      </c>
      <c r="S270" s="1175">
        <f>'Data &amp; hypothesis Children'!R123</f>
        <v>0</v>
      </c>
      <c r="T270" s="1175">
        <f>'Data &amp; hypothesis Children'!S123</f>
        <v>0</v>
      </c>
      <c r="U270" s="1175" t="str">
        <f>'Data &amp; hypothesis Children'!T123</f>
        <v>X</v>
      </c>
      <c r="V270" s="1175">
        <f>'Data &amp; hypothesis Children'!U123</f>
        <v>0</v>
      </c>
      <c r="W270" s="1175">
        <f>'Data &amp; hypothesis Children'!V123</f>
        <v>0</v>
      </c>
      <c r="X270" s="1175">
        <f>'Data &amp; hypothesis Children'!W123</f>
        <v>0</v>
      </c>
      <c r="Y270" s="1175">
        <f>'Data &amp; hypothesis Children'!X123</f>
        <v>0</v>
      </c>
      <c r="Z270" s="1175">
        <f>'Data &amp; hypothesis Children'!Y123</f>
        <v>0</v>
      </c>
      <c r="AA270" s="1175">
        <f>'Data &amp; hypothesis Children'!Z123</f>
        <v>0</v>
      </c>
      <c r="AB270" s="1175">
        <f>'Data &amp; hypothesis Children'!AA123</f>
        <v>0</v>
      </c>
      <c r="AC270" s="1175">
        <f>'Data &amp; hypothesis Children'!AB123</f>
        <v>0</v>
      </c>
      <c r="AD270" s="1175">
        <f>'Data &amp; hypothesis Children'!AC123</f>
        <v>0</v>
      </c>
      <c r="AE270" s="1175">
        <f>'Data &amp; hypothesis Children'!AD123</f>
        <v>0</v>
      </c>
      <c r="AF270" s="1175">
        <f>'Data &amp; hypothesis Children'!AE123</f>
        <v>0</v>
      </c>
      <c r="AG270" s="1175">
        <f>'Data &amp; hypothesis Children'!AF123</f>
        <v>0</v>
      </c>
      <c r="AH270" s="1415">
        <f>'Data &amp; hypothesis Children'!AG123</f>
        <v>0</v>
      </c>
      <c r="AI270" s="1339">
        <f t="shared" si="55"/>
        <v>0</v>
      </c>
      <c r="AJ270" s="1340">
        <f t="shared" si="56"/>
        <v>3.2306975806451614</v>
      </c>
    </row>
    <row r="271" spans="1:36" s="1279" customFormat="1" ht="15" x14ac:dyDescent="0.25">
      <c r="A271" s="1282"/>
      <c r="C271" s="1319" t="str">
        <v>AZT+3TC+LPV/r</v>
      </c>
      <c r="D271" s="1175">
        <f>'Data &amp; hypothesis Children'!C124</f>
        <v>0</v>
      </c>
      <c r="E271" s="1175">
        <f>'Data &amp; hypothesis Children'!D124</f>
        <v>0</v>
      </c>
      <c r="F271" s="1175">
        <f>'Data &amp; hypothesis Children'!E124</f>
        <v>0</v>
      </c>
      <c r="G271" s="1175">
        <f>'Data &amp; hypothesis Children'!F124</f>
        <v>0</v>
      </c>
      <c r="H271" s="1175">
        <f>'Data &amp; hypothesis Children'!G124</f>
        <v>0</v>
      </c>
      <c r="I271" s="1175">
        <f>'Data &amp; hypothesis Children'!H124</f>
        <v>0</v>
      </c>
      <c r="J271" s="1175">
        <f>'Data &amp; hypothesis Children'!I124</f>
        <v>0</v>
      </c>
      <c r="K271" s="1413" t="str">
        <f>'Data &amp; hypothesis Children'!J124</f>
        <v>X</v>
      </c>
      <c r="L271" s="1414">
        <f>'Data &amp; hypothesis Children'!K124</f>
        <v>0</v>
      </c>
      <c r="M271" s="1175">
        <f>'Data &amp; hypothesis Children'!L124</f>
        <v>0</v>
      </c>
      <c r="N271" s="1175">
        <f>'Data &amp; hypothesis Children'!M124</f>
        <v>0</v>
      </c>
      <c r="O271" s="1175" t="str">
        <f>'Data &amp; hypothesis Children'!N124</f>
        <v>X</v>
      </c>
      <c r="P271" s="1175">
        <f>'Data &amp; hypothesis Children'!O124</f>
        <v>0</v>
      </c>
      <c r="Q271" s="1175">
        <f>'Data &amp; hypothesis Children'!P124</f>
        <v>0</v>
      </c>
      <c r="R271" s="1175">
        <f>'Data &amp; hypothesis Children'!Q124</f>
        <v>0</v>
      </c>
      <c r="S271" s="1175">
        <f>'Data &amp; hypothesis Children'!R124</f>
        <v>0</v>
      </c>
      <c r="T271" s="1175">
        <f>'Data &amp; hypothesis Children'!S124</f>
        <v>0</v>
      </c>
      <c r="U271" s="1175">
        <f>'Data &amp; hypothesis Children'!T124</f>
        <v>0</v>
      </c>
      <c r="V271" s="1175">
        <f>'Data &amp; hypothesis Children'!U124</f>
        <v>0</v>
      </c>
      <c r="W271" s="1175">
        <f>'Data &amp; hypothesis Children'!V124</f>
        <v>0</v>
      </c>
      <c r="X271" s="1175">
        <f>'Data &amp; hypothesis Children'!W124</f>
        <v>0</v>
      </c>
      <c r="Y271" s="1175">
        <f>'Data &amp; hypothesis Children'!X124</f>
        <v>0</v>
      </c>
      <c r="Z271" s="1175">
        <f>'Data &amp; hypothesis Children'!Y124</f>
        <v>0</v>
      </c>
      <c r="AA271" s="1175">
        <f>'Data &amp; hypothesis Children'!Z124</f>
        <v>0</v>
      </c>
      <c r="AB271" s="1175">
        <f>'Data &amp; hypothesis Children'!AA124</f>
        <v>0</v>
      </c>
      <c r="AC271" s="1175">
        <f>'Data &amp; hypothesis Children'!AB124</f>
        <v>0</v>
      </c>
      <c r="AD271" s="1175">
        <f>'Data &amp; hypothesis Children'!AC124</f>
        <v>0</v>
      </c>
      <c r="AE271" s="1175">
        <f>'Data &amp; hypothesis Children'!AD124</f>
        <v>0</v>
      </c>
      <c r="AF271" s="1175">
        <f>'Data &amp; hypothesis Children'!AE124</f>
        <v>0</v>
      </c>
      <c r="AG271" s="1175">
        <f>'Data &amp; hypothesis Children'!AF124</f>
        <v>0</v>
      </c>
      <c r="AH271" s="1415">
        <f>'Data &amp; hypothesis Children'!AG124</f>
        <v>0</v>
      </c>
      <c r="AI271" s="1339">
        <f t="shared" si="55"/>
        <v>0</v>
      </c>
      <c r="AJ271" s="1340">
        <f t="shared" si="56"/>
        <v>188.69279032258066</v>
      </c>
    </row>
    <row r="272" spans="1:36" s="1279" customFormat="1" x14ac:dyDescent="0.2">
      <c r="A272" s="1282"/>
      <c r="C272" s="1296" t="str">
        <f>'TRAD-Children YEAR(1)'!$B$117</f>
        <v>Deuxièmes lignes</v>
      </c>
      <c r="D272" s="1410"/>
      <c r="E272" s="1410"/>
      <c r="F272" s="1410"/>
      <c r="G272" s="1410"/>
      <c r="H272" s="1410"/>
      <c r="I272" s="1410"/>
      <c r="J272" s="1410"/>
      <c r="K272" s="1411"/>
      <c r="L272" s="1412"/>
      <c r="M272" s="1410"/>
      <c r="N272" s="1410"/>
      <c r="O272" s="1410"/>
      <c r="P272" s="1410"/>
      <c r="Q272" s="1410"/>
      <c r="R272" s="1410"/>
      <c r="S272" s="1410"/>
      <c r="T272" s="1410"/>
      <c r="U272" s="1410"/>
      <c r="V272" s="1410"/>
      <c r="W272" s="1410"/>
      <c r="X272" s="1410"/>
      <c r="Y272" s="1410"/>
      <c r="Z272" s="1410"/>
      <c r="AA272" s="1410"/>
      <c r="AB272" s="1410"/>
      <c r="AC272" s="1410"/>
      <c r="AD272" s="1410"/>
      <c r="AE272" s="1410"/>
      <c r="AF272" s="1410"/>
      <c r="AG272" s="1410"/>
      <c r="AH272" s="1416"/>
      <c r="AI272" s="1339"/>
      <c r="AJ272" s="1340"/>
    </row>
    <row r="273" spans="1:36" s="1279" customFormat="1" ht="15" x14ac:dyDescent="0.25">
      <c r="A273" s="1282"/>
      <c r="C273" s="1301" t="str">
        <f t="array" ref="C273:C276">'Data &amp; hypothesis Children'!$C$32:$C$35</f>
        <v>ABC+3TC+EFV</v>
      </c>
      <c r="D273" s="1175">
        <f>'Data &amp; hypothesis Children'!C126</f>
        <v>0</v>
      </c>
      <c r="E273" s="1175">
        <f>'Data &amp; hypothesis Children'!D126</f>
        <v>0</v>
      </c>
      <c r="F273" s="1175">
        <f>'Data &amp; hypothesis Children'!E126</f>
        <v>0</v>
      </c>
      <c r="G273" s="1175">
        <f>'Data &amp; hypothesis Children'!F126</f>
        <v>0</v>
      </c>
      <c r="H273" s="1175">
        <f>'Data &amp; hypothesis Children'!G126</f>
        <v>0</v>
      </c>
      <c r="I273" s="1175">
        <f>'Data &amp; hypothesis Children'!H126</f>
        <v>0</v>
      </c>
      <c r="J273" s="1175">
        <f>'Data &amp; hypothesis Children'!I126</f>
        <v>0</v>
      </c>
      <c r="K273" s="1413">
        <f>'Data &amp; hypothesis Children'!J126</f>
        <v>0</v>
      </c>
      <c r="L273" s="1414">
        <f>'Data &amp; hypothesis Children'!K126</f>
        <v>0</v>
      </c>
      <c r="M273" s="1175">
        <f>'Data &amp; hypothesis Children'!L126</f>
        <v>0</v>
      </c>
      <c r="N273" s="1175">
        <f>'Data &amp; hypothesis Children'!M126</f>
        <v>0</v>
      </c>
      <c r="O273" s="1175">
        <f>'Data &amp; hypothesis Children'!N126</f>
        <v>0</v>
      </c>
      <c r="P273" s="1175">
        <f>'Data &amp; hypothesis Children'!O126</f>
        <v>0</v>
      </c>
      <c r="Q273" s="1175">
        <f>'Data &amp; hypothesis Children'!P126</f>
        <v>0</v>
      </c>
      <c r="R273" s="1175">
        <f>'Data &amp; hypothesis Children'!Q126</f>
        <v>0</v>
      </c>
      <c r="S273" s="1175">
        <f>'Data &amp; hypothesis Children'!R126</f>
        <v>0</v>
      </c>
      <c r="T273" s="1175">
        <f>'Data &amp; hypothesis Children'!S126</f>
        <v>0</v>
      </c>
      <c r="U273" s="1175">
        <f>'Data &amp; hypothesis Children'!T126</f>
        <v>0</v>
      </c>
      <c r="V273" s="1175">
        <f>'Data &amp; hypothesis Children'!U126</f>
        <v>0</v>
      </c>
      <c r="W273" s="1175">
        <f>'Data &amp; hypothesis Children'!V126</f>
        <v>0</v>
      </c>
      <c r="X273" s="1175">
        <f>'Data &amp; hypothesis Children'!W126</f>
        <v>0</v>
      </c>
      <c r="Y273" s="1175">
        <f>'Data &amp; hypothesis Children'!X126</f>
        <v>0</v>
      </c>
      <c r="Z273" s="1175">
        <f>'Data &amp; hypothesis Children'!Y126</f>
        <v>0</v>
      </c>
      <c r="AA273" s="1175">
        <f>'Data &amp; hypothesis Children'!Z126</f>
        <v>0</v>
      </c>
      <c r="AB273" s="1175">
        <f>'Data &amp; hypothesis Children'!AA126</f>
        <v>0</v>
      </c>
      <c r="AC273" s="1175">
        <f>'Data &amp; hypothesis Children'!AB126</f>
        <v>0</v>
      </c>
      <c r="AD273" s="1175">
        <f>'Data &amp; hypothesis Children'!AC126</f>
        <v>0</v>
      </c>
      <c r="AE273" s="1175">
        <f>'Data &amp; hypothesis Children'!AD126</f>
        <v>0</v>
      </c>
      <c r="AF273" s="1175">
        <f>'Data &amp; hypothesis Children'!AE126</f>
        <v>0</v>
      </c>
      <c r="AG273" s="1175">
        <f>'Data &amp; hypothesis Children'!AF126</f>
        <v>0</v>
      </c>
      <c r="AH273" s="1415">
        <f>'Data &amp; hypothesis Children'!AG126</f>
        <v>0</v>
      </c>
      <c r="AI273" s="1339" t="e">
        <f>F75</f>
        <v>#DIV/0!</v>
      </c>
      <c r="AJ273" s="1340" t="e">
        <f>F91</f>
        <v>#DIV/0!</v>
      </c>
    </row>
    <row r="274" spans="1:36" s="1279" customFormat="1" ht="15" x14ac:dyDescent="0.25">
      <c r="A274" s="1282"/>
      <c r="C274" s="1301" t="str">
        <v>TDF+3TC+LPV/r</v>
      </c>
      <c r="D274" s="1175">
        <f>'Data &amp; hypothesis Children'!C127</f>
        <v>0</v>
      </c>
      <c r="E274" s="1175">
        <f>'Data &amp; hypothesis Children'!D127</f>
        <v>0</v>
      </c>
      <c r="F274" s="1175">
        <f>'Data &amp; hypothesis Children'!E127</f>
        <v>0</v>
      </c>
      <c r="G274" s="1175">
        <f>'Data &amp; hypothesis Children'!F127</f>
        <v>0</v>
      </c>
      <c r="H274" s="1175">
        <f>'Data &amp; hypothesis Children'!G127</f>
        <v>0</v>
      </c>
      <c r="I274" s="1175">
        <f>'Data &amp; hypothesis Children'!H127</f>
        <v>0</v>
      </c>
      <c r="J274" s="1175">
        <f>'Data &amp; hypothesis Children'!I127</f>
        <v>0</v>
      </c>
      <c r="K274" s="1413">
        <f>'Data &amp; hypothesis Children'!J127</f>
        <v>0</v>
      </c>
      <c r="L274" s="1414">
        <f>'Data &amp; hypothesis Children'!K127</f>
        <v>0</v>
      </c>
      <c r="M274" s="1175">
        <f>'Data &amp; hypothesis Children'!L127</f>
        <v>0</v>
      </c>
      <c r="N274" s="1175">
        <f>'Data &amp; hypothesis Children'!M127</f>
        <v>0</v>
      </c>
      <c r="O274" s="1175">
        <f>'Data &amp; hypothesis Children'!N127</f>
        <v>0</v>
      </c>
      <c r="P274" s="1175">
        <f>'Data &amp; hypothesis Children'!O127</f>
        <v>0</v>
      </c>
      <c r="Q274" s="1175">
        <f>'Data &amp; hypothesis Children'!P127</f>
        <v>0</v>
      </c>
      <c r="R274" s="1175">
        <f>'Data &amp; hypothesis Children'!Q127</f>
        <v>0</v>
      </c>
      <c r="S274" s="1175">
        <f>'Data &amp; hypothesis Children'!R127</f>
        <v>0</v>
      </c>
      <c r="T274" s="1175">
        <f>'Data &amp; hypothesis Children'!S127</f>
        <v>0</v>
      </c>
      <c r="U274" s="1175">
        <f>'Data &amp; hypothesis Children'!T127</f>
        <v>0</v>
      </c>
      <c r="V274" s="1175">
        <f>'Data &amp; hypothesis Children'!U127</f>
        <v>0</v>
      </c>
      <c r="W274" s="1175">
        <f>'Data &amp; hypothesis Children'!V127</f>
        <v>0</v>
      </c>
      <c r="X274" s="1175">
        <f>'Data &amp; hypothesis Children'!W127</f>
        <v>0</v>
      </c>
      <c r="Y274" s="1175">
        <f>'Data &amp; hypothesis Children'!X127</f>
        <v>0</v>
      </c>
      <c r="Z274" s="1175">
        <f>'Data &amp; hypothesis Children'!Y127</f>
        <v>0</v>
      </c>
      <c r="AA274" s="1175">
        <f>'Data &amp; hypothesis Children'!Z127</f>
        <v>0</v>
      </c>
      <c r="AB274" s="1175">
        <f>'Data &amp; hypothesis Children'!AA127</f>
        <v>0</v>
      </c>
      <c r="AC274" s="1175">
        <f>'Data &amp; hypothesis Children'!AB127</f>
        <v>0</v>
      </c>
      <c r="AD274" s="1175">
        <f>'Data &amp; hypothesis Children'!AC127</f>
        <v>0</v>
      </c>
      <c r="AE274" s="1175">
        <f>'Data &amp; hypothesis Children'!AD127</f>
        <v>0</v>
      </c>
      <c r="AF274" s="1175">
        <f>'Data &amp; hypothesis Children'!AE127</f>
        <v>0</v>
      </c>
      <c r="AG274" s="1175">
        <f>'Data &amp; hypothesis Children'!AF127</f>
        <v>0</v>
      </c>
      <c r="AH274" s="1415">
        <f>'Data &amp; hypothesis Children'!AG127</f>
        <v>0</v>
      </c>
      <c r="AI274" s="1339" t="e">
        <f t="shared" ref="AI274:AI275" si="57">F76</f>
        <v>#DIV/0!</v>
      </c>
      <c r="AJ274" s="1340" t="e">
        <f t="shared" ref="AJ274:AJ275" si="58">F92</f>
        <v>#DIV/0!</v>
      </c>
    </row>
    <row r="275" spans="1:36" s="1279" customFormat="1" ht="15" x14ac:dyDescent="0.25">
      <c r="A275" s="1282"/>
      <c r="C275" s="1301" t="str">
        <v>AZT+3TC+EFV</v>
      </c>
      <c r="D275" s="1175">
        <f>'Data &amp; hypothesis Children'!C128</f>
        <v>0</v>
      </c>
      <c r="E275" s="1175">
        <f>'Data &amp; hypothesis Children'!D128</f>
        <v>0</v>
      </c>
      <c r="F275" s="1175">
        <f>'Data &amp; hypothesis Children'!E128</f>
        <v>0</v>
      </c>
      <c r="G275" s="1175">
        <f>'Data &amp; hypothesis Children'!F128</f>
        <v>0</v>
      </c>
      <c r="H275" s="1175">
        <f>'Data &amp; hypothesis Children'!G128</f>
        <v>0</v>
      </c>
      <c r="I275" s="1175">
        <f>'Data &amp; hypothesis Children'!H128</f>
        <v>0</v>
      </c>
      <c r="J275" s="1175">
        <f>'Data &amp; hypothesis Children'!I128</f>
        <v>0</v>
      </c>
      <c r="K275" s="1413">
        <f>'Data &amp; hypothesis Children'!J128</f>
        <v>0</v>
      </c>
      <c r="L275" s="1414">
        <f>'Data &amp; hypothesis Children'!K128</f>
        <v>0</v>
      </c>
      <c r="M275" s="1175">
        <f>'Data &amp; hypothesis Children'!L128</f>
        <v>0</v>
      </c>
      <c r="N275" s="1175">
        <f>'Data &amp; hypothesis Children'!M128</f>
        <v>0</v>
      </c>
      <c r="O275" s="1175">
        <f>'Data &amp; hypothesis Children'!N128</f>
        <v>0</v>
      </c>
      <c r="P275" s="1175">
        <f>'Data &amp; hypothesis Children'!O128</f>
        <v>0</v>
      </c>
      <c r="Q275" s="1175">
        <f>'Data &amp; hypothesis Children'!P128</f>
        <v>0</v>
      </c>
      <c r="R275" s="1175">
        <f>'Data &amp; hypothesis Children'!Q128</f>
        <v>0</v>
      </c>
      <c r="S275" s="1175">
        <f>'Data &amp; hypothesis Children'!R128</f>
        <v>0</v>
      </c>
      <c r="T275" s="1175">
        <f>'Data &amp; hypothesis Children'!S128</f>
        <v>0</v>
      </c>
      <c r="U275" s="1175">
        <f>'Data &amp; hypothesis Children'!T128</f>
        <v>0</v>
      </c>
      <c r="V275" s="1175">
        <f>'Data &amp; hypothesis Children'!U128</f>
        <v>0</v>
      </c>
      <c r="W275" s="1175">
        <f>'Data &amp; hypothesis Children'!V128</f>
        <v>0</v>
      </c>
      <c r="X275" s="1175">
        <f>'Data &amp; hypothesis Children'!W128</f>
        <v>0</v>
      </c>
      <c r="Y275" s="1175">
        <f>'Data &amp; hypothesis Children'!X128</f>
        <v>0</v>
      </c>
      <c r="Z275" s="1175">
        <f>'Data &amp; hypothesis Children'!Y128</f>
        <v>0</v>
      </c>
      <c r="AA275" s="1175">
        <f>'Data &amp; hypothesis Children'!Z128</f>
        <v>0</v>
      </c>
      <c r="AB275" s="1175">
        <f>'Data &amp; hypothesis Children'!AA128</f>
        <v>0</v>
      </c>
      <c r="AC275" s="1175">
        <f>'Data &amp; hypothesis Children'!AB128</f>
        <v>0</v>
      </c>
      <c r="AD275" s="1175">
        <f>'Data &amp; hypothesis Children'!AC128</f>
        <v>0</v>
      </c>
      <c r="AE275" s="1175">
        <f>'Data &amp; hypothesis Children'!AD128</f>
        <v>0</v>
      </c>
      <c r="AF275" s="1175">
        <f>'Data &amp; hypothesis Children'!AE128</f>
        <v>0</v>
      </c>
      <c r="AG275" s="1175">
        <f>'Data &amp; hypothesis Children'!AF128</f>
        <v>0</v>
      </c>
      <c r="AH275" s="1415">
        <f>'Data &amp; hypothesis Children'!AG128</f>
        <v>0</v>
      </c>
      <c r="AI275" s="1339" t="e">
        <f t="shared" si="57"/>
        <v>#DIV/0!</v>
      </c>
      <c r="AJ275" s="1340" t="e">
        <f t="shared" si="58"/>
        <v>#DIV/0!</v>
      </c>
    </row>
    <row r="276" spans="1:36" s="1279" customFormat="1" ht="15.75" thickBot="1" x14ac:dyDescent="0.3">
      <c r="A276" s="1282"/>
      <c r="C276" s="1301">
        <v>0</v>
      </c>
      <c r="D276" s="1175">
        <f>'Data &amp; hypothesis Children'!C129</f>
        <v>0</v>
      </c>
      <c r="E276" s="1175">
        <f>'Data &amp; hypothesis Children'!D129</f>
        <v>0</v>
      </c>
      <c r="F276" s="1175">
        <f>'Data &amp; hypothesis Children'!E129</f>
        <v>0</v>
      </c>
      <c r="G276" s="1175">
        <f>'Data &amp; hypothesis Children'!F129</f>
        <v>0</v>
      </c>
      <c r="H276" s="1175">
        <f>'Data &amp; hypothesis Children'!G129</f>
        <v>0</v>
      </c>
      <c r="I276" s="1175">
        <f>'Data &amp; hypothesis Children'!H129</f>
        <v>0</v>
      </c>
      <c r="J276" s="1175">
        <f>'Data &amp; hypothesis Children'!I129</f>
        <v>0</v>
      </c>
      <c r="K276" s="1413">
        <f>'Data &amp; hypothesis Children'!J129</f>
        <v>0</v>
      </c>
      <c r="L276" s="1417">
        <f>'Data &amp; hypothesis Children'!K129</f>
        <v>0</v>
      </c>
      <c r="M276" s="1418">
        <f>'Data &amp; hypothesis Children'!L129</f>
        <v>0</v>
      </c>
      <c r="N276" s="1418">
        <f>'Data &amp; hypothesis Children'!M129</f>
        <v>0</v>
      </c>
      <c r="O276" s="1418">
        <f>'Data &amp; hypothesis Children'!N129</f>
        <v>0</v>
      </c>
      <c r="P276" s="1418">
        <f>'Data &amp; hypothesis Children'!O129</f>
        <v>0</v>
      </c>
      <c r="Q276" s="1418">
        <f>'Data &amp; hypothesis Children'!P129</f>
        <v>0</v>
      </c>
      <c r="R276" s="1418">
        <f>'Data &amp; hypothesis Children'!Q129</f>
        <v>0</v>
      </c>
      <c r="S276" s="1418">
        <f>'Data &amp; hypothesis Children'!R129</f>
        <v>0</v>
      </c>
      <c r="T276" s="1418">
        <f>'Data &amp; hypothesis Children'!S129</f>
        <v>0</v>
      </c>
      <c r="U276" s="1418">
        <f>'Data &amp; hypothesis Children'!T129</f>
        <v>0</v>
      </c>
      <c r="V276" s="1418">
        <f>'Data &amp; hypothesis Children'!U129</f>
        <v>0</v>
      </c>
      <c r="W276" s="1418">
        <f>'Data &amp; hypothesis Children'!V129</f>
        <v>0</v>
      </c>
      <c r="X276" s="1418">
        <f>'Data &amp; hypothesis Children'!W129</f>
        <v>0</v>
      </c>
      <c r="Y276" s="1418">
        <f>'Data &amp; hypothesis Children'!X129</f>
        <v>0</v>
      </c>
      <c r="Z276" s="1418">
        <f>'Data &amp; hypothesis Children'!Y129</f>
        <v>0</v>
      </c>
      <c r="AA276" s="1418">
        <f>'Data &amp; hypothesis Children'!Z129</f>
        <v>0</v>
      </c>
      <c r="AB276" s="1418" t="str">
        <f>'Data &amp; hypothesis Children'!AA129</f>
        <v>X</v>
      </c>
      <c r="AC276" s="1418">
        <f>'Data &amp; hypothesis Children'!AB129</f>
        <v>0</v>
      </c>
      <c r="AD276" s="1418">
        <f>'Data &amp; hypothesis Children'!AC129</f>
        <v>0</v>
      </c>
      <c r="AE276" s="1418">
        <f>'Data &amp; hypothesis Children'!AD129</f>
        <v>0</v>
      </c>
      <c r="AF276" s="1418">
        <f>'Data &amp; hypothesis Children'!AE129</f>
        <v>0</v>
      </c>
      <c r="AG276" s="1418">
        <f>'Data &amp; hypothesis Children'!AF129</f>
        <v>0</v>
      </c>
      <c r="AH276" s="1419">
        <f>'Data &amp; hypothesis Children'!AG129</f>
        <v>0</v>
      </c>
      <c r="AI276" s="1339" t="e">
        <f>F78</f>
        <v>#DIV/0!</v>
      </c>
      <c r="AJ276" s="1340" t="e">
        <f>F94</f>
        <v>#DIV/0!</v>
      </c>
    </row>
    <row r="277" spans="1:36" s="1304" customFormat="1" ht="26.25" thickBot="1" x14ac:dyDescent="0.25">
      <c r="A277" s="1303"/>
      <c r="C277" s="1305" t="str">
        <f>'TRAD-Children YEAR(1)'!B118</f>
        <v>Nb de patients-mois / produit - SANS SS</v>
      </c>
      <c r="D277" s="1306">
        <f t="shared" ref="D277:AE277" si="59">SUMIF(D266:D276, "X", $AI266:$AI276)</f>
        <v>0</v>
      </c>
      <c r="E277" s="1306">
        <f t="shared" si="59"/>
        <v>0</v>
      </c>
      <c r="F277" s="1306">
        <f t="shared" si="59"/>
        <v>0</v>
      </c>
      <c r="G277" s="1306">
        <f t="shared" si="59"/>
        <v>0</v>
      </c>
      <c r="H277" s="1306">
        <f t="shared" si="59"/>
        <v>0</v>
      </c>
      <c r="I277" s="1306">
        <f t="shared" si="59"/>
        <v>0</v>
      </c>
      <c r="J277" s="1306">
        <f t="shared" si="59"/>
        <v>0</v>
      </c>
      <c r="K277" s="1307">
        <f t="shared" si="59"/>
        <v>0</v>
      </c>
      <c r="L277" s="1308">
        <f t="shared" si="59"/>
        <v>0</v>
      </c>
      <c r="M277" s="1306">
        <f t="shared" si="59"/>
        <v>0</v>
      </c>
      <c r="N277" s="1306">
        <f t="shared" si="59"/>
        <v>0</v>
      </c>
      <c r="O277" s="1306">
        <f t="shared" si="59"/>
        <v>0</v>
      </c>
      <c r="P277" s="1306">
        <f t="shared" si="59"/>
        <v>0</v>
      </c>
      <c r="Q277" s="1306">
        <f t="shared" si="59"/>
        <v>0</v>
      </c>
      <c r="R277" s="1306">
        <f t="shared" si="59"/>
        <v>0</v>
      </c>
      <c r="S277" s="1306">
        <f t="shared" si="59"/>
        <v>0</v>
      </c>
      <c r="T277" s="1306">
        <f t="shared" si="59"/>
        <v>0</v>
      </c>
      <c r="U277" s="1306">
        <f t="shared" si="59"/>
        <v>0</v>
      </c>
      <c r="V277" s="1306">
        <f t="shared" si="59"/>
        <v>0</v>
      </c>
      <c r="W277" s="1306">
        <f t="shared" si="59"/>
        <v>0</v>
      </c>
      <c r="X277" s="1306">
        <f t="shared" si="59"/>
        <v>0</v>
      </c>
      <c r="Y277" s="1306">
        <f t="shared" si="59"/>
        <v>0</v>
      </c>
      <c r="Z277" s="1306">
        <f t="shared" si="59"/>
        <v>0</v>
      </c>
      <c r="AA277" s="1306">
        <f t="shared" si="59"/>
        <v>0</v>
      </c>
      <c r="AB277" s="1306" t="e">
        <f t="shared" si="59"/>
        <v>#DIV/0!</v>
      </c>
      <c r="AC277" s="1306">
        <f t="shared" si="59"/>
        <v>0</v>
      </c>
      <c r="AD277" s="1306">
        <f t="shared" si="59"/>
        <v>0</v>
      </c>
      <c r="AE277" s="1306">
        <f t="shared" si="59"/>
        <v>0</v>
      </c>
      <c r="AF277" s="1306">
        <f t="shared" ref="AF277" si="60">SUMIF(AF266:AF276, "X", $AI266:$AI276)</f>
        <v>0</v>
      </c>
      <c r="AG277" s="1306">
        <f t="shared" ref="AG277" si="61">SUMIF(AG266:AG276, "X", $AI266:$AI276)</f>
        <v>0</v>
      </c>
      <c r="AH277" s="1306">
        <f>SUMIF(AH266:$AH$276, "X", $AI266:$AI276)</f>
        <v>0</v>
      </c>
    </row>
    <row r="278" spans="1:36" s="1304" customFormat="1" ht="26.25" thickBot="1" x14ac:dyDescent="0.25">
      <c r="A278" s="1303"/>
      <c r="C278" s="1305" t="str">
        <f>'TRAD-Children YEAR(1)'!B119</f>
        <v>Nb de patients-mois / produit - AVEC SS</v>
      </c>
      <c r="D278" s="1309">
        <f t="shared" ref="D278:AG278" si="62">SUMIF(D266:D276, "X", $AJ266:$AJ276)</f>
        <v>0</v>
      </c>
      <c r="E278" s="1309">
        <f t="shared" si="62"/>
        <v>0</v>
      </c>
      <c r="F278" s="1309">
        <f t="shared" si="62"/>
        <v>0</v>
      </c>
      <c r="G278" s="1309">
        <f t="shared" si="62"/>
        <v>0</v>
      </c>
      <c r="H278" s="1309">
        <f t="shared" si="62"/>
        <v>0</v>
      </c>
      <c r="I278" s="1309">
        <f t="shared" si="62"/>
        <v>3.2306975806451614</v>
      </c>
      <c r="J278" s="1309">
        <f t="shared" si="62"/>
        <v>0</v>
      </c>
      <c r="K278" s="1310">
        <f t="shared" si="62"/>
        <v>188.69279032258066</v>
      </c>
      <c r="L278" s="1311">
        <f t="shared" si="62"/>
        <v>0</v>
      </c>
      <c r="M278" s="1309">
        <f t="shared" si="62"/>
        <v>375.56859374999999</v>
      </c>
      <c r="N278" s="1309">
        <f t="shared" si="62"/>
        <v>0</v>
      </c>
      <c r="O278" s="1309">
        <f t="shared" si="62"/>
        <v>188.69279032258066</v>
      </c>
      <c r="P278" s="1309">
        <f t="shared" si="62"/>
        <v>0</v>
      </c>
      <c r="Q278" s="1309">
        <f t="shared" si="62"/>
        <v>0</v>
      </c>
      <c r="R278" s="1309">
        <f t="shared" si="62"/>
        <v>0</v>
      </c>
      <c r="S278" s="1309">
        <f t="shared" si="62"/>
        <v>0</v>
      </c>
      <c r="T278" s="1309">
        <f t="shared" si="62"/>
        <v>0</v>
      </c>
      <c r="U278" s="1309">
        <f t="shared" si="62"/>
        <v>3.2306975806451614</v>
      </c>
      <c r="V278" s="1309">
        <f t="shared" si="62"/>
        <v>0</v>
      </c>
      <c r="W278" s="1309">
        <f t="shared" si="62"/>
        <v>0</v>
      </c>
      <c r="X278" s="1309">
        <f t="shared" si="62"/>
        <v>0</v>
      </c>
      <c r="Y278" s="1309">
        <f t="shared" si="62"/>
        <v>0</v>
      </c>
      <c r="Z278" s="1309">
        <f t="shared" si="62"/>
        <v>0</v>
      </c>
      <c r="AA278" s="1309">
        <f t="shared" si="62"/>
        <v>0</v>
      </c>
      <c r="AB278" s="1309" t="e">
        <f t="shared" si="62"/>
        <v>#DIV/0!</v>
      </c>
      <c r="AC278" s="1309">
        <f t="shared" si="62"/>
        <v>0</v>
      </c>
      <c r="AD278" s="1309">
        <f t="shared" si="62"/>
        <v>0</v>
      </c>
      <c r="AE278" s="1309">
        <f t="shared" si="62"/>
        <v>0</v>
      </c>
      <c r="AF278" s="1309">
        <f t="shared" si="62"/>
        <v>0</v>
      </c>
      <c r="AG278" s="1309">
        <f t="shared" si="62"/>
        <v>0</v>
      </c>
      <c r="AH278" s="1309">
        <f>SUMIF(AH266:$AH$276, "X", $AJ266:$AJ276)</f>
        <v>0</v>
      </c>
    </row>
    <row r="279" spans="1:36" s="1304" customFormat="1" ht="26.25" thickBot="1" x14ac:dyDescent="0.25">
      <c r="A279" s="1303"/>
      <c r="C279" s="1305" t="str">
        <f>'TRAD-Children YEAR(1)'!B120</f>
        <v>Nb de cdt - Estimation période SANS SS</v>
      </c>
      <c r="D279" s="1312">
        <f>D277*D264</f>
        <v>0</v>
      </c>
      <c r="E279" s="1312">
        <f>E277*E264</f>
        <v>0</v>
      </c>
      <c r="F279" s="1312">
        <f t="shared" ref="F279:AH279" si="63">F277*F264</f>
        <v>0</v>
      </c>
      <c r="G279" s="1312">
        <f t="shared" si="63"/>
        <v>0</v>
      </c>
      <c r="H279" s="1312">
        <f t="shared" si="63"/>
        <v>0</v>
      </c>
      <c r="I279" s="1312">
        <f t="shared" si="63"/>
        <v>0</v>
      </c>
      <c r="J279" s="1312">
        <f t="shared" si="63"/>
        <v>0</v>
      </c>
      <c r="K279" s="1313">
        <f t="shared" si="63"/>
        <v>0</v>
      </c>
      <c r="L279" s="1314">
        <f t="shared" si="63"/>
        <v>0</v>
      </c>
      <c r="M279" s="1312">
        <f t="shared" si="63"/>
        <v>0</v>
      </c>
      <c r="N279" s="1312">
        <f t="shared" si="63"/>
        <v>0</v>
      </c>
      <c r="O279" s="1312">
        <f t="shared" si="63"/>
        <v>0</v>
      </c>
      <c r="P279" s="1312">
        <f t="shared" si="63"/>
        <v>0</v>
      </c>
      <c r="Q279" s="1312">
        <f t="shared" si="63"/>
        <v>0</v>
      </c>
      <c r="R279" s="1312">
        <f t="shared" ref="R279" si="64">R277*R264</f>
        <v>0</v>
      </c>
      <c r="S279" s="1312">
        <f t="shared" si="63"/>
        <v>0</v>
      </c>
      <c r="T279" s="1312">
        <f t="shared" si="63"/>
        <v>0</v>
      </c>
      <c r="U279" s="1312">
        <f t="shared" si="63"/>
        <v>0</v>
      </c>
      <c r="V279" s="1312">
        <f t="shared" ref="V279:AG279" si="65">V277*V264</f>
        <v>0</v>
      </c>
      <c r="W279" s="1312">
        <f t="shared" ref="W279:Y279" si="66">W277*W264</f>
        <v>0</v>
      </c>
      <c r="X279" s="1312">
        <f t="shared" ref="X279" si="67">X277*X264</f>
        <v>0</v>
      </c>
      <c r="Y279" s="1312">
        <f t="shared" si="66"/>
        <v>0</v>
      </c>
      <c r="Z279" s="1312">
        <f t="shared" si="65"/>
        <v>0</v>
      </c>
      <c r="AA279" s="1312">
        <f t="shared" si="65"/>
        <v>0</v>
      </c>
      <c r="AB279" s="1312" t="e">
        <f t="shared" si="65"/>
        <v>#DIV/0!</v>
      </c>
      <c r="AC279" s="1312">
        <f t="shared" si="65"/>
        <v>0</v>
      </c>
      <c r="AD279" s="1312">
        <f t="shared" si="65"/>
        <v>0</v>
      </c>
      <c r="AE279" s="1312">
        <f t="shared" ref="AE279" si="68">AE277*AE264</f>
        <v>0</v>
      </c>
      <c r="AF279" s="1312">
        <f t="shared" si="65"/>
        <v>0</v>
      </c>
      <c r="AG279" s="1312">
        <f t="shared" si="65"/>
        <v>0</v>
      </c>
      <c r="AH279" s="1312">
        <f t="shared" si="63"/>
        <v>0</v>
      </c>
    </row>
    <row r="280" spans="1:36" s="1304" customFormat="1" ht="26.25" thickBot="1" x14ac:dyDescent="0.25">
      <c r="A280" s="1303"/>
      <c r="C280" s="1305" t="str">
        <f>'TRAD-Children YEAR(1)'!B121</f>
        <v>Nb de cdt - Estimation période AVEC SS</v>
      </c>
      <c r="D280" s="1315">
        <f>D278*D264</f>
        <v>0</v>
      </c>
      <c r="E280" s="1315">
        <f t="shared" ref="E280:AH280" si="69">E278*E264</f>
        <v>0</v>
      </c>
      <c r="F280" s="1315">
        <f t="shared" si="69"/>
        <v>0</v>
      </c>
      <c r="G280" s="1315">
        <f t="shared" si="69"/>
        <v>0</v>
      </c>
      <c r="H280" s="1315">
        <f t="shared" si="69"/>
        <v>0</v>
      </c>
      <c r="I280" s="1315">
        <f t="shared" si="69"/>
        <v>5.6537207661290321</v>
      </c>
      <c r="J280" s="1315">
        <f t="shared" si="69"/>
        <v>0</v>
      </c>
      <c r="K280" s="1316">
        <f t="shared" si="69"/>
        <v>283.03918548387099</v>
      </c>
      <c r="L280" s="1317">
        <f t="shared" si="69"/>
        <v>0</v>
      </c>
      <c r="M280" s="1315">
        <f t="shared" si="69"/>
        <v>563.35289062499999</v>
      </c>
      <c r="N280" s="1315">
        <f t="shared" si="69"/>
        <v>0</v>
      </c>
      <c r="O280" s="1315">
        <f t="shared" si="69"/>
        <v>283.03918548387099</v>
      </c>
      <c r="P280" s="1315">
        <f t="shared" si="69"/>
        <v>0</v>
      </c>
      <c r="Q280" s="1315">
        <f t="shared" si="69"/>
        <v>0</v>
      </c>
      <c r="R280" s="1315">
        <f t="shared" ref="R280" si="70">R278*R264</f>
        <v>0</v>
      </c>
      <c r="S280" s="1315">
        <f t="shared" si="69"/>
        <v>0</v>
      </c>
      <c r="T280" s="1315">
        <f t="shared" si="69"/>
        <v>0</v>
      </c>
      <c r="U280" s="1315">
        <f t="shared" si="69"/>
        <v>0</v>
      </c>
      <c r="V280" s="1315">
        <f t="shared" ref="V280:AG280" si="71">V278*V264</f>
        <v>0</v>
      </c>
      <c r="W280" s="1315">
        <f t="shared" ref="W280:Y280" si="72">W278*W264</f>
        <v>0</v>
      </c>
      <c r="X280" s="1315">
        <f t="shared" ref="X280" si="73">X278*X264</f>
        <v>0</v>
      </c>
      <c r="Y280" s="1315">
        <f t="shared" si="72"/>
        <v>0</v>
      </c>
      <c r="Z280" s="1315">
        <f t="shared" si="71"/>
        <v>0</v>
      </c>
      <c r="AA280" s="1315">
        <f t="shared" si="71"/>
        <v>0</v>
      </c>
      <c r="AB280" s="1315" t="e">
        <f t="shared" si="71"/>
        <v>#DIV/0!</v>
      </c>
      <c r="AC280" s="1315">
        <f t="shared" si="71"/>
        <v>0</v>
      </c>
      <c r="AD280" s="1315">
        <f t="shared" si="71"/>
        <v>0</v>
      </c>
      <c r="AE280" s="1315">
        <f t="shared" ref="AE280" si="74">AE278*AE264</f>
        <v>0</v>
      </c>
      <c r="AF280" s="1315">
        <f t="shared" si="71"/>
        <v>0</v>
      </c>
      <c r="AG280" s="1315">
        <f t="shared" si="71"/>
        <v>0</v>
      </c>
      <c r="AH280" s="1315">
        <f t="shared" si="69"/>
        <v>0</v>
      </c>
    </row>
    <row r="281" spans="1:36" s="1279" customFormat="1" x14ac:dyDescent="0.2">
      <c r="A281" s="1282"/>
    </row>
    <row r="282" spans="1:36" s="1279" customFormat="1" ht="13.5" thickBot="1" x14ac:dyDescent="0.25">
      <c r="A282" s="1282"/>
    </row>
    <row r="283" spans="1:36" s="1279" customFormat="1" ht="13.5" thickBot="1" x14ac:dyDescent="0.25">
      <c r="A283" s="1282"/>
      <c r="B283" s="1283" t="str">
        <f>'TRAD-Children YEAR(1)'!B124</f>
        <v>Tranche 10 - 14,9 kg</v>
      </c>
      <c r="C283" s="1284"/>
      <c r="D283" s="1285"/>
      <c r="E283" s="1285"/>
      <c r="F283" s="1285"/>
      <c r="G283" s="1285"/>
      <c r="H283" s="1285"/>
      <c r="I283" s="1286"/>
    </row>
    <row r="284" spans="1:36" s="1279" customFormat="1" ht="13.5" thickBot="1" x14ac:dyDescent="0.25">
      <c r="A284" s="1282"/>
      <c r="B284" s="1323"/>
      <c r="C284" s="1324"/>
      <c r="D284" s="1325"/>
      <c r="E284" s="1325"/>
      <c r="F284" s="1325"/>
      <c r="G284" s="1325"/>
      <c r="H284" s="1325"/>
      <c r="I284" s="1325"/>
    </row>
    <row r="285" spans="1:36" s="1279" customFormat="1" ht="26.25" thickBot="1" x14ac:dyDescent="0.25">
      <c r="A285" s="1282"/>
      <c r="D285" s="1287" t="str">
        <f>'TRAD-Children YEAR(1)'!B90</f>
        <v>Solutions buvables</v>
      </c>
      <c r="E285" s="1288"/>
      <c r="F285" s="1288"/>
      <c r="G285" s="1288"/>
      <c r="H285" s="1288"/>
      <c r="I285" s="1288"/>
      <c r="J285" s="1284"/>
      <c r="K285" s="1284"/>
      <c r="L285" s="1289" t="str">
        <f>'TRAD-Children YEAR(1)'!B91</f>
        <v>Comprimés</v>
      </c>
      <c r="M285" s="1284"/>
      <c r="N285" s="1284"/>
      <c r="O285" s="1284"/>
      <c r="P285" s="1284"/>
      <c r="Q285" s="1284"/>
      <c r="R285" s="1284"/>
      <c r="S285" s="1284"/>
      <c r="T285" s="1284"/>
      <c r="U285" s="1284"/>
      <c r="V285" s="1284"/>
      <c r="W285" s="1945"/>
      <c r="X285" s="1945"/>
      <c r="Y285" s="1945"/>
      <c r="Z285" s="1284"/>
      <c r="AA285" s="1284"/>
      <c r="AB285" s="1284"/>
      <c r="AC285" s="1284"/>
      <c r="AD285" s="1284"/>
      <c r="AE285" s="1284"/>
      <c r="AF285" s="1284"/>
      <c r="AG285" s="1284"/>
      <c r="AH285" s="1284"/>
    </row>
    <row r="286" spans="1:36" s="1292" customFormat="1" ht="25.5" x14ac:dyDescent="0.2">
      <c r="A286" s="1291"/>
      <c r="C286" s="1332" t="str">
        <f>'TRAD-Children YEAR(1)'!B113</f>
        <v>Nb de boites / mois pour l'ensemble des patients</v>
      </c>
      <c r="D286" s="1329" t="s">
        <v>39</v>
      </c>
      <c r="E286" s="1329" t="s">
        <v>61</v>
      </c>
      <c r="F286" s="1329" t="s">
        <v>15</v>
      </c>
      <c r="G286" s="1329" t="s">
        <v>25</v>
      </c>
      <c r="H286" s="1329" t="s">
        <v>28</v>
      </c>
      <c r="I286" s="1329" t="s">
        <v>19</v>
      </c>
      <c r="J286" s="1329" t="s">
        <v>17</v>
      </c>
      <c r="K286" s="1333" t="s">
        <v>33</v>
      </c>
      <c r="L286" s="1334" t="s">
        <v>7</v>
      </c>
      <c r="M286" s="1330" t="s">
        <v>386</v>
      </c>
      <c r="N286" s="1330" t="s">
        <v>11</v>
      </c>
      <c r="O286" s="1330" t="s">
        <v>387</v>
      </c>
      <c r="P286" s="1330" t="s">
        <v>50</v>
      </c>
      <c r="Q286" s="1330" t="s">
        <v>392</v>
      </c>
      <c r="R286" s="1330" t="s">
        <v>81</v>
      </c>
      <c r="S286" s="1330" t="s">
        <v>140</v>
      </c>
      <c r="T286" s="1330" t="s">
        <v>635</v>
      </c>
      <c r="U286" s="1330" t="s">
        <v>586</v>
      </c>
      <c r="V286" s="1330" t="s">
        <v>575</v>
      </c>
      <c r="W286" s="1946"/>
      <c r="X286" s="1946"/>
      <c r="Y286" s="1946"/>
      <c r="Z286" s="1422" t="s">
        <v>15</v>
      </c>
      <c r="AA286" s="1330" t="s">
        <v>25</v>
      </c>
      <c r="AB286" s="1330" t="s">
        <v>648</v>
      </c>
      <c r="AC286" s="1330" t="s">
        <v>28</v>
      </c>
      <c r="AD286" s="1422" t="s">
        <v>19</v>
      </c>
      <c r="AE286" s="1586" t="s">
        <v>19</v>
      </c>
      <c r="AF286" s="1422" t="s">
        <v>17</v>
      </c>
      <c r="AG286" s="1330" t="s">
        <v>33</v>
      </c>
      <c r="AH286" s="1335" t="s">
        <v>638</v>
      </c>
    </row>
    <row r="287" spans="1:36" s="1292" customFormat="1" ht="25.5" x14ac:dyDescent="0.2">
      <c r="A287" s="1291"/>
      <c r="C287" s="1332" t="str">
        <f>'TRAD-Children YEAR(1)'!B114</f>
        <v>Dosage</v>
      </c>
      <c r="D287" s="1329" t="s">
        <v>41</v>
      </c>
      <c r="E287" s="1329" t="s">
        <v>41</v>
      </c>
      <c r="F287" s="1329" t="s">
        <v>41</v>
      </c>
      <c r="G287" s="1329" t="s">
        <v>44</v>
      </c>
      <c r="H287" s="1329" t="s">
        <v>46</v>
      </c>
      <c r="I287" s="1329" t="s">
        <v>41</v>
      </c>
      <c r="J287" s="1329" t="s">
        <v>259</v>
      </c>
      <c r="K287" s="1333" t="s">
        <v>47</v>
      </c>
      <c r="L287" s="1336" t="s">
        <v>9</v>
      </c>
      <c r="M287" s="1331" t="s">
        <v>384</v>
      </c>
      <c r="N287" s="1331" t="s">
        <v>12</v>
      </c>
      <c r="O287" s="1331" t="s">
        <v>382</v>
      </c>
      <c r="P287" s="1331" t="s">
        <v>80</v>
      </c>
      <c r="Q287" s="1331" t="s">
        <v>131</v>
      </c>
      <c r="R287" s="1331" t="s">
        <v>733</v>
      </c>
      <c r="S287" s="1331" t="s">
        <v>334</v>
      </c>
      <c r="T287" s="1331" t="s">
        <v>636</v>
      </c>
      <c r="U287" s="1331" t="s">
        <v>649</v>
      </c>
      <c r="V287" s="1331" t="s">
        <v>636</v>
      </c>
      <c r="W287" s="1331"/>
      <c r="X287" s="1331"/>
      <c r="Y287" s="1331"/>
      <c r="Z287" s="1424" t="s">
        <v>16</v>
      </c>
      <c r="AA287" s="1331" t="s">
        <v>23</v>
      </c>
      <c r="AB287" s="1331" t="s">
        <v>639</v>
      </c>
      <c r="AC287" s="1331" t="s">
        <v>29</v>
      </c>
      <c r="AD287" s="1424" t="s">
        <v>20</v>
      </c>
      <c r="AE287" s="1424" t="s">
        <v>248</v>
      </c>
      <c r="AF287" s="1424" t="s">
        <v>20</v>
      </c>
      <c r="AG287" s="1331" t="s">
        <v>34</v>
      </c>
      <c r="AH287" s="1337" t="s">
        <v>637</v>
      </c>
    </row>
    <row r="288" spans="1:36" s="1281" customFormat="1" ht="26.25" thickBot="1" x14ac:dyDescent="0.25">
      <c r="A288" s="1280"/>
      <c r="C288" s="1332" t="str">
        <f>'TRAD-Children YEAR(1)'!B115</f>
        <v>Nb de cdt/mois pour la tranche</v>
      </c>
      <c r="D288" s="1404">
        <f t="array" ref="D288:AH288">TRANSPOSE($E$224:$E$254)</f>
        <v>3</v>
      </c>
      <c r="E288" s="1404">
        <v>3</v>
      </c>
      <c r="F288" s="1404">
        <v>1.5</v>
      </c>
      <c r="G288" s="1404">
        <v>1.5</v>
      </c>
      <c r="H288" s="1404">
        <v>2.1</v>
      </c>
      <c r="I288" s="1404">
        <v>2.5</v>
      </c>
      <c r="J288" s="1404">
        <v>1.1666666666666667</v>
      </c>
      <c r="K288" s="1405">
        <v>2</v>
      </c>
      <c r="L288" s="1406">
        <v>0</v>
      </c>
      <c r="M288" s="1407">
        <v>2</v>
      </c>
      <c r="N288" s="1407">
        <v>0</v>
      </c>
      <c r="O288" s="1407">
        <v>2</v>
      </c>
      <c r="P288" s="1407">
        <v>0</v>
      </c>
      <c r="Q288" s="1407">
        <v>2</v>
      </c>
      <c r="R288" s="1407">
        <v>2</v>
      </c>
      <c r="S288" s="1407">
        <v>0</v>
      </c>
      <c r="T288" s="1407">
        <v>2</v>
      </c>
      <c r="U288" s="1407">
        <v>0</v>
      </c>
      <c r="V288" s="1407">
        <v>2</v>
      </c>
      <c r="W288" s="1407">
        <v>0</v>
      </c>
      <c r="X288" s="1407">
        <v>0</v>
      </c>
      <c r="Y288" s="1407">
        <v>0</v>
      </c>
      <c r="Z288" s="1407">
        <v>0</v>
      </c>
      <c r="AA288" s="1407">
        <v>0</v>
      </c>
      <c r="AB288" s="1407">
        <v>2</v>
      </c>
      <c r="AC288" s="1407">
        <v>0</v>
      </c>
      <c r="AD288" s="1407">
        <v>0</v>
      </c>
      <c r="AE288" s="1407">
        <v>2</v>
      </c>
      <c r="AF288" s="1407">
        <v>1</v>
      </c>
      <c r="AG288" s="1407">
        <v>0</v>
      </c>
      <c r="AH288" s="1407">
        <v>1.5</v>
      </c>
      <c r="AI288" s="1338" t="s">
        <v>207</v>
      </c>
    </row>
    <row r="289" spans="1:36" s="1279" customFormat="1" ht="63.75" x14ac:dyDescent="0.2">
      <c r="A289" s="1282"/>
      <c r="B289" s="1293" t="str">
        <f>'TRAD-Children YEAR(1)'!B6</f>
        <v>Schéma thérapeutique</v>
      </c>
      <c r="C289" s="1332" t="str">
        <f>'TRAD-Children YEAR(1)'!B116</f>
        <v>Premières lignes</v>
      </c>
      <c r="D289" s="1297"/>
      <c r="E289" s="1297"/>
      <c r="F289" s="1297"/>
      <c r="G289" s="1297"/>
      <c r="H289" s="1297"/>
      <c r="I289" s="1297"/>
      <c r="J289" s="1297"/>
      <c r="K289" s="1298"/>
      <c r="L289" s="1299"/>
      <c r="M289" s="1297"/>
      <c r="N289" s="1297"/>
      <c r="O289" s="1297"/>
      <c r="P289" s="1297"/>
      <c r="Q289" s="1297"/>
      <c r="R289" s="1297"/>
      <c r="S289" s="1297"/>
      <c r="T289" s="1297"/>
      <c r="U289" s="1297"/>
      <c r="V289" s="1297"/>
      <c r="W289" s="1297"/>
      <c r="X289" s="1297"/>
      <c r="Y289" s="1297"/>
      <c r="Z289" s="1297"/>
      <c r="AA289" s="1297"/>
      <c r="AB289" s="1297"/>
      <c r="AC289" s="1297"/>
      <c r="AD289" s="1297"/>
      <c r="AE289" s="1297"/>
      <c r="AF289" s="1297"/>
      <c r="AG289" s="1297"/>
      <c r="AH289" s="1297"/>
      <c r="AI289" s="1318" t="str">
        <f>'TRAD-Children YEAR(1)'!B122</f>
        <v>nb de patients mois période quantifiée</v>
      </c>
      <c r="AJ289" s="1318" t="str">
        <f>'TRAD-Children YEAR(1)'!B123</f>
        <v>nb de patients mois avec période de sécurité</v>
      </c>
    </row>
    <row r="290" spans="1:36" s="1279" customFormat="1" ht="15" x14ac:dyDescent="0.25">
      <c r="A290" s="1282"/>
      <c r="C290" s="1319" t="str">
        <f t="array" ref="C290:C295">'Data &amp; hypothesis Children'!$C$26:$C$31</f>
        <v>D4T+3TC+NVP</v>
      </c>
      <c r="D290" s="1175">
        <f>'Data &amp; hypothesis Children'!C137</f>
        <v>0</v>
      </c>
      <c r="E290" s="1175">
        <f>'Data &amp; hypothesis Children'!D137</f>
        <v>0</v>
      </c>
      <c r="F290" s="1175">
        <f>'Data &amp; hypothesis Children'!E137</f>
        <v>0</v>
      </c>
      <c r="G290" s="1175">
        <f>'Data &amp; hypothesis Children'!F137</f>
        <v>0</v>
      </c>
      <c r="H290" s="1175">
        <f>'Data &amp; hypothesis Children'!G137</f>
        <v>0</v>
      </c>
      <c r="I290" s="1175">
        <f>'Data &amp; hypothesis Children'!H137</f>
        <v>0</v>
      </c>
      <c r="J290" s="1175">
        <f>'Data &amp; hypothesis Children'!I137</f>
        <v>0</v>
      </c>
      <c r="K290" s="1413">
        <f>'Data &amp; hypothesis Children'!J137</f>
        <v>0</v>
      </c>
      <c r="L290" s="1414">
        <f>'Data &amp; hypothesis Children'!K137</f>
        <v>0</v>
      </c>
      <c r="M290" s="1175">
        <f>'Data &amp; hypothesis Children'!L137</f>
        <v>0</v>
      </c>
      <c r="N290" s="1175">
        <f>'Data &amp; hypothesis Children'!M137</f>
        <v>0</v>
      </c>
      <c r="O290" s="1175">
        <f>'Data &amp; hypothesis Children'!N137</f>
        <v>0</v>
      </c>
      <c r="P290" s="1175">
        <f>'Data &amp; hypothesis Children'!O137</f>
        <v>0</v>
      </c>
      <c r="Q290" s="1175">
        <f>'Data &amp; hypothesis Children'!P137</f>
        <v>0</v>
      </c>
      <c r="R290" s="1175">
        <f>'Data &amp; hypothesis Children'!Q137</f>
        <v>0</v>
      </c>
      <c r="S290" s="1175">
        <f>'Data &amp; hypothesis Children'!R137</f>
        <v>0</v>
      </c>
      <c r="T290" s="1175">
        <f>'Data &amp; hypothesis Children'!S137</f>
        <v>0</v>
      </c>
      <c r="U290" s="1175">
        <f>'Data &amp; hypothesis Children'!T137</f>
        <v>0</v>
      </c>
      <c r="V290" s="1175">
        <f>'Data &amp; hypothesis Children'!U137</f>
        <v>0</v>
      </c>
      <c r="W290" s="1175">
        <f>'Data &amp; hypothesis Children'!V137</f>
        <v>0</v>
      </c>
      <c r="X290" s="1175">
        <f>'Data &amp; hypothesis Children'!W137</f>
        <v>0</v>
      </c>
      <c r="Y290" s="1175">
        <f>'Data &amp; hypothesis Children'!X137</f>
        <v>0</v>
      </c>
      <c r="Z290" s="1175">
        <f>'Data &amp; hypothesis Children'!Y137</f>
        <v>0</v>
      </c>
      <c r="AA290" s="1175">
        <f>'Data &amp; hypothesis Children'!Z137</f>
        <v>0</v>
      </c>
      <c r="AB290" s="1175">
        <f>'Data &amp; hypothesis Children'!AA137</f>
        <v>0</v>
      </c>
      <c r="AC290" s="1175">
        <f>'Data &amp; hypothesis Children'!AB137</f>
        <v>0</v>
      </c>
      <c r="AD290" s="1175">
        <f>'Data &amp; hypothesis Children'!AC137</f>
        <v>0</v>
      </c>
      <c r="AE290" s="1175">
        <f>'Data &amp; hypothesis Children'!AD137</f>
        <v>0</v>
      </c>
      <c r="AF290" s="1175">
        <f>'Data &amp; hypothesis Children'!AE137</f>
        <v>0</v>
      </c>
      <c r="AG290" s="1175">
        <f>'Data &amp; hypothesis Children'!AF137</f>
        <v>0</v>
      </c>
      <c r="AH290" s="1415">
        <f>'Data &amp; hypothesis Children'!AG137</f>
        <v>0</v>
      </c>
      <c r="AI290" s="1339">
        <f t="shared" ref="AI290:AI295" si="75">G69</f>
        <v>0</v>
      </c>
      <c r="AJ290" s="1340">
        <f t="shared" ref="AJ290:AJ295" si="76">G85</f>
        <v>0</v>
      </c>
    </row>
    <row r="291" spans="1:36" s="1279" customFormat="1" ht="15" x14ac:dyDescent="0.25">
      <c r="A291" s="1282"/>
      <c r="C291" s="1319" t="str">
        <v>AZT+3TC+NVP</v>
      </c>
      <c r="D291" s="1175">
        <f>'Data &amp; hypothesis Children'!C138</f>
        <v>0</v>
      </c>
      <c r="E291" s="1175">
        <f>'Data &amp; hypothesis Children'!D138</f>
        <v>0</v>
      </c>
      <c r="F291" s="1175">
        <f>'Data &amp; hypothesis Children'!E138</f>
        <v>0</v>
      </c>
      <c r="G291" s="1175">
        <f>'Data &amp; hypothesis Children'!F138</f>
        <v>0</v>
      </c>
      <c r="H291" s="1175">
        <f>'Data &amp; hypothesis Children'!G138</f>
        <v>0</v>
      </c>
      <c r="I291" s="1175">
        <f>'Data &amp; hypothesis Children'!H138</f>
        <v>0</v>
      </c>
      <c r="J291" s="1175">
        <f>'Data &amp; hypothesis Children'!I138</f>
        <v>0</v>
      </c>
      <c r="K291" s="1413">
        <f>'Data &amp; hypothesis Children'!J138</f>
        <v>0</v>
      </c>
      <c r="L291" s="1414">
        <f>'Data &amp; hypothesis Children'!K138</f>
        <v>0</v>
      </c>
      <c r="M291" s="1175" t="str">
        <f>'Data &amp; hypothesis Children'!L138</f>
        <v>X</v>
      </c>
      <c r="N291" s="1175">
        <f>'Data &amp; hypothesis Children'!M138</f>
        <v>0</v>
      </c>
      <c r="O291" s="1175">
        <f>'Data &amp; hypothesis Children'!N138</f>
        <v>0</v>
      </c>
      <c r="P291" s="1175">
        <f>'Data &amp; hypothesis Children'!O138</f>
        <v>0</v>
      </c>
      <c r="Q291" s="1175">
        <f>'Data &amp; hypothesis Children'!P138</f>
        <v>0</v>
      </c>
      <c r="R291" s="1175">
        <f>'Data &amp; hypothesis Children'!Q138</f>
        <v>0</v>
      </c>
      <c r="S291" s="1175">
        <f>'Data &amp; hypothesis Children'!R138</f>
        <v>0</v>
      </c>
      <c r="T291" s="1175">
        <f>'Data &amp; hypothesis Children'!S138</f>
        <v>0</v>
      </c>
      <c r="U291" s="1175">
        <f>'Data &amp; hypothesis Children'!T138</f>
        <v>0</v>
      </c>
      <c r="V291" s="1175">
        <f>'Data &amp; hypothesis Children'!U138</f>
        <v>0</v>
      </c>
      <c r="W291" s="1175">
        <f>'Data &amp; hypothesis Children'!V138</f>
        <v>0</v>
      </c>
      <c r="X291" s="1175">
        <f>'Data &amp; hypothesis Children'!W138</f>
        <v>0</v>
      </c>
      <c r="Y291" s="1175">
        <f>'Data &amp; hypothesis Children'!X138</f>
        <v>0</v>
      </c>
      <c r="Z291" s="1175">
        <f>'Data &amp; hypothesis Children'!Y138</f>
        <v>0</v>
      </c>
      <c r="AA291" s="1175">
        <f>'Data &amp; hypothesis Children'!Z138</f>
        <v>0</v>
      </c>
      <c r="AB291" s="1175">
        <f>'Data &amp; hypothesis Children'!AA138</f>
        <v>0</v>
      </c>
      <c r="AC291" s="1175">
        <f>'Data &amp; hypothesis Children'!AB138</f>
        <v>0</v>
      </c>
      <c r="AD291" s="1175">
        <f>'Data &amp; hypothesis Children'!AC138</f>
        <v>0</v>
      </c>
      <c r="AE291" s="1175">
        <f>'Data &amp; hypothesis Children'!AD138</f>
        <v>0</v>
      </c>
      <c r="AF291" s="1175">
        <f>'Data &amp; hypothesis Children'!AE138</f>
        <v>0</v>
      </c>
      <c r="AG291" s="1175">
        <f>'Data &amp; hypothesis Children'!AF138</f>
        <v>0</v>
      </c>
      <c r="AH291" s="1415">
        <f>'Data &amp; hypothesis Children'!AG138</f>
        <v>0</v>
      </c>
      <c r="AI291" s="1339">
        <f t="shared" si="75"/>
        <v>0</v>
      </c>
      <c r="AJ291" s="1340">
        <f t="shared" si="76"/>
        <v>751.13718749999998</v>
      </c>
    </row>
    <row r="292" spans="1:36" s="1279" customFormat="1" ht="15" x14ac:dyDescent="0.25">
      <c r="A292" s="1282"/>
      <c r="C292" s="1319" t="str">
        <v>AZT+3TC+EFV</v>
      </c>
      <c r="D292" s="1175">
        <f>'Data &amp; hypothesis Children'!C139</f>
        <v>0</v>
      </c>
      <c r="E292" s="1175">
        <f>'Data &amp; hypothesis Children'!D139</f>
        <v>0</v>
      </c>
      <c r="F292" s="1175">
        <f>'Data &amp; hypothesis Children'!E139</f>
        <v>0</v>
      </c>
      <c r="G292" s="1175">
        <f>'Data &amp; hypothesis Children'!F139</f>
        <v>0</v>
      </c>
      <c r="H292" s="1175">
        <f>'Data &amp; hypothesis Children'!G139</f>
        <v>0</v>
      </c>
      <c r="I292" s="1175">
        <f>'Data &amp; hypothesis Children'!H139</f>
        <v>0</v>
      </c>
      <c r="J292" s="1175" t="str">
        <f>'Data &amp; hypothesis Children'!I139</f>
        <v>X</v>
      </c>
      <c r="K292" s="1413">
        <f>'Data &amp; hypothesis Children'!J139</f>
        <v>0</v>
      </c>
      <c r="L292" s="1414">
        <f>'Data &amp; hypothesis Children'!K139</f>
        <v>0</v>
      </c>
      <c r="M292" s="1175">
        <f>'Data &amp; hypothesis Children'!L139</f>
        <v>0</v>
      </c>
      <c r="N292" s="1175">
        <f>'Data &amp; hypothesis Children'!M139</f>
        <v>0</v>
      </c>
      <c r="O292" s="1175" t="str">
        <f>'Data &amp; hypothesis Children'!N139</f>
        <v>X</v>
      </c>
      <c r="P292" s="1175">
        <f>'Data &amp; hypothesis Children'!O139</f>
        <v>0</v>
      </c>
      <c r="Q292" s="1175">
        <f>'Data &amp; hypothesis Children'!P139</f>
        <v>0</v>
      </c>
      <c r="R292" s="1175">
        <f>'Data &amp; hypothesis Children'!Q139</f>
        <v>0</v>
      </c>
      <c r="S292" s="1175">
        <f>'Data &amp; hypothesis Children'!R139</f>
        <v>0</v>
      </c>
      <c r="T292" s="1175">
        <f>'Data &amp; hypothesis Children'!S139</f>
        <v>0</v>
      </c>
      <c r="U292" s="1175">
        <f>'Data &amp; hypothesis Children'!T139</f>
        <v>0</v>
      </c>
      <c r="V292" s="1175">
        <f>'Data &amp; hypothesis Children'!U139</f>
        <v>0</v>
      </c>
      <c r="W292" s="1175">
        <f>'Data &amp; hypothesis Children'!V139</f>
        <v>0</v>
      </c>
      <c r="X292" s="1175">
        <f>'Data &amp; hypothesis Children'!W139</f>
        <v>0</v>
      </c>
      <c r="Y292" s="1175">
        <f>'Data &amp; hypothesis Children'!X139</f>
        <v>0</v>
      </c>
      <c r="Z292" s="1175">
        <f>'Data &amp; hypothesis Children'!Y139</f>
        <v>0</v>
      </c>
      <c r="AA292" s="1175">
        <f>'Data &amp; hypothesis Children'!Z139</f>
        <v>0</v>
      </c>
      <c r="AB292" s="1175">
        <f>'Data &amp; hypothesis Children'!AA139</f>
        <v>0</v>
      </c>
      <c r="AC292" s="1175">
        <f>'Data &amp; hypothesis Children'!AB139</f>
        <v>0</v>
      </c>
      <c r="AD292" s="1175">
        <f>'Data &amp; hypothesis Children'!AC139</f>
        <v>0</v>
      </c>
      <c r="AE292" s="1175">
        <f>'Data &amp; hypothesis Children'!AD139</f>
        <v>0</v>
      </c>
      <c r="AF292" s="1175" t="str">
        <f>'Data &amp; hypothesis Children'!AE139</f>
        <v>X</v>
      </c>
      <c r="AG292" s="1175">
        <f>'Data &amp; hypothesis Children'!AF139</f>
        <v>0</v>
      </c>
      <c r="AH292" s="1415">
        <f>'Data &amp; hypothesis Children'!AG139</f>
        <v>0</v>
      </c>
      <c r="AI292" s="1339">
        <f t="shared" si="75"/>
        <v>0</v>
      </c>
      <c r="AJ292" s="1340">
        <f t="shared" si="76"/>
        <v>26.653255040322581</v>
      </c>
    </row>
    <row r="293" spans="1:36" s="1279" customFormat="1" ht="15" x14ac:dyDescent="0.25">
      <c r="A293" s="1282"/>
      <c r="C293" s="1319" t="str">
        <v>LPV/r+3TC+ABC</v>
      </c>
      <c r="D293" s="1175">
        <f>'Data &amp; hypothesis Children'!C140</f>
        <v>0</v>
      </c>
      <c r="E293" s="1175">
        <f>'Data &amp; hypothesis Children'!D140</f>
        <v>0</v>
      </c>
      <c r="F293" s="1175">
        <f>'Data &amp; hypothesis Children'!E140</f>
        <v>0</v>
      </c>
      <c r="G293" s="1175">
        <f>'Data &amp; hypothesis Children'!F140</f>
        <v>0</v>
      </c>
      <c r="H293" s="1175">
        <f>'Data &amp; hypothesis Children'!G140</f>
        <v>0</v>
      </c>
      <c r="I293" s="1175">
        <f>'Data &amp; hypothesis Children'!H140</f>
        <v>0</v>
      </c>
      <c r="J293" s="1175">
        <f>'Data &amp; hypothesis Children'!I140</f>
        <v>0</v>
      </c>
      <c r="K293" s="1413" t="str">
        <f>'Data &amp; hypothesis Children'!J140</f>
        <v>X</v>
      </c>
      <c r="L293" s="1414">
        <f>'Data &amp; hypothesis Children'!K140</f>
        <v>0</v>
      </c>
      <c r="M293" s="1175">
        <f>'Data &amp; hypothesis Children'!L140</f>
        <v>0</v>
      </c>
      <c r="N293" s="1175">
        <f>'Data &amp; hypothesis Children'!M140</f>
        <v>0</v>
      </c>
      <c r="O293" s="1175">
        <f>'Data &amp; hypothesis Children'!N140</f>
        <v>0</v>
      </c>
      <c r="P293" s="1175">
        <f>'Data &amp; hypothesis Children'!O140</f>
        <v>0</v>
      </c>
      <c r="Q293" s="1175">
        <f>'Data &amp; hypothesis Children'!P140</f>
        <v>0</v>
      </c>
      <c r="R293" s="1175">
        <f>'Data &amp; hypothesis Children'!Q140</f>
        <v>0</v>
      </c>
      <c r="S293" s="1175">
        <f>'Data &amp; hypothesis Children'!R140</f>
        <v>0</v>
      </c>
      <c r="T293" s="1175">
        <f>'Data &amp; hypothesis Children'!S140</f>
        <v>0</v>
      </c>
      <c r="U293" s="1175">
        <f>'Data &amp; hypothesis Children'!T140</f>
        <v>0</v>
      </c>
      <c r="V293" s="1175" t="str">
        <f>'Data &amp; hypothesis Children'!U140</f>
        <v>X</v>
      </c>
      <c r="W293" s="1175">
        <f>'Data &amp; hypothesis Children'!V140</f>
        <v>0</v>
      </c>
      <c r="X293" s="1175">
        <f>'Data &amp; hypothesis Children'!W140</f>
        <v>0</v>
      </c>
      <c r="Y293" s="1175">
        <f>'Data &amp; hypothesis Children'!X140</f>
        <v>0</v>
      </c>
      <c r="Z293" s="1175">
        <f>'Data &amp; hypothesis Children'!Y140</f>
        <v>0</v>
      </c>
      <c r="AA293" s="1175">
        <f>'Data &amp; hypothesis Children'!Z140</f>
        <v>0</v>
      </c>
      <c r="AB293" s="1175">
        <f>'Data &amp; hypothesis Children'!AA140</f>
        <v>0</v>
      </c>
      <c r="AC293" s="1175">
        <f>'Data &amp; hypothesis Children'!AB140</f>
        <v>0</v>
      </c>
      <c r="AD293" s="1175">
        <f>'Data &amp; hypothesis Children'!AC140</f>
        <v>0</v>
      </c>
      <c r="AE293" s="1175">
        <f>'Data &amp; hypothesis Children'!AD140</f>
        <v>0</v>
      </c>
      <c r="AF293" s="1175">
        <f>'Data &amp; hypothesis Children'!AE140</f>
        <v>0</v>
      </c>
      <c r="AG293" s="1175">
        <f>'Data &amp; hypothesis Children'!AF140</f>
        <v>0</v>
      </c>
      <c r="AH293" s="1415">
        <f>'Data &amp; hypothesis Children'!AG140</f>
        <v>0</v>
      </c>
      <c r="AI293" s="1339">
        <f t="shared" si="75"/>
        <v>0</v>
      </c>
      <c r="AJ293" s="1340">
        <f t="shared" si="76"/>
        <v>26.46</v>
      </c>
    </row>
    <row r="294" spans="1:36" s="1279" customFormat="1" ht="15" x14ac:dyDescent="0.25">
      <c r="A294" s="1282"/>
      <c r="C294" s="1319" t="str">
        <v>ABC+3TC+NVP</v>
      </c>
      <c r="D294" s="1175">
        <f>'Data &amp; hypothesis Children'!C141</f>
        <v>0</v>
      </c>
      <c r="E294" s="1175">
        <f>'Data &amp; hypothesis Children'!D141</f>
        <v>0</v>
      </c>
      <c r="F294" s="1175">
        <f>'Data &amp; hypothesis Children'!E141</f>
        <v>0</v>
      </c>
      <c r="G294" s="1175">
        <f>'Data &amp; hypothesis Children'!F141</f>
        <v>0</v>
      </c>
      <c r="H294" s="1175">
        <f>'Data &amp; hypothesis Children'!G141</f>
        <v>0</v>
      </c>
      <c r="I294" s="1175" t="str">
        <f>'Data &amp; hypothesis Children'!H141</f>
        <v>X</v>
      </c>
      <c r="J294" s="1175">
        <f>'Data &amp; hypothesis Children'!I141</f>
        <v>0</v>
      </c>
      <c r="K294" s="1413">
        <f>'Data &amp; hypothesis Children'!J141</f>
        <v>0</v>
      </c>
      <c r="L294" s="1414">
        <f>'Data &amp; hypothesis Children'!K141</f>
        <v>0</v>
      </c>
      <c r="M294" s="1175">
        <f>'Data &amp; hypothesis Children'!L141</f>
        <v>0</v>
      </c>
      <c r="N294" s="1175">
        <f>'Data &amp; hypothesis Children'!M141</f>
        <v>0</v>
      </c>
      <c r="O294" s="1175">
        <f>'Data &amp; hypothesis Children'!N141</f>
        <v>0</v>
      </c>
      <c r="P294" s="1175">
        <f>'Data &amp; hypothesis Children'!O141</f>
        <v>0</v>
      </c>
      <c r="Q294" s="1175">
        <f>'Data &amp; hypothesis Children'!P141</f>
        <v>0</v>
      </c>
      <c r="R294" s="1175">
        <f>'Data &amp; hypothesis Children'!Q141</f>
        <v>0</v>
      </c>
      <c r="S294" s="1175">
        <f>'Data &amp; hypothesis Children'!R141</f>
        <v>0</v>
      </c>
      <c r="T294" s="1175">
        <f>'Data &amp; hypothesis Children'!S141</f>
        <v>0</v>
      </c>
      <c r="U294" s="1175" t="str">
        <f>'Data &amp; hypothesis Children'!T141</f>
        <v>X</v>
      </c>
      <c r="V294" s="1175">
        <f>'Data &amp; hypothesis Children'!U141</f>
        <v>0</v>
      </c>
      <c r="W294" s="1175">
        <f>'Data &amp; hypothesis Children'!V141</f>
        <v>0</v>
      </c>
      <c r="X294" s="1175">
        <f>'Data &amp; hypothesis Children'!W141</f>
        <v>0</v>
      </c>
      <c r="Y294" s="1175">
        <f>'Data &amp; hypothesis Children'!X141</f>
        <v>0</v>
      </c>
      <c r="Z294" s="1175">
        <f>'Data &amp; hypothesis Children'!Y141</f>
        <v>0</v>
      </c>
      <c r="AA294" s="1175">
        <f>'Data &amp; hypothesis Children'!Z141</f>
        <v>0</v>
      </c>
      <c r="AB294" s="1175">
        <f>'Data &amp; hypothesis Children'!AA141</f>
        <v>0</v>
      </c>
      <c r="AC294" s="1175">
        <f>'Data &amp; hypothesis Children'!AB141</f>
        <v>0</v>
      </c>
      <c r="AD294" s="1175">
        <f>'Data &amp; hypothesis Children'!AC141</f>
        <v>0</v>
      </c>
      <c r="AE294" s="1175" t="str">
        <f>'Data &amp; hypothesis Children'!AD141</f>
        <v>X</v>
      </c>
      <c r="AF294" s="1175">
        <f>'Data &amp; hypothesis Children'!AE141</f>
        <v>0</v>
      </c>
      <c r="AG294" s="1175">
        <f>'Data &amp; hypothesis Children'!AF141</f>
        <v>0</v>
      </c>
      <c r="AH294" s="1415">
        <f>'Data &amp; hypothesis Children'!AG141</f>
        <v>0</v>
      </c>
      <c r="AI294" s="1339">
        <f t="shared" si="75"/>
        <v>0</v>
      </c>
      <c r="AJ294" s="1340">
        <f t="shared" si="76"/>
        <v>6.4613951612903229</v>
      </c>
    </row>
    <row r="295" spans="1:36" s="1279" customFormat="1" ht="15" x14ac:dyDescent="0.25">
      <c r="A295" s="1282"/>
      <c r="C295" s="1319" t="str">
        <v>AZT+3TC+LPV/r</v>
      </c>
      <c r="D295" s="1175">
        <f>'Data &amp; hypothesis Children'!C142</f>
        <v>0</v>
      </c>
      <c r="E295" s="1175">
        <f>'Data &amp; hypothesis Children'!D142</f>
        <v>0</v>
      </c>
      <c r="F295" s="1175">
        <f>'Data &amp; hypothesis Children'!E142</f>
        <v>0</v>
      </c>
      <c r="G295" s="1175">
        <f>'Data &amp; hypothesis Children'!F142</f>
        <v>0</v>
      </c>
      <c r="H295" s="1175">
        <f>'Data &amp; hypothesis Children'!G142</f>
        <v>0</v>
      </c>
      <c r="I295" s="1175">
        <f>'Data &amp; hypothesis Children'!H142</f>
        <v>0</v>
      </c>
      <c r="J295" s="1175">
        <f>'Data &amp; hypothesis Children'!I142</f>
        <v>0</v>
      </c>
      <c r="K295" s="1413" t="str">
        <f>'Data &amp; hypothesis Children'!J142</f>
        <v>X</v>
      </c>
      <c r="L295" s="1414">
        <f>'Data &amp; hypothesis Children'!K142</f>
        <v>0</v>
      </c>
      <c r="M295" s="1175">
        <f>'Data &amp; hypothesis Children'!L142</f>
        <v>0</v>
      </c>
      <c r="N295" s="1175">
        <f>'Data &amp; hypothesis Children'!M142</f>
        <v>0</v>
      </c>
      <c r="O295" s="1175" t="str">
        <f>'Data &amp; hypothesis Children'!N142</f>
        <v>X</v>
      </c>
      <c r="P295" s="1175">
        <f>'Data &amp; hypothesis Children'!O142</f>
        <v>0</v>
      </c>
      <c r="Q295" s="1175">
        <f>'Data &amp; hypothesis Children'!P142</f>
        <v>0</v>
      </c>
      <c r="R295" s="1175">
        <f>'Data &amp; hypothesis Children'!Q142</f>
        <v>0</v>
      </c>
      <c r="S295" s="1175">
        <f>'Data &amp; hypothesis Children'!R142</f>
        <v>0</v>
      </c>
      <c r="T295" s="1175">
        <f>'Data &amp; hypothesis Children'!S142</f>
        <v>0</v>
      </c>
      <c r="U295" s="1175">
        <f>'Data &amp; hypothesis Children'!T142</f>
        <v>0</v>
      </c>
      <c r="V295" s="1175">
        <f>'Data &amp; hypothesis Children'!U142</f>
        <v>0</v>
      </c>
      <c r="W295" s="1175">
        <f>'Data &amp; hypothesis Children'!V142</f>
        <v>0</v>
      </c>
      <c r="X295" s="1175">
        <f>'Data &amp; hypothesis Children'!W142</f>
        <v>0</v>
      </c>
      <c r="Y295" s="1175">
        <f>'Data &amp; hypothesis Children'!X142</f>
        <v>0</v>
      </c>
      <c r="Z295" s="1175">
        <f>'Data &amp; hypothesis Children'!Y142</f>
        <v>0</v>
      </c>
      <c r="AA295" s="1175">
        <f>'Data &amp; hypothesis Children'!Z142</f>
        <v>0</v>
      </c>
      <c r="AB295" s="1175">
        <f>'Data &amp; hypothesis Children'!AA142</f>
        <v>0</v>
      </c>
      <c r="AC295" s="1175">
        <f>'Data &amp; hypothesis Children'!AB142</f>
        <v>0</v>
      </c>
      <c r="AD295" s="1175">
        <f>'Data &amp; hypothesis Children'!AC142</f>
        <v>0</v>
      </c>
      <c r="AE295" s="1175">
        <f>'Data &amp; hypothesis Children'!AD142</f>
        <v>0</v>
      </c>
      <c r="AF295" s="1175">
        <f>'Data &amp; hypothesis Children'!AE142</f>
        <v>0</v>
      </c>
      <c r="AG295" s="1175">
        <f>'Data &amp; hypothesis Children'!AF142</f>
        <v>0</v>
      </c>
      <c r="AH295" s="1415" t="str">
        <f>'Data &amp; hypothesis Children'!AG142</f>
        <v>X</v>
      </c>
      <c r="AI295" s="1339">
        <f t="shared" si="75"/>
        <v>0</v>
      </c>
      <c r="AJ295" s="1340">
        <f t="shared" si="76"/>
        <v>377.38558064516133</v>
      </c>
    </row>
    <row r="296" spans="1:36" s="1279" customFormat="1" x14ac:dyDescent="0.2">
      <c r="A296" s="1282"/>
      <c r="C296" s="1296" t="str">
        <f>'TRAD-Children YEAR(1)'!$B$117</f>
        <v>Deuxièmes lignes</v>
      </c>
      <c r="D296" s="1410"/>
      <c r="E296" s="1410"/>
      <c r="F296" s="1410"/>
      <c r="G296" s="1410"/>
      <c r="H296" s="1410"/>
      <c r="I296" s="1410"/>
      <c r="J296" s="1410"/>
      <c r="K296" s="1411"/>
      <c r="L296" s="1412"/>
      <c r="M296" s="1410"/>
      <c r="N296" s="1410"/>
      <c r="O296" s="1410"/>
      <c r="P296" s="1410"/>
      <c r="Q296" s="1410"/>
      <c r="R296" s="1410"/>
      <c r="S296" s="1410"/>
      <c r="T296" s="1410"/>
      <c r="U296" s="1410"/>
      <c r="V296" s="1410"/>
      <c r="W296" s="1410"/>
      <c r="X296" s="1410"/>
      <c r="Y296" s="1410"/>
      <c r="Z296" s="1410"/>
      <c r="AA296" s="1410"/>
      <c r="AB296" s="1410"/>
      <c r="AC296" s="1410"/>
      <c r="AD296" s="1410"/>
      <c r="AE296" s="1410"/>
      <c r="AF296" s="1410"/>
      <c r="AG296" s="1410"/>
      <c r="AH296" s="1416"/>
      <c r="AI296" s="1339"/>
      <c r="AJ296" s="1340"/>
    </row>
    <row r="297" spans="1:36" s="1279" customFormat="1" ht="15" x14ac:dyDescent="0.25">
      <c r="A297" s="1282"/>
      <c r="C297" s="1301" t="str">
        <f t="array" ref="C297:C300">'Data &amp; hypothesis Children'!$C$32:$C$35</f>
        <v>ABC+3TC+EFV</v>
      </c>
      <c r="D297" s="1175">
        <f>'Data &amp; hypothesis Children'!C144</f>
        <v>0</v>
      </c>
      <c r="E297" s="1175">
        <f>'Data &amp; hypothesis Children'!D144</f>
        <v>0</v>
      </c>
      <c r="F297" s="1175">
        <f>'Data &amp; hypothesis Children'!E144</f>
        <v>0</v>
      </c>
      <c r="G297" s="1175">
        <f>'Data &amp; hypothesis Children'!F144</f>
        <v>0</v>
      </c>
      <c r="H297" s="1175">
        <f>'Data &amp; hypothesis Children'!G144</f>
        <v>0</v>
      </c>
      <c r="I297" s="1175">
        <f>'Data &amp; hypothesis Children'!H144</f>
        <v>0</v>
      </c>
      <c r="J297" s="1175" t="str">
        <f>'Data &amp; hypothesis Children'!I144</f>
        <v>X</v>
      </c>
      <c r="K297" s="1413">
        <f>'Data &amp; hypothesis Children'!J144</f>
        <v>0</v>
      </c>
      <c r="L297" s="1414">
        <f>'Data &amp; hypothesis Children'!K144</f>
        <v>0</v>
      </c>
      <c r="M297" s="1175">
        <f>'Data &amp; hypothesis Children'!L144</f>
        <v>0</v>
      </c>
      <c r="N297" s="1175">
        <f>'Data &amp; hypothesis Children'!M144</f>
        <v>0</v>
      </c>
      <c r="O297" s="1175">
        <f>'Data &amp; hypothesis Children'!N144</f>
        <v>0</v>
      </c>
      <c r="P297" s="1175">
        <f>'Data &amp; hypothesis Children'!O144</f>
        <v>0</v>
      </c>
      <c r="Q297" s="1175">
        <f>'Data &amp; hypothesis Children'!P144</f>
        <v>0</v>
      </c>
      <c r="R297" s="1175">
        <f>'Data &amp; hypothesis Children'!Q144</f>
        <v>0</v>
      </c>
      <c r="S297" s="1175">
        <f>'Data &amp; hypothesis Children'!R144</f>
        <v>0</v>
      </c>
      <c r="T297" s="1175">
        <f>'Data &amp; hypothesis Children'!S144</f>
        <v>0</v>
      </c>
      <c r="U297" s="1175">
        <f>'Data &amp; hypothesis Children'!T144</f>
        <v>0</v>
      </c>
      <c r="V297" s="1175" t="str">
        <f>'Data &amp; hypothesis Children'!U144</f>
        <v>X</v>
      </c>
      <c r="W297" s="1175">
        <f>'Data &amp; hypothesis Children'!V144</f>
        <v>0</v>
      </c>
      <c r="X297" s="1175">
        <f>'Data &amp; hypothesis Children'!W144</f>
        <v>0</v>
      </c>
      <c r="Y297" s="1175">
        <f>'Data &amp; hypothesis Children'!X144</f>
        <v>0</v>
      </c>
      <c r="Z297" s="1175">
        <f>'Data &amp; hypothesis Children'!Y144</f>
        <v>0</v>
      </c>
      <c r="AA297" s="1175">
        <f>'Data &amp; hypothesis Children'!Z144</f>
        <v>0</v>
      </c>
      <c r="AB297" s="1175">
        <f>'Data &amp; hypothesis Children'!AA144</f>
        <v>0</v>
      </c>
      <c r="AC297" s="1175">
        <f>'Data &amp; hypothesis Children'!AB144</f>
        <v>0</v>
      </c>
      <c r="AD297" s="1175">
        <f>'Data &amp; hypothesis Children'!AC144</f>
        <v>0</v>
      </c>
      <c r="AE297" s="1175">
        <f>'Data &amp; hypothesis Children'!AD144</f>
        <v>0</v>
      </c>
      <c r="AF297" s="1175">
        <f>'Data &amp; hypothesis Children'!AE144</f>
        <v>0</v>
      </c>
      <c r="AG297" s="1175">
        <f>'Data &amp; hypothesis Children'!AF144</f>
        <v>0</v>
      </c>
      <c r="AH297" s="1415" t="str">
        <f>'Data &amp; hypothesis Children'!AG144</f>
        <v>X</v>
      </c>
      <c r="AI297" s="1339" t="e">
        <f>G75</f>
        <v>#DIV/0!</v>
      </c>
      <c r="AJ297" s="1340" t="e">
        <f>G91</f>
        <v>#DIV/0!</v>
      </c>
    </row>
    <row r="298" spans="1:36" s="1279" customFormat="1" ht="15" x14ac:dyDescent="0.25">
      <c r="A298" s="1282"/>
      <c r="C298" s="1301" t="str">
        <v>TDF+3TC+LPV/r</v>
      </c>
      <c r="D298" s="1175">
        <f>'Data &amp; hypothesis Children'!C145</f>
        <v>0</v>
      </c>
      <c r="E298" s="1175">
        <f>'Data &amp; hypothesis Children'!D145</f>
        <v>0</v>
      </c>
      <c r="F298" s="1175">
        <f>'Data &amp; hypothesis Children'!E145</f>
        <v>0</v>
      </c>
      <c r="G298" s="1175">
        <f>'Data &amp; hypothesis Children'!F145</f>
        <v>0</v>
      </c>
      <c r="H298" s="1175">
        <f>'Data &amp; hypothesis Children'!G145</f>
        <v>0</v>
      </c>
      <c r="I298" s="1175">
        <f>'Data &amp; hypothesis Children'!H145</f>
        <v>0</v>
      </c>
      <c r="J298" s="1175">
        <f>'Data &amp; hypothesis Children'!I145</f>
        <v>0</v>
      </c>
      <c r="K298" s="1413">
        <f>'Data &amp; hypothesis Children'!J145</f>
        <v>0</v>
      </c>
      <c r="L298" s="1414">
        <f>'Data &amp; hypothesis Children'!K145</f>
        <v>0</v>
      </c>
      <c r="M298" s="1175">
        <f>'Data &amp; hypothesis Children'!L145</f>
        <v>0</v>
      </c>
      <c r="N298" s="1175">
        <f>'Data &amp; hypothesis Children'!M145</f>
        <v>0</v>
      </c>
      <c r="O298" s="1175">
        <f>'Data &amp; hypothesis Children'!N145</f>
        <v>0</v>
      </c>
      <c r="P298" s="1175">
        <f>'Data &amp; hypothesis Children'!O145</f>
        <v>0</v>
      </c>
      <c r="Q298" s="1175">
        <f>'Data &amp; hypothesis Children'!P145</f>
        <v>0</v>
      </c>
      <c r="R298" s="1175">
        <f>'Data &amp; hypothesis Children'!Q145</f>
        <v>0</v>
      </c>
      <c r="S298" s="1175">
        <f>'Data &amp; hypothesis Children'!R145</f>
        <v>0</v>
      </c>
      <c r="T298" s="1175">
        <f>'Data &amp; hypothesis Children'!S145</f>
        <v>0</v>
      </c>
      <c r="U298" s="1175">
        <f>'Data &amp; hypothesis Children'!T145</f>
        <v>0</v>
      </c>
      <c r="V298" s="1175">
        <f>'Data &amp; hypothesis Children'!U145</f>
        <v>0</v>
      </c>
      <c r="W298" s="1175">
        <f>'Data &amp; hypothesis Children'!V145</f>
        <v>0</v>
      </c>
      <c r="X298" s="1175">
        <f>'Data &amp; hypothesis Children'!W145</f>
        <v>0</v>
      </c>
      <c r="Y298" s="1175">
        <f>'Data &amp; hypothesis Children'!X145</f>
        <v>0</v>
      </c>
      <c r="Z298" s="1175">
        <f>'Data &amp; hypothesis Children'!Y145</f>
        <v>0</v>
      </c>
      <c r="AA298" s="1175">
        <f>'Data &amp; hypothesis Children'!Z145</f>
        <v>0</v>
      </c>
      <c r="AB298" s="1175">
        <f>'Data &amp; hypothesis Children'!AA145</f>
        <v>0</v>
      </c>
      <c r="AC298" s="1175">
        <f>'Data &amp; hypothesis Children'!AB145</f>
        <v>0</v>
      </c>
      <c r="AD298" s="1175">
        <f>'Data &amp; hypothesis Children'!AC145</f>
        <v>0</v>
      </c>
      <c r="AE298" s="1175">
        <f>'Data &amp; hypothesis Children'!AD145</f>
        <v>0</v>
      </c>
      <c r="AF298" s="1175">
        <f>'Data &amp; hypothesis Children'!AE145</f>
        <v>0</v>
      </c>
      <c r="AG298" s="1175">
        <f>'Data &amp; hypothesis Children'!AF145</f>
        <v>0</v>
      </c>
      <c r="AH298" s="1415" t="str">
        <f>'Data &amp; hypothesis Children'!AG145</f>
        <v>X</v>
      </c>
      <c r="AI298" s="1339" t="e">
        <f t="shared" ref="AI298:AI299" si="77">G76</f>
        <v>#DIV/0!</v>
      </c>
      <c r="AJ298" s="1340" t="e">
        <f t="shared" ref="AJ298:AJ299" si="78">G92</f>
        <v>#DIV/0!</v>
      </c>
    </row>
    <row r="299" spans="1:36" s="1279" customFormat="1" ht="15" x14ac:dyDescent="0.25">
      <c r="A299" s="1282"/>
      <c r="C299" s="1301" t="str">
        <v>AZT+3TC+EFV</v>
      </c>
      <c r="D299" s="1175">
        <f>'Data &amp; hypothesis Children'!C146</f>
        <v>0</v>
      </c>
      <c r="E299" s="1175">
        <f>'Data &amp; hypothesis Children'!D146</f>
        <v>0</v>
      </c>
      <c r="F299" s="1175">
        <f>'Data &amp; hypothesis Children'!E146</f>
        <v>0</v>
      </c>
      <c r="G299" s="1175">
        <f>'Data &amp; hypothesis Children'!F146</f>
        <v>0</v>
      </c>
      <c r="H299" s="1175">
        <f>'Data &amp; hypothesis Children'!G146</f>
        <v>0</v>
      </c>
      <c r="I299" s="1175">
        <f>'Data &amp; hypothesis Children'!H146</f>
        <v>0</v>
      </c>
      <c r="J299" s="1175">
        <f>'Data &amp; hypothesis Children'!I146</f>
        <v>0</v>
      </c>
      <c r="K299" s="1413">
        <f>'Data &amp; hypothesis Children'!J146</f>
        <v>0</v>
      </c>
      <c r="L299" s="1414">
        <f>'Data &amp; hypothesis Children'!K146</f>
        <v>0</v>
      </c>
      <c r="M299" s="1175">
        <f>'Data &amp; hypothesis Children'!L146</f>
        <v>0</v>
      </c>
      <c r="N299" s="1175">
        <f>'Data &amp; hypothesis Children'!M146</f>
        <v>0</v>
      </c>
      <c r="O299" s="1175">
        <f>'Data &amp; hypothesis Children'!N146</f>
        <v>0</v>
      </c>
      <c r="P299" s="1175">
        <f>'Data &amp; hypothesis Children'!O146</f>
        <v>0</v>
      </c>
      <c r="Q299" s="1175">
        <f>'Data &amp; hypothesis Children'!P146</f>
        <v>0</v>
      </c>
      <c r="R299" s="1175">
        <f>'Data &amp; hypothesis Children'!Q146</f>
        <v>0</v>
      </c>
      <c r="S299" s="1175">
        <f>'Data &amp; hypothesis Children'!R146</f>
        <v>0</v>
      </c>
      <c r="T299" s="1175">
        <f>'Data &amp; hypothesis Children'!S146</f>
        <v>0</v>
      </c>
      <c r="U299" s="1175">
        <f>'Data &amp; hypothesis Children'!T146</f>
        <v>0</v>
      </c>
      <c r="V299" s="1175">
        <f>'Data &amp; hypothesis Children'!U146</f>
        <v>0</v>
      </c>
      <c r="W299" s="1175">
        <f>'Data &amp; hypothesis Children'!V146</f>
        <v>0</v>
      </c>
      <c r="X299" s="1175">
        <f>'Data &amp; hypothesis Children'!W146</f>
        <v>0</v>
      </c>
      <c r="Y299" s="1175">
        <f>'Data &amp; hypothesis Children'!X146</f>
        <v>0</v>
      </c>
      <c r="Z299" s="1175">
        <f>'Data &amp; hypothesis Children'!Y146</f>
        <v>0</v>
      </c>
      <c r="AA299" s="1175">
        <f>'Data &amp; hypothesis Children'!Z146</f>
        <v>0</v>
      </c>
      <c r="AB299" s="1175">
        <f>'Data &amp; hypothesis Children'!AA146</f>
        <v>0</v>
      </c>
      <c r="AC299" s="1175">
        <f>'Data &amp; hypothesis Children'!AB146</f>
        <v>0</v>
      </c>
      <c r="AD299" s="1175">
        <f>'Data &amp; hypothesis Children'!AC146</f>
        <v>0</v>
      </c>
      <c r="AE299" s="1175">
        <f>'Data &amp; hypothesis Children'!AD146</f>
        <v>0</v>
      </c>
      <c r="AF299" s="1175">
        <f>'Data &amp; hypothesis Children'!AE146</f>
        <v>0</v>
      </c>
      <c r="AG299" s="1175">
        <f>'Data &amp; hypothesis Children'!AF146</f>
        <v>0</v>
      </c>
      <c r="AH299" s="1415">
        <f>'Data &amp; hypothesis Children'!AG146</f>
        <v>0</v>
      </c>
      <c r="AI299" s="1339" t="e">
        <f t="shared" si="77"/>
        <v>#DIV/0!</v>
      </c>
      <c r="AJ299" s="1340" t="e">
        <f t="shared" si="78"/>
        <v>#DIV/0!</v>
      </c>
    </row>
    <row r="300" spans="1:36" s="1279" customFormat="1" ht="15.75" thickBot="1" x14ac:dyDescent="0.3">
      <c r="A300" s="1282"/>
      <c r="C300" s="1301">
        <v>0</v>
      </c>
      <c r="D300" s="1175">
        <f>'Data &amp; hypothesis Children'!C147</f>
        <v>0</v>
      </c>
      <c r="E300" s="1175">
        <f>'Data &amp; hypothesis Children'!D147</f>
        <v>0</v>
      </c>
      <c r="F300" s="1175">
        <f>'Data &amp; hypothesis Children'!E147</f>
        <v>0</v>
      </c>
      <c r="G300" s="1175">
        <f>'Data &amp; hypothesis Children'!F147</f>
        <v>0</v>
      </c>
      <c r="H300" s="1175">
        <f>'Data &amp; hypothesis Children'!G147</f>
        <v>0</v>
      </c>
      <c r="I300" s="1175">
        <f>'Data &amp; hypothesis Children'!H147</f>
        <v>0</v>
      </c>
      <c r="J300" s="1175">
        <f>'Data &amp; hypothesis Children'!I147</f>
        <v>0</v>
      </c>
      <c r="K300" s="1413">
        <f>'Data &amp; hypothesis Children'!J147</f>
        <v>0</v>
      </c>
      <c r="L300" s="1417">
        <f>'Data &amp; hypothesis Children'!K147</f>
        <v>0</v>
      </c>
      <c r="M300" s="1418">
        <f>'Data &amp; hypothesis Children'!L147</f>
        <v>0</v>
      </c>
      <c r="N300" s="1418">
        <f>'Data &amp; hypothesis Children'!M147</f>
        <v>0</v>
      </c>
      <c r="O300" s="1418">
        <f>'Data &amp; hypothesis Children'!N147</f>
        <v>0</v>
      </c>
      <c r="P300" s="1418">
        <f>'Data &amp; hypothesis Children'!O147</f>
        <v>0</v>
      </c>
      <c r="Q300" s="1418">
        <f>'Data &amp; hypothesis Children'!P147</f>
        <v>0</v>
      </c>
      <c r="R300" s="1418">
        <f>'Data &amp; hypothesis Children'!Q147</f>
        <v>0</v>
      </c>
      <c r="S300" s="1418">
        <f>'Data &amp; hypothesis Children'!R147</f>
        <v>0</v>
      </c>
      <c r="T300" s="1418">
        <f>'Data &amp; hypothesis Children'!S147</f>
        <v>0</v>
      </c>
      <c r="U300" s="1418">
        <f>'Data &amp; hypothesis Children'!T147</f>
        <v>0</v>
      </c>
      <c r="V300" s="1418">
        <f>'Data &amp; hypothesis Children'!U147</f>
        <v>0</v>
      </c>
      <c r="W300" s="1418">
        <f>'Data &amp; hypothesis Children'!V147</f>
        <v>0</v>
      </c>
      <c r="X300" s="1418">
        <f>'Data &amp; hypothesis Children'!W147</f>
        <v>0</v>
      </c>
      <c r="Y300" s="1418">
        <f>'Data &amp; hypothesis Children'!X147</f>
        <v>0</v>
      </c>
      <c r="Z300" s="1418">
        <f>'Data &amp; hypothesis Children'!Y147</f>
        <v>0</v>
      </c>
      <c r="AA300" s="1418">
        <f>'Data &amp; hypothesis Children'!Z147</f>
        <v>0</v>
      </c>
      <c r="AB300" s="1418">
        <f>'Data &amp; hypothesis Children'!AA147</f>
        <v>0</v>
      </c>
      <c r="AC300" s="1418">
        <f>'Data &amp; hypothesis Children'!AB147</f>
        <v>0</v>
      </c>
      <c r="AD300" s="1418">
        <f>'Data &amp; hypothesis Children'!AC147</f>
        <v>0</v>
      </c>
      <c r="AE300" s="1418">
        <f>'Data &amp; hypothesis Children'!AD147</f>
        <v>0</v>
      </c>
      <c r="AF300" s="1418">
        <f>'Data &amp; hypothesis Children'!AE147</f>
        <v>0</v>
      </c>
      <c r="AG300" s="1418">
        <f>'Data &amp; hypothesis Children'!AF147</f>
        <v>0</v>
      </c>
      <c r="AH300" s="1419">
        <f>'Data &amp; hypothesis Children'!AG147</f>
        <v>0</v>
      </c>
      <c r="AI300" s="1339" t="e">
        <f>G78</f>
        <v>#DIV/0!</v>
      </c>
      <c r="AJ300" s="1340" t="e">
        <f>G94</f>
        <v>#DIV/0!</v>
      </c>
    </row>
    <row r="301" spans="1:36" s="1304" customFormat="1" ht="26.25" thickBot="1" x14ac:dyDescent="0.25">
      <c r="A301" s="1303"/>
      <c r="C301" s="1305" t="str">
        <f>'TRAD-Children YEAR(1)'!B118</f>
        <v>Nb de patients-mois / produit - SANS SS</v>
      </c>
      <c r="D301" s="1306">
        <f t="shared" ref="D301:AE301" si="79">SUMIF(D290:D300, "X", $AI290:$AI300)</f>
        <v>0</v>
      </c>
      <c r="E301" s="1306">
        <f t="shared" si="79"/>
        <v>0</v>
      </c>
      <c r="F301" s="1306">
        <f t="shared" si="79"/>
        <v>0</v>
      </c>
      <c r="G301" s="1306">
        <f t="shared" si="79"/>
        <v>0</v>
      </c>
      <c r="H301" s="1306">
        <f t="shared" si="79"/>
        <v>0</v>
      </c>
      <c r="I301" s="1306">
        <f t="shared" si="79"/>
        <v>0</v>
      </c>
      <c r="J301" s="1306" t="e">
        <f t="shared" si="79"/>
        <v>#DIV/0!</v>
      </c>
      <c r="K301" s="1307">
        <f t="shared" si="79"/>
        <v>0</v>
      </c>
      <c r="L301" s="1308">
        <f t="shared" si="79"/>
        <v>0</v>
      </c>
      <c r="M301" s="1306">
        <f t="shared" si="79"/>
        <v>0</v>
      </c>
      <c r="N301" s="1306">
        <f t="shared" si="79"/>
        <v>0</v>
      </c>
      <c r="O301" s="1306">
        <f t="shared" si="79"/>
        <v>0</v>
      </c>
      <c r="P301" s="1306">
        <f t="shared" si="79"/>
        <v>0</v>
      </c>
      <c r="Q301" s="1306">
        <f t="shared" si="79"/>
        <v>0</v>
      </c>
      <c r="R301" s="1306">
        <f t="shared" si="79"/>
        <v>0</v>
      </c>
      <c r="S301" s="1306">
        <f t="shared" si="79"/>
        <v>0</v>
      </c>
      <c r="T301" s="1306">
        <f t="shared" si="79"/>
        <v>0</v>
      </c>
      <c r="U301" s="1306">
        <f t="shared" si="79"/>
        <v>0</v>
      </c>
      <c r="V301" s="1306" t="e">
        <f t="shared" si="79"/>
        <v>#DIV/0!</v>
      </c>
      <c r="W301" s="1306">
        <f t="shared" si="79"/>
        <v>0</v>
      </c>
      <c r="X301" s="1306">
        <f t="shared" si="79"/>
        <v>0</v>
      </c>
      <c r="Y301" s="1306">
        <f t="shared" si="79"/>
        <v>0</v>
      </c>
      <c r="Z301" s="1306">
        <f t="shared" si="79"/>
        <v>0</v>
      </c>
      <c r="AA301" s="1306">
        <f t="shared" si="79"/>
        <v>0</v>
      </c>
      <c r="AB301" s="1306">
        <f t="shared" si="79"/>
        <v>0</v>
      </c>
      <c r="AC301" s="1306">
        <f t="shared" si="79"/>
        <v>0</v>
      </c>
      <c r="AD301" s="1306">
        <f t="shared" si="79"/>
        <v>0</v>
      </c>
      <c r="AE301" s="1306">
        <f t="shared" si="79"/>
        <v>0</v>
      </c>
      <c r="AF301" s="1306">
        <f t="shared" ref="AF301" si="80">SUMIF(AF290:AF300, "X", $AI290:$AI300)</f>
        <v>0</v>
      </c>
      <c r="AG301" s="1306">
        <f t="shared" ref="AG301" si="81">SUMIF(AG290:AG300, "X", $AI290:$AI300)</f>
        <v>0</v>
      </c>
      <c r="AH301" s="1306" t="e">
        <f t="shared" ref="AH301" si="82">SUMIF(AH290:AH300, "X", $AI290:$AI300)</f>
        <v>#DIV/0!</v>
      </c>
    </row>
    <row r="302" spans="1:36" s="1304" customFormat="1" ht="26.25" thickBot="1" x14ac:dyDescent="0.25">
      <c r="A302" s="1303"/>
      <c r="C302" s="1305" t="str">
        <f>'TRAD-Children YEAR(1)'!B119</f>
        <v>Nb de patients-mois / produit - AVEC SS</v>
      </c>
      <c r="D302" s="1309">
        <f t="shared" ref="D302:AH302" si="83">SUMIF(D290:D300, "X", $AJ290:$AJ300)</f>
        <v>0</v>
      </c>
      <c r="E302" s="1309">
        <f t="shared" si="83"/>
        <v>0</v>
      </c>
      <c r="F302" s="1309">
        <f t="shared" si="83"/>
        <v>0</v>
      </c>
      <c r="G302" s="1309">
        <f t="shared" si="83"/>
        <v>0</v>
      </c>
      <c r="H302" s="1309">
        <f t="shared" si="83"/>
        <v>0</v>
      </c>
      <c r="I302" s="1309">
        <f t="shared" si="83"/>
        <v>6.4613951612903229</v>
      </c>
      <c r="J302" s="1309" t="e">
        <f t="shared" si="83"/>
        <v>#DIV/0!</v>
      </c>
      <c r="K302" s="1310">
        <f t="shared" si="83"/>
        <v>403.84558064516131</v>
      </c>
      <c r="L302" s="1311">
        <f t="shared" si="83"/>
        <v>0</v>
      </c>
      <c r="M302" s="1309">
        <f t="shared" si="83"/>
        <v>751.13718749999998</v>
      </c>
      <c r="N302" s="1309">
        <f t="shared" si="83"/>
        <v>0</v>
      </c>
      <c r="O302" s="1309">
        <f t="shared" si="83"/>
        <v>404.03883568548389</v>
      </c>
      <c r="P302" s="1309">
        <f t="shared" si="83"/>
        <v>0</v>
      </c>
      <c r="Q302" s="1309">
        <f t="shared" si="83"/>
        <v>0</v>
      </c>
      <c r="R302" s="1309">
        <f t="shared" si="83"/>
        <v>0</v>
      </c>
      <c r="S302" s="1309">
        <f t="shared" si="83"/>
        <v>0</v>
      </c>
      <c r="T302" s="1309">
        <f t="shared" si="83"/>
        <v>0</v>
      </c>
      <c r="U302" s="1309">
        <f t="shared" si="83"/>
        <v>6.4613951612903229</v>
      </c>
      <c r="V302" s="1309" t="e">
        <f t="shared" si="83"/>
        <v>#DIV/0!</v>
      </c>
      <c r="W302" s="1309">
        <f t="shared" si="83"/>
        <v>0</v>
      </c>
      <c r="X302" s="1309">
        <f t="shared" si="83"/>
        <v>0</v>
      </c>
      <c r="Y302" s="1309">
        <f t="shared" si="83"/>
        <v>0</v>
      </c>
      <c r="Z302" s="1309">
        <f t="shared" si="83"/>
        <v>0</v>
      </c>
      <c r="AA302" s="1309">
        <f t="shared" si="83"/>
        <v>0</v>
      </c>
      <c r="AB302" s="1309">
        <f t="shared" si="83"/>
        <v>0</v>
      </c>
      <c r="AC302" s="1309">
        <f t="shared" si="83"/>
        <v>0</v>
      </c>
      <c r="AD302" s="1309">
        <f t="shared" si="83"/>
        <v>0</v>
      </c>
      <c r="AE302" s="1309">
        <f t="shared" si="83"/>
        <v>6.4613951612903229</v>
      </c>
      <c r="AF302" s="1309">
        <f t="shared" si="83"/>
        <v>26.653255040322581</v>
      </c>
      <c r="AG302" s="1309">
        <f t="shared" si="83"/>
        <v>0</v>
      </c>
      <c r="AH302" s="1309" t="e">
        <f t="shared" si="83"/>
        <v>#DIV/0!</v>
      </c>
    </row>
    <row r="303" spans="1:36" s="1304" customFormat="1" ht="26.25" thickBot="1" x14ac:dyDescent="0.25">
      <c r="A303" s="1303"/>
      <c r="C303" s="1305" t="str">
        <f>'TRAD-Children YEAR(1)'!B120</f>
        <v>Nb de cdt - Estimation période SANS SS</v>
      </c>
      <c r="D303" s="1312">
        <f t="shared" ref="D303:U303" si="84">D301*D288</f>
        <v>0</v>
      </c>
      <c r="E303" s="1312">
        <f t="shared" si="84"/>
        <v>0</v>
      </c>
      <c r="F303" s="1312">
        <f t="shared" si="84"/>
        <v>0</v>
      </c>
      <c r="G303" s="1312">
        <f t="shared" si="84"/>
        <v>0</v>
      </c>
      <c r="H303" s="1312">
        <f t="shared" si="84"/>
        <v>0</v>
      </c>
      <c r="I303" s="1312">
        <f t="shared" si="84"/>
        <v>0</v>
      </c>
      <c r="J303" s="1312" t="e">
        <f t="shared" si="84"/>
        <v>#DIV/0!</v>
      </c>
      <c r="K303" s="1313">
        <f t="shared" si="84"/>
        <v>0</v>
      </c>
      <c r="L303" s="1314">
        <f t="shared" si="84"/>
        <v>0</v>
      </c>
      <c r="M303" s="1312">
        <f t="shared" si="84"/>
        <v>0</v>
      </c>
      <c r="N303" s="1312">
        <f t="shared" si="84"/>
        <v>0</v>
      </c>
      <c r="O303" s="1312">
        <f t="shared" si="84"/>
        <v>0</v>
      </c>
      <c r="P303" s="1312">
        <f t="shared" si="84"/>
        <v>0</v>
      </c>
      <c r="Q303" s="1312">
        <f t="shared" si="84"/>
        <v>0</v>
      </c>
      <c r="R303" s="1312">
        <f t="shared" ref="R303" si="85">R301*R288</f>
        <v>0</v>
      </c>
      <c r="S303" s="1312">
        <f t="shared" si="84"/>
        <v>0</v>
      </c>
      <c r="T303" s="1312">
        <f t="shared" si="84"/>
        <v>0</v>
      </c>
      <c r="U303" s="1312">
        <f t="shared" si="84"/>
        <v>0</v>
      </c>
      <c r="V303" s="1312" t="e">
        <f t="shared" ref="V303:AH303" si="86">V301*V288</f>
        <v>#DIV/0!</v>
      </c>
      <c r="W303" s="1312">
        <f t="shared" ref="W303:Y303" si="87">W301*W288</f>
        <v>0</v>
      </c>
      <c r="X303" s="1312">
        <f t="shared" ref="X303" si="88">X301*X288</f>
        <v>0</v>
      </c>
      <c r="Y303" s="1312">
        <f t="shared" si="87"/>
        <v>0</v>
      </c>
      <c r="Z303" s="1312">
        <f t="shared" si="86"/>
        <v>0</v>
      </c>
      <c r="AA303" s="1312">
        <f t="shared" si="86"/>
        <v>0</v>
      </c>
      <c r="AB303" s="1312">
        <f t="shared" si="86"/>
        <v>0</v>
      </c>
      <c r="AC303" s="1312">
        <f t="shared" si="86"/>
        <v>0</v>
      </c>
      <c r="AD303" s="1312">
        <f t="shared" si="86"/>
        <v>0</v>
      </c>
      <c r="AE303" s="1312">
        <f t="shared" ref="AE303" si="89">AE301*AE288</f>
        <v>0</v>
      </c>
      <c r="AF303" s="1312">
        <f t="shared" si="86"/>
        <v>0</v>
      </c>
      <c r="AG303" s="1312">
        <f t="shared" si="86"/>
        <v>0</v>
      </c>
      <c r="AH303" s="1312" t="e">
        <f t="shared" si="86"/>
        <v>#DIV/0!</v>
      </c>
    </row>
    <row r="304" spans="1:36" s="1304" customFormat="1" ht="26.25" thickBot="1" x14ac:dyDescent="0.25">
      <c r="A304" s="1303"/>
      <c r="C304" s="1305" t="str">
        <f>'TRAD-Children YEAR(1)'!B121</f>
        <v>Nb de cdt - Estimation période AVEC SS</v>
      </c>
      <c r="D304" s="1315">
        <f t="shared" ref="D304:U304" si="90">D302*D288</f>
        <v>0</v>
      </c>
      <c r="E304" s="1315">
        <f t="shared" si="90"/>
        <v>0</v>
      </c>
      <c r="F304" s="1315">
        <f t="shared" si="90"/>
        <v>0</v>
      </c>
      <c r="G304" s="1315">
        <f t="shared" si="90"/>
        <v>0</v>
      </c>
      <c r="H304" s="1315">
        <f t="shared" si="90"/>
        <v>0</v>
      </c>
      <c r="I304" s="1315">
        <f t="shared" si="90"/>
        <v>16.153487903225809</v>
      </c>
      <c r="J304" s="1315" t="e">
        <f t="shared" si="90"/>
        <v>#DIV/0!</v>
      </c>
      <c r="K304" s="1316">
        <f t="shared" si="90"/>
        <v>807.69116129032261</v>
      </c>
      <c r="L304" s="1317">
        <f t="shared" si="90"/>
        <v>0</v>
      </c>
      <c r="M304" s="1315">
        <f t="shared" si="90"/>
        <v>1502.274375</v>
      </c>
      <c r="N304" s="1315">
        <f t="shared" si="90"/>
        <v>0</v>
      </c>
      <c r="O304" s="1315">
        <f t="shared" si="90"/>
        <v>808.07767137096778</v>
      </c>
      <c r="P304" s="1315">
        <f t="shared" si="90"/>
        <v>0</v>
      </c>
      <c r="Q304" s="1315">
        <f t="shared" si="90"/>
        <v>0</v>
      </c>
      <c r="R304" s="1315">
        <f t="shared" ref="R304" si="91">R302*R288</f>
        <v>0</v>
      </c>
      <c r="S304" s="1315">
        <f t="shared" si="90"/>
        <v>0</v>
      </c>
      <c r="T304" s="1315">
        <f t="shared" si="90"/>
        <v>0</v>
      </c>
      <c r="U304" s="1315">
        <f t="shared" si="90"/>
        <v>0</v>
      </c>
      <c r="V304" s="1315" t="e">
        <f t="shared" ref="V304:AH304" si="92">V302*V288</f>
        <v>#DIV/0!</v>
      </c>
      <c r="W304" s="1315">
        <f t="shared" ref="W304:Y304" si="93">W302*W288</f>
        <v>0</v>
      </c>
      <c r="X304" s="1315">
        <f t="shared" ref="X304" si="94">X302*X288</f>
        <v>0</v>
      </c>
      <c r="Y304" s="1315">
        <f t="shared" si="93"/>
        <v>0</v>
      </c>
      <c r="Z304" s="1315">
        <f t="shared" si="92"/>
        <v>0</v>
      </c>
      <c r="AA304" s="1315">
        <f t="shared" si="92"/>
        <v>0</v>
      </c>
      <c r="AB304" s="1315">
        <f t="shared" si="92"/>
        <v>0</v>
      </c>
      <c r="AC304" s="1315">
        <f t="shared" si="92"/>
        <v>0</v>
      </c>
      <c r="AD304" s="1315">
        <f t="shared" si="92"/>
        <v>0</v>
      </c>
      <c r="AE304" s="1315">
        <f t="shared" ref="AE304" si="95">AE302*AE288</f>
        <v>12.922790322580646</v>
      </c>
      <c r="AF304" s="1315">
        <f t="shared" si="92"/>
        <v>26.653255040322581</v>
      </c>
      <c r="AG304" s="1315">
        <f t="shared" si="92"/>
        <v>0</v>
      </c>
      <c r="AH304" s="1315" t="e">
        <f t="shared" si="92"/>
        <v>#DIV/0!</v>
      </c>
    </row>
    <row r="305" spans="1:36" s="1279" customFormat="1" x14ac:dyDescent="0.2">
      <c r="A305" s="1282"/>
    </row>
    <row r="306" spans="1:36" s="1279" customFormat="1" ht="13.5" thickBot="1" x14ac:dyDescent="0.25">
      <c r="A306" s="1282"/>
    </row>
    <row r="307" spans="1:36" s="1279" customFormat="1" ht="13.5" thickBot="1" x14ac:dyDescent="0.25">
      <c r="A307" s="1282"/>
      <c r="B307" s="1283" t="str">
        <f>'TRAD-Children YEAR(1)'!B125</f>
        <v>Tranche 15 -19,9 kg</v>
      </c>
      <c r="C307" s="1284"/>
      <c r="D307" s="1285"/>
      <c r="E307" s="1285"/>
      <c r="F307" s="1285"/>
      <c r="G307" s="1285"/>
      <c r="H307" s="1285"/>
      <c r="I307" s="1286"/>
    </row>
    <row r="308" spans="1:36" s="1279" customFormat="1" ht="13.5" thickBot="1" x14ac:dyDescent="0.25">
      <c r="A308" s="1282"/>
      <c r="B308" s="1323"/>
      <c r="C308" s="1324"/>
      <c r="D308" s="1325"/>
      <c r="E308" s="1325"/>
      <c r="F308" s="1325"/>
      <c r="G308" s="1325"/>
      <c r="H308" s="1325"/>
      <c r="I308" s="1325"/>
    </row>
    <row r="309" spans="1:36" s="1279" customFormat="1" ht="26.25" thickBot="1" x14ac:dyDescent="0.25">
      <c r="A309" s="1282"/>
      <c r="D309" s="1287" t="str">
        <f>'TRAD-Children YEAR(1)'!B90</f>
        <v>Solutions buvables</v>
      </c>
      <c r="E309" s="1288"/>
      <c r="F309" s="1288"/>
      <c r="G309" s="1288"/>
      <c r="H309" s="1288"/>
      <c r="I309" s="1288"/>
      <c r="J309" s="1284"/>
      <c r="K309" s="1284"/>
      <c r="L309" s="1289" t="str">
        <f>'TRAD-Children YEAR(1)'!B91</f>
        <v>Comprimés</v>
      </c>
      <c r="M309" s="1284"/>
      <c r="N309" s="1284"/>
      <c r="O309" s="1284"/>
      <c r="P309" s="1284"/>
      <c r="Q309" s="1284"/>
      <c r="R309" s="1284"/>
      <c r="S309" s="1284"/>
      <c r="T309" s="1284"/>
      <c r="U309" s="1284"/>
      <c r="V309" s="1284"/>
      <c r="W309" s="1945"/>
      <c r="X309" s="1945"/>
      <c r="Y309" s="1945"/>
      <c r="Z309" s="1284"/>
      <c r="AA309" s="1284"/>
      <c r="AB309" s="1284"/>
      <c r="AC309" s="1284"/>
      <c r="AD309" s="1284"/>
      <c r="AE309" s="1284"/>
      <c r="AF309" s="1284"/>
      <c r="AG309" s="1284"/>
      <c r="AH309" s="1284"/>
    </row>
    <row r="310" spans="1:36" s="1292" customFormat="1" ht="25.5" x14ac:dyDescent="0.2">
      <c r="A310" s="1291"/>
      <c r="C310" s="1332" t="str">
        <f>'TRAD-Children YEAR(1)'!B113</f>
        <v>Nb de boites / mois pour l'ensemble des patients</v>
      </c>
      <c r="D310" s="1329" t="s">
        <v>39</v>
      </c>
      <c r="E310" s="1329" t="s">
        <v>61</v>
      </c>
      <c r="F310" s="1329" t="s">
        <v>15</v>
      </c>
      <c r="G310" s="1329" t="s">
        <v>25</v>
      </c>
      <c r="H310" s="1329" t="s">
        <v>28</v>
      </c>
      <c r="I310" s="1329" t="s">
        <v>19</v>
      </c>
      <c r="J310" s="1329" t="s">
        <v>17</v>
      </c>
      <c r="K310" s="1333" t="s">
        <v>33</v>
      </c>
      <c r="L310" s="1334" t="s">
        <v>7</v>
      </c>
      <c r="M310" s="1330" t="s">
        <v>386</v>
      </c>
      <c r="N310" s="1330" t="s">
        <v>11</v>
      </c>
      <c r="O310" s="1330" t="s">
        <v>387</v>
      </c>
      <c r="P310" s="1330" t="s">
        <v>50</v>
      </c>
      <c r="Q310" s="1330" t="s">
        <v>392</v>
      </c>
      <c r="R310" s="1330" t="s">
        <v>81</v>
      </c>
      <c r="S310" s="1330" t="s">
        <v>140</v>
      </c>
      <c r="T310" s="1330" t="s">
        <v>635</v>
      </c>
      <c r="U310" s="1330" t="s">
        <v>586</v>
      </c>
      <c r="V310" s="1330" t="s">
        <v>575</v>
      </c>
      <c r="W310" s="1946"/>
      <c r="X310" s="1946"/>
      <c r="Y310" s="1946"/>
      <c r="Z310" s="1422" t="s">
        <v>15</v>
      </c>
      <c r="AA310" s="1330" t="s">
        <v>25</v>
      </c>
      <c r="AB310" s="1330" t="s">
        <v>648</v>
      </c>
      <c r="AC310" s="1330" t="s">
        <v>28</v>
      </c>
      <c r="AD310" s="1422" t="s">
        <v>19</v>
      </c>
      <c r="AE310" s="1586" t="s">
        <v>19</v>
      </c>
      <c r="AF310" s="1422" t="s">
        <v>17</v>
      </c>
      <c r="AG310" s="1330" t="s">
        <v>33</v>
      </c>
      <c r="AH310" s="1335" t="s">
        <v>638</v>
      </c>
    </row>
    <row r="311" spans="1:36" s="1292" customFormat="1" ht="77.25" thickBot="1" x14ac:dyDescent="0.25">
      <c r="A311" s="1291"/>
      <c r="C311" s="1332" t="str">
        <f>'TRAD-Children YEAR(1)'!B114</f>
        <v>Dosage</v>
      </c>
      <c r="D311" s="1329" t="s">
        <v>41</v>
      </c>
      <c r="E311" s="1329" t="s">
        <v>41</v>
      </c>
      <c r="F311" s="1329" t="s">
        <v>41</v>
      </c>
      <c r="G311" s="1329" t="s">
        <v>44</v>
      </c>
      <c r="H311" s="1329" t="s">
        <v>46</v>
      </c>
      <c r="I311" s="1329" t="s">
        <v>41</v>
      </c>
      <c r="J311" s="1329" t="s">
        <v>259</v>
      </c>
      <c r="K311" s="1333" t="s">
        <v>47</v>
      </c>
      <c r="L311" s="1336" t="s">
        <v>9</v>
      </c>
      <c r="M311" s="1331" t="s">
        <v>384</v>
      </c>
      <c r="N311" s="1331" t="s">
        <v>12</v>
      </c>
      <c r="O311" s="1331" t="s">
        <v>382</v>
      </c>
      <c r="P311" s="1331" t="s">
        <v>80</v>
      </c>
      <c r="Q311" s="1331" t="s">
        <v>131</v>
      </c>
      <c r="R311" s="1331" t="s">
        <v>733</v>
      </c>
      <c r="S311" s="1331" t="s">
        <v>334</v>
      </c>
      <c r="T311" s="1331" t="s">
        <v>636</v>
      </c>
      <c r="U311" s="1331" t="s">
        <v>649</v>
      </c>
      <c r="V311" s="1331" t="s">
        <v>636</v>
      </c>
      <c r="W311" s="1331"/>
      <c r="X311" s="1331"/>
      <c r="Y311" s="1331"/>
      <c r="Z311" s="1424" t="s">
        <v>16</v>
      </c>
      <c r="AA311" s="1331" t="s">
        <v>23</v>
      </c>
      <c r="AB311" s="1331" t="s">
        <v>639</v>
      </c>
      <c r="AC311" s="1331" t="s">
        <v>29</v>
      </c>
      <c r="AD311" s="1424" t="s">
        <v>20</v>
      </c>
      <c r="AE311" s="1424" t="s">
        <v>248</v>
      </c>
      <c r="AF311" s="1424" t="s">
        <v>20</v>
      </c>
      <c r="AG311" s="1331" t="s">
        <v>34</v>
      </c>
      <c r="AH311" s="1337" t="s">
        <v>637</v>
      </c>
      <c r="AI311" s="1320" t="str">
        <f>'TRAD-Children YEAR(1)'!B126</f>
        <v>Répartition des patients mois / tranches de poids</v>
      </c>
    </row>
    <row r="312" spans="1:36" s="1279" customFormat="1" ht="26.25" thickBot="1" x14ac:dyDescent="0.25">
      <c r="A312" s="1282"/>
      <c r="C312" s="1332" t="str">
        <f>'TRAD-Children YEAR(1)'!B115</f>
        <v>Nb de cdt/mois pour la tranche</v>
      </c>
      <c r="D312" s="1404">
        <f t="array" ref="D312:AH312">TRANSPOSE($F$224:$F$254)</f>
        <v>3.75</v>
      </c>
      <c r="E312" s="1404">
        <v>3.75</v>
      </c>
      <c r="F312" s="1404">
        <v>1.875</v>
      </c>
      <c r="G312" s="1404">
        <v>1.875</v>
      </c>
      <c r="H312" s="1404">
        <v>3</v>
      </c>
      <c r="I312" s="1404">
        <v>3</v>
      </c>
      <c r="J312" s="1404">
        <v>2.1666666666666665</v>
      </c>
      <c r="K312" s="1405">
        <v>2.5</v>
      </c>
      <c r="L312" s="1406">
        <v>1</v>
      </c>
      <c r="M312" s="1407">
        <v>2.5</v>
      </c>
      <c r="N312" s="1407">
        <v>1</v>
      </c>
      <c r="O312" s="1407">
        <v>2.5</v>
      </c>
      <c r="P312" s="1407">
        <v>1</v>
      </c>
      <c r="Q312" s="1407">
        <v>2.5</v>
      </c>
      <c r="R312" s="1407">
        <v>2.5</v>
      </c>
      <c r="S312" s="1407">
        <v>1</v>
      </c>
      <c r="T312" s="1407">
        <v>2.5</v>
      </c>
      <c r="U312" s="1407">
        <v>1</v>
      </c>
      <c r="V312" s="1407">
        <v>2.5</v>
      </c>
      <c r="W312" s="1407">
        <v>0</v>
      </c>
      <c r="X312" s="1407">
        <v>0</v>
      </c>
      <c r="Y312" s="1407">
        <v>0</v>
      </c>
      <c r="Z312" s="1407">
        <v>0.5</v>
      </c>
      <c r="AA312" s="1407">
        <v>0.5</v>
      </c>
      <c r="AB312" s="1407">
        <v>2.5</v>
      </c>
      <c r="AC312" s="1407">
        <v>0</v>
      </c>
      <c r="AD312" s="1407">
        <v>0.75</v>
      </c>
      <c r="AE312" s="1407">
        <v>2.5</v>
      </c>
      <c r="AF312" s="1407">
        <v>1.5</v>
      </c>
      <c r="AG312" s="1407">
        <v>0.5</v>
      </c>
      <c r="AH312" s="1407">
        <v>2</v>
      </c>
      <c r="AI312" s="1338" t="s">
        <v>659</v>
      </c>
      <c r="AJ312" s="1281"/>
    </row>
    <row r="313" spans="1:36" s="1279" customFormat="1" ht="63.75" x14ac:dyDescent="0.2">
      <c r="A313" s="1282"/>
      <c r="B313" s="1293" t="str">
        <f>'TRAD-Children YEAR(1)'!B6</f>
        <v>Schéma thérapeutique</v>
      </c>
      <c r="C313" s="1332" t="str">
        <f>'TRAD-Children YEAR(1)'!B116</f>
        <v>Premières lignes</v>
      </c>
      <c r="D313" s="1297"/>
      <c r="E313" s="1297"/>
      <c r="F313" s="1297"/>
      <c r="G313" s="1297"/>
      <c r="H313" s="1297"/>
      <c r="I313" s="1297"/>
      <c r="J313" s="1297"/>
      <c r="K313" s="1298"/>
      <c r="L313" s="1299"/>
      <c r="M313" s="1297"/>
      <c r="N313" s="1297"/>
      <c r="O313" s="1297"/>
      <c r="P313" s="1297"/>
      <c r="Q313" s="1297"/>
      <c r="R313" s="1297"/>
      <c r="S313" s="1297"/>
      <c r="T313" s="1297"/>
      <c r="U313" s="1297"/>
      <c r="V313" s="1297"/>
      <c r="W313" s="1297"/>
      <c r="X313" s="1297"/>
      <c r="Y313" s="1297"/>
      <c r="Z313" s="1297"/>
      <c r="AA313" s="1297"/>
      <c r="AB313" s="1297"/>
      <c r="AC313" s="1297"/>
      <c r="AD313" s="1297"/>
      <c r="AE313" s="1297"/>
      <c r="AF313" s="1297"/>
      <c r="AG313" s="1297"/>
      <c r="AH313" s="1297"/>
      <c r="AI313" s="1318" t="str">
        <f>'TRAD-Children YEAR(1)'!B122</f>
        <v>nb de patients mois période quantifiée</v>
      </c>
      <c r="AJ313" s="1318" t="str">
        <f>'TRAD-Children YEAR(1)'!B123</f>
        <v>nb de patients mois avec période de sécurité</v>
      </c>
    </row>
    <row r="314" spans="1:36" s="1279" customFormat="1" ht="15" x14ac:dyDescent="0.25">
      <c r="A314" s="1282"/>
      <c r="C314" s="1319" t="str">
        <f t="array" ref="C314:C319">'Data &amp; hypothesis Children'!$C$26:$C$31</f>
        <v>D4T+3TC+NVP</v>
      </c>
      <c r="D314" s="1175">
        <f>'Data &amp; hypothesis Children'!C155</f>
        <v>0</v>
      </c>
      <c r="E314" s="1175">
        <f>'Data &amp; hypothesis Children'!D155</f>
        <v>0</v>
      </c>
      <c r="F314" s="1175">
        <f>'Data &amp; hypothesis Children'!E155</f>
        <v>0</v>
      </c>
      <c r="G314" s="1175">
        <f>'Data &amp; hypothesis Children'!F155</f>
        <v>0</v>
      </c>
      <c r="H314" s="1175">
        <f>'Data &amp; hypothesis Children'!G155</f>
        <v>0</v>
      </c>
      <c r="I314" s="1175">
        <f>'Data &amp; hypothesis Children'!H155</f>
        <v>0</v>
      </c>
      <c r="J314" s="1175">
        <f>'Data &amp; hypothesis Children'!I155</f>
        <v>0</v>
      </c>
      <c r="K314" s="1413">
        <f>'Data &amp; hypothesis Children'!J155</f>
        <v>0</v>
      </c>
      <c r="L314" s="1414">
        <f>'Data &amp; hypothesis Children'!K155</f>
        <v>0</v>
      </c>
      <c r="M314" s="1175">
        <f>'Data &amp; hypothesis Children'!L155</f>
        <v>0</v>
      </c>
      <c r="N314" s="1175">
        <f>'Data &amp; hypothesis Children'!M155</f>
        <v>0</v>
      </c>
      <c r="O314" s="1175">
        <f>'Data &amp; hypothesis Children'!N155</f>
        <v>0</v>
      </c>
      <c r="P314" s="1175">
        <f>'Data &amp; hypothesis Children'!O155</f>
        <v>0</v>
      </c>
      <c r="Q314" s="1175" t="str">
        <f>'Data &amp; hypothesis Children'!P155</f>
        <v>X</v>
      </c>
      <c r="R314" s="1175">
        <f>'Data &amp; hypothesis Children'!Q155</f>
        <v>0</v>
      </c>
      <c r="S314" s="1175">
        <f>'Data &amp; hypothesis Children'!R155</f>
        <v>0</v>
      </c>
      <c r="T314" s="1175">
        <f>'Data &amp; hypothesis Children'!S155</f>
        <v>0</v>
      </c>
      <c r="U314" s="1175">
        <f>'Data &amp; hypothesis Children'!T155</f>
        <v>0</v>
      </c>
      <c r="V314" s="1175">
        <f>'Data &amp; hypothesis Children'!U155</f>
        <v>0</v>
      </c>
      <c r="W314" s="1175">
        <f>'Data &amp; hypothesis Children'!V155</f>
        <v>0</v>
      </c>
      <c r="X314" s="1175">
        <f>'Data &amp; hypothesis Children'!W155</f>
        <v>0</v>
      </c>
      <c r="Y314" s="1175">
        <f>'Data &amp; hypothesis Children'!X155</f>
        <v>0</v>
      </c>
      <c r="Z314" s="1175">
        <f>'Data &amp; hypothesis Children'!Y155</f>
        <v>0</v>
      </c>
      <c r="AA314" s="1175">
        <f>'Data &amp; hypothesis Children'!Z155</f>
        <v>0</v>
      </c>
      <c r="AB314" s="1175">
        <f>'Data &amp; hypothesis Children'!AA155</f>
        <v>0</v>
      </c>
      <c r="AC314" s="1175">
        <f>'Data &amp; hypothesis Children'!AB155</f>
        <v>0</v>
      </c>
      <c r="AD314" s="1175">
        <f>'Data &amp; hypothesis Children'!AC155</f>
        <v>0</v>
      </c>
      <c r="AE314" s="1175">
        <f>'Data &amp; hypothesis Children'!AD155</f>
        <v>0</v>
      </c>
      <c r="AF314" s="1175">
        <f>'Data &amp; hypothesis Children'!AE155</f>
        <v>0</v>
      </c>
      <c r="AG314" s="1175">
        <f>'Data &amp; hypothesis Children'!AF155</f>
        <v>0</v>
      </c>
      <c r="AH314" s="1415">
        <f>'Data &amp; hypothesis Children'!AG155</f>
        <v>0</v>
      </c>
      <c r="AI314" s="1339">
        <f t="shared" ref="AI314:AI319" si="96">H69</f>
        <v>0</v>
      </c>
      <c r="AJ314" s="1340">
        <f t="shared" ref="AJ314:AJ319" si="97">H85</f>
        <v>0</v>
      </c>
    </row>
    <row r="315" spans="1:36" s="1279" customFormat="1" ht="15" x14ac:dyDescent="0.25">
      <c r="A315" s="1282"/>
      <c r="C315" s="1319" t="str">
        <v>AZT+3TC+NVP</v>
      </c>
      <c r="D315" s="1175">
        <f>'Data &amp; hypothesis Children'!C156</f>
        <v>0</v>
      </c>
      <c r="E315" s="1175">
        <f>'Data &amp; hypothesis Children'!D156</f>
        <v>0</v>
      </c>
      <c r="F315" s="1175">
        <f>'Data &amp; hypothesis Children'!E156</f>
        <v>0</v>
      </c>
      <c r="G315" s="1175">
        <f>'Data &amp; hypothesis Children'!F156</f>
        <v>0</v>
      </c>
      <c r="H315" s="1175">
        <f>'Data &amp; hypothesis Children'!G156</f>
        <v>0</v>
      </c>
      <c r="I315" s="1175">
        <f>'Data &amp; hypothesis Children'!H156</f>
        <v>0</v>
      </c>
      <c r="J315" s="1175">
        <f>'Data &amp; hypothesis Children'!I156</f>
        <v>0</v>
      </c>
      <c r="K315" s="1413">
        <f>'Data &amp; hypothesis Children'!J156</f>
        <v>0</v>
      </c>
      <c r="L315" s="1414">
        <f>'Data &amp; hypothesis Children'!K156</f>
        <v>0</v>
      </c>
      <c r="M315" s="1175" t="str">
        <f>'Data &amp; hypothesis Children'!L156</f>
        <v>X</v>
      </c>
      <c r="N315" s="1175">
        <f>'Data &amp; hypothesis Children'!M156</f>
        <v>0</v>
      </c>
      <c r="O315" s="1175">
        <f>'Data &amp; hypothesis Children'!N156</f>
        <v>0</v>
      </c>
      <c r="P315" s="1175">
        <f>'Data &amp; hypothesis Children'!O156</f>
        <v>0</v>
      </c>
      <c r="Q315" s="1175">
        <f>'Data &amp; hypothesis Children'!P156</f>
        <v>0</v>
      </c>
      <c r="R315" s="1175">
        <f>'Data &amp; hypothesis Children'!Q156</f>
        <v>0</v>
      </c>
      <c r="S315" s="1175">
        <f>'Data &amp; hypothesis Children'!R156</f>
        <v>0</v>
      </c>
      <c r="T315" s="1175">
        <f>'Data &amp; hypothesis Children'!S156</f>
        <v>0</v>
      </c>
      <c r="U315" s="1175">
        <f>'Data &amp; hypothesis Children'!T156</f>
        <v>0</v>
      </c>
      <c r="V315" s="1175">
        <f>'Data &amp; hypothesis Children'!U156</f>
        <v>0</v>
      </c>
      <c r="W315" s="1175">
        <f>'Data &amp; hypothesis Children'!V156</f>
        <v>0</v>
      </c>
      <c r="X315" s="1175">
        <f>'Data &amp; hypothesis Children'!W156</f>
        <v>0</v>
      </c>
      <c r="Y315" s="1175">
        <f>'Data &amp; hypothesis Children'!X156</f>
        <v>0</v>
      </c>
      <c r="Z315" s="1175">
        <f>'Data &amp; hypothesis Children'!Y156</f>
        <v>0</v>
      </c>
      <c r="AA315" s="1175">
        <f>'Data &amp; hypothesis Children'!Z156</f>
        <v>0</v>
      </c>
      <c r="AB315" s="1175">
        <f>'Data &amp; hypothesis Children'!AA156</f>
        <v>0</v>
      </c>
      <c r="AC315" s="1175">
        <f>'Data &amp; hypothesis Children'!AB156</f>
        <v>0</v>
      </c>
      <c r="AD315" s="1175">
        <f>'Data &amp; hypothesis Children'!AC156</f>
        <v>0</v>
      </c>
      <c r="AE315" s="1175">
        <f>'Data &amp; hypothesis Children'!AD156</f>
        <v>0</v>
      </c>
      <c r="AF315" s="1175">
        <f>'Data &amp; hypothesis Children'!AE156</f>
        <v>0</v>
      </c>
      <c r="AG315" s="1175">
        <f>'Data &amp; hypothesis Children'!AF156</f>
        <v>0</v>
      </c>
      <c r="AH315" s="1415">
        <f>'Data &amp; hypothesis Children'!AG156</f>
        <v>0</v>
      </c>
      <c r="AI315" s="1339">
        <f t="shared" si="96"/>
        <v>0</v>
      </c>
      <c r="AJ315" s="1340">
        <f t="shared" si="97"/>
        <v>195.29566875</v>
      </c>
    </row>
    <row r="316" spans="1:36" s="1279" customFormat="1" ht="15" x14ac:dyDescent="0.25">
      <c r="A316" s="1282"/>
      <c r="C316" s="1319" t="str">
        <v>AZT+3TC+EFV</v>
      </c>
      <c r="D316" s="1175">
        <f>'Data &amp; hypothesis Children'!C157</f>
        <v>0</v>
      </c>
      <c r="E316" s="1175">
        <f>'Data &amp; hypothesis Children'!D157</f>
        <v>0</v>
      </c>
      <c r="F316" s="1175">
        <f>'Data &amp; hypothesis Children'!E157</f>
        <v>0</v>
      </c>
      <c r="G316" s="1175">
        <f>'Data &amp; hypothesis Children'!F157</f>
        <v>0</v>
      </c>
      <c r="H316" s="1175">
        <f>'Data &amp; hypothesis Children'!G157</f>
        <v>0</v>
      </c>
      <c r="I316" s="1175">
        <f>'Data &amp; hypothesis Children'!H157</f>
        <v>0</v>
      </c>
      <c r="J316" s="1175">
        <f>'Data &amp; hypothesis Children'!I157</f>
        <v>0</v>
      </c>
      <c r="K316" s="1413">
        <f>'Data &amp; hypothesis Children'!J157</f>
        <v>0</v>
      </c>
      <c r="L316" s="1414">
        <f>'Data &amp; hypothesis Children'!K157</f>
        <v>0</v>
      </c>
      <c r="M316" s="1175">
        <f>'Data &amp; hypothesis Children'!L157</f>
        <v>0</v>
      </c>
      <c r="N316" s="1175">
        <f>'Data &amp; hypothesis Children'!M157</f>
        <v>0</v>
      </c>
      <c r="O316" s="1175" t="str">
        <f>'Data &amp; hypothesis Children'!N157</f>
        <v>X</v>
      </c>
      <c r="P316" s="1175">
        <f>'Data &amp; hypothesis Children'!O157</f>
        <v>0</v>
      </c>
      <c r="Q316" s="1175">
        <f>'Data &amp; hypothesis Children'!P157</f>
        <v>0</v>
      </c>
      <c r="R316" s="1175">
        <f>'Data &amp; hypothesis Children'!Q157</f>
        <v>0</v>
      </c>
      <c r="S316" s="1175">
        <f>'Data &amp; hypothesis Children'!R157</f>
        <v>0</v>
      </c>
      <c r="T316" s="1175">
        <f>'Data &amp; hypothesis Children'!S157</f>
        <v>0</v>
      </c>
      <c r="U316" s="1175">
        <f>'Data &amp; hypothesis Children'!T157</f>
        <v>0</v>
      </c>
      <c r="V316" s="1175">
        <f>'Data &amp; hypothesis Children'!U157</f>
        <v>0</v>
      </c>
      <c r="W316" s="1175">
        <f>'Data &amp; hypothesis Children'!V157</f>
        <v>0</v>
      </c>
      <c r="X316" s="1175">
        <f>'Data &amp; hypothesis Children'!W157</f>
        <v>0</v>
      </c>
      <c r="Y316" s="1175">
        <f>'Data &amp; hypothesis Children'!X157</f>
        <v>0</v>
      </c>
      <c r="Z316" s="1175">
        <f>'Data &amp; hypothesis Children'!Y157</f>
        <v>0</v>
      </c>
      <c r="AA316" s="1175">
        <f>'Data &amp; hypothesis Children'!Z157</f>
        <v>0</v>
      </c>
      <c r="AB316" s="1175">
        <f>'Data &amp; hypothesis Children'!AA157</f>
        <v>0</v>
      </c>
      <c r="AC316" s="1175">
        <f>'Data &amp; hypothesis Children'!AB157</f>
        <v>0</v>
      </c>
      <c r="AD316" s="1175">
        <f>'Data &amp; hypothesis Children'!AC157</f>
        <v>0</v>
      </c>
      <c r="AE316" s="1175">
        <f>'Data &amp; hypothesis Children'!AD157</f>
        <v>0</v>
      </c>
      <c r="AF316" s="1175" t="str">
        <f>'Data &amp; hypothesis Children'!AE157</f>
        <v>X</v>
      </c>
      <c r="AG316" s="1175">
        <f>'Data &amp; hypothesis Children'!AF157</f>
        <v>0</v>
      </c>
      <c r="AH316" s="1415">
        <f>'Data &amp; hypothesis Children'!AG157</f>
        <v>0</v>
      </c>
      <c r="AI316" s="1339">
        <f t="shared" si="96"/>
        <v>0</v>
      </c>
      <c r="AJ316" s="1340">
        <f t="shared" si="97"/>
        <v>4.6198975403225804</v>
      </c>
    </row>
    <row r="317" spans="1:36" s="1279" customFormat="1" ht="15" x14ac:dyDescent="0.25">
      <c r="A317" s="1282"/>
      <c r="C317" s="1319" t="str">
        <v>LPV/r+3TC+ABC</v>
      </c>
      <c r="D317" s="1175">
        <f>'Data &amp; hypothesis Children'!C158</f>
        <v>0</v>
      </c>
      <c r="E317" s="1175">
        <f>'Data &amp; hypothesis Children'!D158</f>
        <v>0</v>
      </c>
      <c r="F317" s="1175">
        <f>'Data &amp; hypothesis Children'!E158</f>
        <v>0</v>
      </c>
      <c r="G317" s="1175">
        <f>'Data &amp; hypothesis Children'!F158</f>
        <v>0</v>
      </c>
      <c r="H317" s="1175">
        <f>'Data &amp; hypothesis Children'!G158</f>
        <v>0</v>
      </c>
      <c r="I317" s="1175">
        <f>'Data &amp; hypothesis Children'!H158</f>
        <v>0</v>
      </c>
      <c r="J317" s="1175">
        <f>'Data &amp; hypothesis Children'!I158</f>
        <v>0</v>
      </c>
      <c r="K317" s="1413">
        <f>'Data &amp; hypothesis Children'!J158</f>
        <v>0</v>
      </c>
      <c r="L317" s="1414">
        <f>'Data &amp; hypothesis Children'!K158</f>
        <v>0</v>
      </c>
      <c r="M317" s="1175">
        <f>'Data &amp; hypothesis Children'!L158</f>
        <v>0</v>
      </c>
      <c r="N317" s="1175">
        <f>'Data &amp; hypothesis Children'!M158</f>
        <v>0</v>
      </c>
      <c r="O317" s="1175">
        <f>'Data &amp; hypothesis Children'!N158</f>
        <v>0</v>
      </c>
      <c r="P317" s="1175">
        <f>'Data &amp; hypothesis Children'!O158</f>
        <v>0</v>
      </c>
      <c r="Q317" s="1175">
        <f>'Data &amp; hypothesis Children'!P158</f>
        <v>0</v>
      </c>
      <c r="R317" s="1175">
        <f>'Data &amp; hypothesis Children'!Q158</f>
        <v>0</v>
      </c>
      <c r="S317" s="1175">
        <f>'Data &amp; hypothesis Children'!R158</f>
        <v>0</v>
      </c>
      <c r="T317" s="1175">
        <f>'Data &amp; hypothesis Children'!S158</f>
        <v>0</v>
      </c>
      <c r="U317" s="1175">
        <f>'Data &amp; hypothesis Children'!T158</f>
        <v>0</v>
      </c>
      <c r="V317" s="1175">
        <f>'Data &amp; hypothesis Children'!U158</f>
        <v>0</v>
      </c>
      <c r="W317" s="1175">
        <f>'Data &amp; hypothesis Children'!V158</f>
        <v>0</v>
      </c>
      <c r="X317" s="1175">
        <f>'Data &amp; hypothesis Children'!W158</f>
        <v>0</v>
      </c>
      <c r="Y317" s="1175">
        <f>'Data &amp; hypothesis Children'!X158</f>
        <v>0</v>
      </c>
      <c r="Z317" s="1175">
        <f>'Data &amp; hypothesis Children'!Y158</f>
        <v>0</v>
      </c>
      <c r="AA317" s="1175">
        <f>'Data &amp; hypothesis Children'!Z158</f>
        <v>0</v>
      </c>
      <c r="AB317" s="1175">
        <f>'Data &amp; hypothesis Children'!AA158</f>
        <v>0</v>
      </c>
      <c r="AC317" s="1175">
        <f>'Data &amp; hypothesis Children'!AB158</f>
        <v>0</v>
      </c>
      <c r="AD317" s="1175">
        <f>'Data &amp; hypothesis Children'!AC158</f>
        <v>0</v>
      </c>
      <c r="AE317" s="1175">
        <f>'Data &amp; hypothesis Children'!AD158</f>
        <v>0</v>
      </c>
      <c r="AF317" s="1175">
        <f>'Data &amp; hypothesis Children'!AE158</f>
        <v>0</v>
      </c>
      <c r="AG317" s="1175">
        <f>'Data &amp; hypothesis Children'!AF158</f>
        <v>0</v>
      </c>
      <c r="AH317" s="1415">
        <f>'Data &amp; hypothesis Children'!AG158</f>
        <v>0</v>
      </c>
      <c r="AI317" s="1339">
        <f t="shared" si="96"/>
        <v>0</v>
      </c>
      <c r="AJ317" s="1340">
        <f t="shared" si="97"/>
        <v>6.8796000000000008</v>
      </c>
    </row>
    <row r="318" spans="1:36" s="1279" customFormat="1" ht="15" x14ac:dyDescent="0.25">
      <c r="A318" s="1282"/>
      <c r="C318" s="1319" t="str">
        <v>ABC+3TC+NVP</v>
      </c>
      <c r="D318" s="1175">
        <f>'Data &amp; hypothesis Children'!C159</f>
        <v>0</v>
      </c>
      <c r="E318" s="1175">
        <f>'Data &amp; hypothesis Children'!D159</f>
        <v>0</v>
      </c>
      <c r="F318" s="1175">
        <f>'Data &amp; hypothesis Children'!E159</f>
        <v>0</v>
      </c>
      <c r="G318" s="1175">
        <f>'Data &amp; hypothesis Children'!F159</f>
        <v>0</v>
      </c>
      <c r="H318" s="1175">
        <f>'Data &amp; hypothesis Children'!G159</f>
        <v>0</v>
      </c>
      <c r="I318" s="1175">
        <f>'Data &amp; hypothesis Children'!H159</f>
        <v>0</v>
      </c>
      <c r="J318" s="1175">
        <f>'Data &amp; hypothesis Children'!I159</f>
        <v>0</v>
      </c>
      <c r="K318" s="1413">
        <f>'Data &amp; hypothesis Children'!J159</f>
        <v>0</v>
      </c>
      <c r="L318" s="1414">
        <f>'Data &amp; hypothesis Children'!K159</f>
        <v>0</v>
      </c>
      <c r="M318" s="1175">
        <f>'Data &amp; hypothesis Children'!L159</f>
        <v>0</v>
      </c>
      <c r="N318" s="1175">
        <f>'Data &amp; hypothesis Children'!M159</f>
        <v>0</v>
      </c>
      <c r="O318" s="1175">
        <f>'Data &amp; hypothesis Children'!N159</f>
        <v>0</v>
      </c>
      <c r="P318" s="1175">
        <f>'Data &amp; hypothesis Children'!O159</f>
        <v>0</v>
      </c>
      <c r="Q318" s="1175">
        <f>'Data &amp; hypothesis Children'!P159</f>
        <v>0</v>
      </c>
      <c r="R318" s="1175">
        <f>'Data &amp; hypothesis Children'!Q159</f>
        <v>0</v>
      </c>
      <c r="S318" s="1175">
        <f>'Data &amp; hypothesis Children'!R159</f>
        <v>0</v>
      </c>
      <c r="T318" s="1175">
        <f>'Data &amp; hypothesis Children'!S159</f>
        <v>0</v>
      </c>
      <c r="U318" s="1175">
        <f>'Data &amp; hypothesis Children'!T159</f>
        <v>0</v>
      </c>
      <c r="V318" s="1175" t="str">
        <f>'Data &amp; hypothesis Children'!U159</f>
        <v>X</v>
      </c>
      <c r="W318" s="1175">
        <f>'Data &amp; hypothesis Children'!V159</f>
        <v>0</v>
      </c>
      <c r="X318" s="1175">
        <f>'Data &amp; hypothesis Children'!W159</f>
        <v>0</v>
      </c>
      <c r="Y318" s="1175">
        <f>'Data &amp; hypothesis Children'!X159</f>
        <v>0</v>
      </c>
      <c r="Z318" s="1175">
        <f>'Data &amp; hypothesis Children'!Y159</f>
        <v>0</v>
      </c>
      <c r="AA318" s="1175">
        <f>'Data &amp; hypothesis Children'!Z159</f>
        <v>0</v>
      </c>
      <c r="AB318" s="1175">
        <f>'Data &amp; hypothesis Children'!AA159</f>
        <v>0</v>
      </c>
      <c r="AC318" s="1175">
        <f>'Data &amp; hypothesis Children'!AB159</f>
        <v>0</v>
      </c>
      <c r="AD318" s="1175">
        <f>'Data &amp; hypothesis Children'!AC159</f>
        <v>0</v>
      </c>
      <c r="AE318" s="1175" t="str">
        <f>'Data &amp; hypothesis Children'!AD159</f>
        <v>X</v>
      </c>
      <c r="AF318" s="1175">
        <f>'Data &amp; hypothesis Children'!AE159</f>
        <v>0</v>
      </c>
      <c r="AG318" s="1175">
        <f>'Data &amp; hypothesis Children'!AF159</f>
        <v>0</v>
      </c>
      <c r="AH318" s="1415">
        <f>'Data &amp; hypothesis Children'!AG159</f>
        <v>0</v>
      </c>
      <c r="AI318" s="1339">
        <f t="shared" si="96"/>
        <v>0</v>
      </c>
      <c r="AJ318" s="1340">
        <f t="shared" si="97"/>
        <v>1.6799627419354839</v>
      </c>
    </row>
    <row r="319" spans="1:36" s="1279" customFormat="1" ht="15" x14ac:dyDescent="0.25">
      <c r="A319" s="1282"/>
      <c r="C319" s="1319" t="str">
        <v>AZT+3TC+LPV/r</v>
      </c>
      <c r="D319" s="1175">
        <f>'Data &amp; hypothesis Children'!C160</f>
        <v>0</v>
      </c>
      <c r="E319" s="1175">
        <f>'Data &amp; hypothesis Children'!D160</f>
        <v>0</v>
      </c>
      <c r="F319" s="1175">
        <f>'Data &amp; hypothesis Children'!E160</f>
        <v>0</v>
      </c>
      <c r="G319" s="1175">
        <f>'Data &amp; hypothesis Children'!F160</f>
        <v>0</v>
      </c>
      <c r="H319" s="1175">
        <f>'Data &amp; hypothesis Children'!G160</f>
        <v>0</v>
      </c>
      <c r="I319" s="1175">
        <f>'Data &amp; hypothesis Children'!H160</f>
        <v>0</v>
      </c>
      <c r="J319" s="1175">
        <f>'Data &amp; hypothesis Children'!I160</f>
        <v>0</v>
      </c>
      <c r="K319" s="1413">
        <f>'Data &amp; hypothesis Children'!J160</f>
        <v>0</v>
      </c>
      <c r="L319" s="1414">
        <f>'Data &amp; hypothesis Children'!K160</f>
        <v>0</v>
      </c>
      <c r="M319" s="1175">
        <f>'Data &amp; hypothesis Children'!L160</f>
        <v>0</v>
      </c>
      <c r="N319" s="1175">
        <f>'Data &amp; hypothesis Children'!M160</f>
        <v>0</v>
      </c>
      <c r="O319" s="1175" t="str">
        <f>'Data &amp; hypothesis Children'!N160</f>
        <v>X</v>
      </c>
      <c r="P319" s="1175">
        <f>'Data &amp; hypothesis Children'!O160</f>
        <v>0</v>
      </c>
      <c r="Q319" s="1175">
        <f>'Data &amp; hypothesis Children'!P160</f>
        <v>0</v>
      </c>
      <c r="R319" s="1175">
        <f>'Data &amp; hypothesis Children'!Q160</f>
        <v>0</v>
      </c>
      <c r="S319" s="1175">
        <f>'Data &amp; hypothesis Children'!R160</f>
        <v>0</v>
      </c>
      <c r="T319" s="1175">
        <f>'Data &amp; hypothesis Children'!S160</f>
        <v>0</v>
      </c>
      <c r="U319" s="1175">
        <f>'Data &amp; hypothesis Children'!T160</f>
        <v>0</v>
      </c>
      <c r="V319" s="1175">
        <f>'Data &amp; hypothesis Children'!U160</f>
        <v>0</v>
      </c>
      <c r="W319" s="1175">
        <f>'Data &amp; hypothesis Children'!V160</f>
        <v>0</v>
      </c>
      <c r="X319" s="1175">
        <f>'Data &amp; hypothesis Children'!W160</f>
        <v>0</v>
      </c>
      <c r="Y319" s="1175">
        <f>'Data &amp; hypothesis Children'!X160</f>
        <v>0</v>
      </c>
      <c r="Z319" s="1175">
        <f>'Data &amp; hypothesis Children'!Y160</f>
        <v>0</v>
      </c>
      <c r="AA319" s="1175">
        <f>'Data &amp; hypothesis Children'!Z160</f>
        <v>0</v>
      </c>
      <c r="AB319" s="1175">
        <f>'Data &amp; hypothesis Children'!AA160</f>
        <v>0</v>
      </c>
      <c r="AC319" s="1175">
        <f>'Data &amp; hypothesis Children'!AB160</f>
        <v>0</v>
      </c>
      <c r="AD319" s="1175">
        <f>'Data &amp; hypothesis Children'!AC160</f>
        <v>0</v>
      </c>
      <c r="AE319" s="1175">
        <f>'Data &amp; hypothesis Children'!AD160</f>
        <v>0</v>
      </c>
      <c r="AF319" s="1175">
        <f>'Data &amp; hypothesis Children'!AE160</f>
        <v>0</v>
      </c>
      <c r="AG319" s="1175">
        <f>'Data &amp; hypothesis Children'!AF160</f>
        <v>0</v>
      </c>
      <c r="AH319" s="1415" t="str">
        <f>'Data &amp; hypothesis Children'!AG160</f>
        <v>X</v>
      </c>
      <c r="AI319" s="1339">
        <f t="shared" si="96"/>
        <v>0</v>
      </c>
      <c r="AJ319" s="1340">
        <f t="shared" si="97"/>
        <v>98.120250967741953</v>
      </c>
    </row>
    <row r="320" spans="1:36" s="1279" customFormat="1" x14ac:dyDescent="0.2">
      <c r="A320" s="1282"/>
      <c r="C320" s="1296" t="str">
        <f>'TRAD-Children YEAR(1)'!$B$117</f>
        <v>Deuxièmes lignes</v>
      </c>
      <c r="D320" s="1410"/>
      <c r="E320" s="1410"/>
      <c r="F320" s="1410"/>
      <c r="G320" s="1410"/>
      <c r="H320" s="1410"/>
      <c r="I320" s="1410"/>
      <c r="J320" s="1410"/>
      <c r="K320" s="1411"/>
      <c r="L320" s="1412"/>
      <c r="M320" s="1410"/>
      <c r="N320" s="1410"/>
      <c r="O320" s="1410"/>
      <c r="P320" s="1410"/>
      <c r="Q320" s="1410"/>
      <c r="R320" s="1410"/>
      <c r="S320" s="1410"/>
      <c r="T320" s="1410"/>
      <c r="U320" s="1410"/>
      <c r="V320" s="1410"/>
      <c r="W320" s="1410"/>
      <c r="X320" s="1410"/>
      <c r="Y320" s="1410"/>
      <c r="Z320" s="1410"/>
      <c r="AA320" s="1410"/>
      <c r="AB320" s="1410"/>
      <c r="AC320" s="1410"/>
      <c r="AD320" s="1410"/>
      <c r="AE320" s="1410"/>
      <c r="AF320" s="1410"/>
      <c r="AG320" s="1410"/>
      <c r="AH320" s="1416"/>
      <c r="AI320" s="1339"/>
      <c r="AJ320" s="1340"/>
    </row>
    <row r="321" spans="1:36" s="1279" customFormat="1" ht="15" x14ac:dyDescent="0.25">
      <c r="A321" s="1282"/>
      <c r="C321" s="1301" t="str">
        <f t="array" ref="C321:C324">'Data &amp; hypothesis Children'!$C$32:$C$35</f>
        <v>ABC+3TC+EFV</v>
      </c>
      <c r="D321" s="1175">
        <f>'Data &amp; hypothesis Children'!C162</f>
        <v>0</v>
      </c>
      <c r="E321" s="1175">
        <f>'Data &amp; hypothesis Children'!D162</f>
        <v>0</v>
      </c>
      <c r="F321" s="1175">
        <f>'Data &amp; hypothesis Children'!E162</f>
        <v>0</v>
      </c>
      <c r="G321" s="1175">
        <f>'Data &amp; hypothesis Children'!F162</f>
        <v>0</v>
      </c>
      <c r="H321" s="1175">
        <f>'Data &amp; hypothesis Children'!G162</f>
        <v>0</v>
      </c>
      <c r="I321" s="1175">
        <f>'Data &amp; hypothesis Children'!H162</f>
        <v>0</v>
      </c>
      <c r="J321" s="1175" t="str">
        <f>'Data &amp; hypothesis Children'!I162</f>
        <v>X</v>
      </c>
      <c r="K321" s="1413">
        <f>'Data &amp; hypothesis Children'!J162</f>
        <v>0</v>
      </c>
      <c r="L321" s="1414">
        <f>'Data &amp; hypothesis Children'!K162</f>
        <v>0</v>
      </c>
      <c r="M321" s="1175">
        <f>'Data &amp; hypothesis Children'!L162</f>
        <v>0</v>
      </c>
      <c r="N321" s="1175">
        <f>'Data &amp; hypothesis Children'!M162</f>
        <v>0</v>
      </c>
      <c r="O321" s="1175">
        <f>'Data &amp; hypothesis Children'!N162</f>
        <v>0</v>
      </c>
      <c r="P321" s="1175">
        <f>'Data &amp; hypothesis Children'!O162</f>
        <v>0</v>
      </c>
      <c r="Q321" s="1175">
        <f>'Data &amp; hypothesis Children'!P162</f>
        <v>0</v>
      </c>
      <c r="R321" s="1175">
        <f>'Data &amp; hypothesis Children'!Q162</f>
        <v>0</v>
      </c>
      <c r="S321" s="1175">
        <f>'Data &amp; hypothesis Children'!R162</f>
        <v>0</v>
      </c>
      <c r="T321" s="1175">
        <f>'Data &amp; hypothesis Children'!S162</f>
        <v>0</v>
      </c>
      <c r="U321" s="1175">
        <f>'Data &amp; hypothesis Children'!T162</f>
        <v>0</v>
      </c>
      <c r="V321" s="1175" t="str">
        <f>'Data &amp; hypothesis Children'!U162</f>
        <v>X</v>
      </c>
      <c r="W321" s="1175">
        <f>'Data &amp; hypothesis Children'!V162</f>
        <v>0</v>
      </c>
      <c r="X321" s="1175">
        <f>'Data &amp; hypothesis Children'!W162</f>
        <v>0</v>
      </c>
      <c r="Y321" s="1175">
        <f>'Data &amp; hypothesis Children'!X162</f>
        <v>0</v>
      </c>
      <c r="Z321" s="1175">
        <f>'Data &amp; hypothesis Children'!Y162</f>
        <v>0</v>
      </c>
      <c r="AA321" s="1175">
        <f>'Data &amp; hypothesis Children'!Z162</f>
        <v>0</v>
      </c>
      <c r="AB321" s="1175">
        <f>'Data &amp; hypothesis Children'!AA162</f>
        <v>0</v>
      </c>
      <c r="AC321" s="1175">
        <f>'Data &amp; hypothesis Children'!AB162</f>
        <v>0</v>
      </c>
      <c r="AD321" s="1175">
        <f>'Data &amp; hypothesis Children'!AC162</f>
        <v>0</v>
      </c>
      <c r="AE321" s="1175">
        <f>'Data &amp; hypothesis Children'!AD162</f>
        <v>0</v>
      </c>
      <c r="AF321" s="1175" t="str">
        <f>'Data &amp; hypothesis Children'!AE162</f>
        <v>X</v>
      </c>
      <c r="AG321" s="1175">
        <f>'Data &amp; hypothesis Children'!AF162</f>
        <v>0</v>
      </c>
      <c r="AH321" s="1415">
        <f>'Data &amp; hypothesis Children'!AG162</f>
        <v>0</v>
      </c>
      <c r="AI321" s="1339" t="e">
        <f>H75</f>
        <v>#DIV/0!</v>
      </c>
      <c r="AJ321" s="1340" t="e">
        <f>H91</f>
        <v>#DIV/0!</v>
      </c>
    </row>
    <row r="322" spans="1:36" s="1279" customFormat="1" ht="15" x14ac:dyDescent="0.25">
      <c r="A322" s="1282"/>
      <c r="C322" s="1301" t="str">
        <v>TDF+3TC+LPV/r</v>
      </c>
      <c r="D322" s="1175">
        <f>'Data &amp; hypothesis Children'!C163</f>
        <v>0</v>
      </c>
      <c r="E322" s="1175">
        <f>'Data &amp; hypothesis Children'!D163</f>
        <v>0</v>
      </c>
      <c r="F322" s="1175">
        <f>'Data &amp; hypothesis Children'!E163</f>
        <v>0</v>
      </c>
      <c r="G322" s="1175">
        <f>'Data &amp; hypothesis Children'!F163</f>
        <v>0</v>
      </c>
      <c r="H322" s="1175">
        <f>'Data &amp; hypothesis Children'!G163</f>
        <v>0</v>
      </c>
      <c r="I322" s="1175">
        <f>'Data &amp; hypothesis Children'!H163</f>
        <v>0</v>
      </c>
      <c r="J322" s="1175" t="str">
        <f>'Data &amp; hypothesis Children'!I163</f>
        <v>X</v>
      </c>
      <c r="K322" s="1413">
        <f>'Data &amp; hypothesis Children'!J163</f>
        <v>0</v>
      </c>
      <c r="L322" s="1414">
        <f>'Data &amp; hypothesis Children'!K163</f>
        <v>0</v>
      </c>
      <c r="M322" s="1175">
        <f>'Data &amp; hypothesis Children'!L163</f>
        <v>0</v>
      </c>
      <c r="N322" s="1175">
        <f>'Data &amp; hypothesis Children'!M163</f>
        <v>0</v>
      </c>
      <c r="O322" s="1175" t="str">
        <f>'Data &amp; hypothesis Children'!N163</f>
        <v>X</v>
      </c>
      <c r="P322" s="1175">
        <f>'Data &amp; hypothesis Children'!O163</f>
        <v>0</v>
      </c>
      <c r="Q322" s="1175">
        <f>'Data &amp; hypothesis Children'!P163</f>
        <v>0</v>
      </c>
      <c r="R322" s="1175">
        <f>'Data &amp; hypothesis Children'!Q163</f>
        <v>0</v>
      </c>
      <c r="S322" s="1175">
        <f>'Data &amp; hypothesis Children'!R163</f>
        <v>0</v>
      </c>
      <c r="T322" s="1175">
        <f>'Data &amp; hypothesis Children'!S163</f>
        <v>0</v>
      </c>
      <c r="U322" s="1175">
        <f>'Data &amp; hypothesis Children'!T163</f>
        <v>0</v>
      </c>
      <c r="V322" s="1175">
        <f>'Data &amp; hypothesis Children'!U163</f>
        <v>0</v>
      </c>
      <c r="W322" s="1175">
        <f>'Data &amp; hypothesis Children'!V163</f>
        <v>0</v>
      </c>
      <c r="X322" s="1175">
        <f>'Data &amp; hypothesis Children'!W163</f>
        <v>0</v>
      </c>
      <c r="Y322" s="1175">
        <f>'Data &amp; hypothesis Children'!X163</f>
        <v>0</v>
      </c>
      <c r="Z322" s="1175">
        <f>'Data &amp; hypothesis Children'!Y163</f>
        <v>0</v>
      </c>
      <c r="AA322" s="1175">
        <f>'Data &amp; hypothesis Children'!Z163</f>
        <v>0</v>
      </c>
      <c r="AB322" s="1175">
        <f>'Data &amp; hypothesis Children'!AA163</f>
        <v>0</v>
      </c>
      <c r="AC322" s="1175">
        <f>'Data &amp; hypothesis Children'!AB163</f>
        <v>0</v>
      </c>
      <c r="AD322" s="1175">
        <f>'Data &amp; hypothesis Children'!AC163</f>
        <v>0</v>
      </c>
      <c r="AE322" s="1175">
        <f>'Data &amp; hypothesis Children'!AD163</f>
        <v>0</v>
      </c>
      <c r="AF322" s="1175">
        <f>'Data &amp; hypothesis Children'!AE163</f>
        <v>0</v>
      </c>
      <c r="AG322" s="1175">
        <f>'Data &amp; hypothesis Children'!AF163</f>
        <v>0</v>
      </c>
      <c r="AH322" s="1415" t="str">
        <f>'Data &amp; hypothesis Children'!AG163</f>
        <v>X</v>
      </c>
      <c r="AI322" s="1339" t="e">
        <f t="shared" ref="AI322:AI323" si="98">H76</f>
        <v>#DIV/0!</v>
      </c>
      <c r="AJ322" s="1340" t="e">
        <f t="shared" ref="AJ322:AJ323" si="99">H92</f>
        <v>#DIV/0!</v>
      </c>
    </row>
    <row r="323" spans="1:36" s="1279" customFormat="1" ht="15" x14ac:dyDescent="0.25">
      <c r="A323" s="1282"/>
      <c r="C323" s="1301" t="str">
        <v>AZT+3TC+EFV</v>
      </c>
      <c r="D323" s="1175">
        <f>'Data &amp; hypothesis Children'!C164</f>
        <v>0</v>
      </c>
      <c r="E323" s="1175">
        <f>'Data &amp; hypothesis Children'!D164</f>
        <v>0</v>
      </c>
      <c r="F323" s="1175">
        <f>'Data &amp; hypothesis Children'!E164</f>
        <v>0</v>
      </c>
      <c r="G323" s="1175">
        <f>'Data &amp; hypothesis Children'!F164</f>
        <v>0</v>
      </c>
      <c r="H323" s="1175">
        <f>'Data &amp; hypothesis Children'!G164</f>
        <v>0</v>
      </c>
      <c r="I323" s="1175">
        <f>'Data &amp; hypothesis Children'!H164</f>
        <v>0</v>
      </c>
      <c r="J323" s="1175">
        <f>'Data &amp; hypothesis Children'!I164</f>
        <v>0</v>
      </c>
      <c r="K323" s="1413">
        <f>'Data &amp; hypothesis Children'!J164</f>
        <v>0</v>
      </c>
      <c r="L323" s="1414">
        <f>'Data &amp; hypothesis Children'!K164</f>
        <v>0</v>
      </c>
      <c r="M323" s="1175">
        <f>'Data &amp; hypothesis Children'!L164</f>
        <v>0</v>
      </c>
      <c r="N323" s="1175">
        <f>'Data &amp; hypothesis Children'!M164</f>
        <v>0</v>
      </c>
      <c r="O323" s="1175">
        <f>'Data &amp; hypothesis Children'!N164</f>
        <v>0</v>
      </c>
      <c r="P323" s="1175">
        <f>'Data &amp; hypothesis Children'!O164</f>
        <v>0</v>
      </c>
      <c r="Q323" s="1175">
        <f>'Data &amp; hypothesis Children'!P164</f>
        <v>0</v>
      </c>
      <c r="R323" s="1175">
        <f>'Data &amp; hypothesis Children'!Q164</f>
        <v>0</v>
      </c>
      <c r="S323" s="1175">
        <f>'Data &amp; hypothesis Children'!R164</f>
        <v>0</v>
      </c>
      <c r="T323" s="1175">
        <f>'Data &amp; hypothesis Children'!S164</f>
        <v>0</v>
      </c>
      <c r="U323" s="1175">
        <f>'Data &amp; hypothesis Children'!T164</f>
        <v>0</v>
      </c>
      <c r="V323" s="1175">
        <f>'Data &amp; hypothesis Children'!U164</f>
        <v>0</v>
      </c>
      <c r="W323" s="1175">
        <f>'Data &amp; hypothesis Children'!V164</f>
        <v>0</v>
      </c>
      <c r="X323" s="1175">
        <f>'Data &amp; hypothesis Children'!W164</f>
        <v>0</v>
      </c>
      <c r="Y323" s="1175">
        <f>'Data &amp; hypothesis Children'!X164</f>
        <v>0</v>
      </c>
      <c r="Z323" s="1175">
        <f>'Data &amp; hypothesis Children'!Y164</f>
        <v>0</v>
      </c>
      <c r="AA323" s="1175">
        <f>'Data &amp; hypothesis Children'!Z164</f>
        <v>0</v>
      </c>
      <c r="AB323" s="1175">
        <f>'Data &amp; hypothesis Children'!AA164</f>
        <v>0</v>
      </c>
      <c r="AC323" s="1175">
        <f>'Data &amp; hypothesis Children'!AB164</f>
        <v>0</v>
      </c>
      <c r="AD323" s="1175">
        <f>'Data &amp; hypothesis Children'!AC164</f>
        <v>0</v>
      </c>
      <c r="AE323" s="1175">
        <f>'Data &amp; hypothesis Children'!AD164</f>
        <v>0</v>
      </c>
      <c r="AF323" s="1175">
        <f>'Data &amp; hypothesis Children'!AE164</f>
        <v>0</v>
      </c>
      <c r="AG323" s="1175">
        <f>'Data &amp; hypothesis Children'!AF164</f>
        <v>0</v>
      </c>
      <c r="AH323" s="1415">
        <f>'Data &amp; hypothesis Children'!AG164</f>
        <v>0</v>
      </c>
      <c r="AI323" s="1339" t="e">
        <f t="shared" si="98"/>
        <v>#DIV/0!</v>
      </c>
      <c r="AJ323" s="1340" t="e">
        <f t="shared" si="99"/>
        <v>#DIV/0!</v>
      </c>
    </row>
    <row r="324" spans="1:36" s="1279" customFormat="1" ht="15.75" thickBot="1" x14ac:dyDescent="0.3">
      <c r="A324" s="1282"/>
      <c r="C324" s="1301">
        <v>0</v>
      </c>
      <c r="D324" s="1175">
        <f>'Data &amp; hypothesis Children'!C165</f>
        <v>0</v>
      </c>
      <c r="E324" s="1175">
        <f>'Data &amp; hypothesis Children'!D165</f>
        <v>0</v>
      </c>
      <c r="F324" s="1175">
        <f>'Data &amp; hypothesis Children'!E165</f>
        <v>0</v>
      </c>
      <c r="G324" s="1175">
        <f>'Data &amp; hypothesis Children'!F165</f>
        <v>0</v>
      </c>
      <c r="H324" s="1175">
        <f>'Data &amp; hypothesis Children'!G165</f>
        <v>0</v>
      </c>
      <c r="I324" s="1175">
        <f>'Data &amp; hypothesis Children'!H165</f>
        <v>0</v>
      </c>
      <c r="J324" s="1175">
        <f>'Data &amp; hypothesis Children'!I165</f>
        <v>0</v>
      </c>
      <c r="K324" s="1413">
        <f>'Data &amp; hypothesis Children'!J165</f>
        <v>0</v>
      </c>
      <c r="L324" s="1417">
        <f>'Data &amp; hypothesis Children'!K165</f>
        <v>0</v>
      </c>
      <c r="M324" s="1418">
        <f>'Data &amp; hypothesis Children'!L165</f>
        <v>0</v>
      </c>
      <c r="N324" s="1418">
        <f>'Data &amp; hypothesis Children'!M165</f>
        <v>0</v>
      </c>
      <c r="O324" s="1418">
        <f>'Data &amp; hypothesis Children'!N165</f>
        <v>0</v>
      </c>
      <c r="P324" s="1418">
        <f>'Data &amp; hypothesis Children'!O165</f>
        <v>0</v>
      </c>
      <c r="Q324" s="1418">
        <f>'Data &amp; hypothesis Children'!P165</f>
        <v>0</v>
      </c>
      <c r="R324" s="1418">
        <f>'Data &amp; hypothesis Children'!Q165</f>
        <v>0</v>
      </c>
      <c r="S324" s="1418">
        <f>'Data &amp; hypothesis Children'!R165</f>
        <v>0</v>
      </c>
      <c r="T324" s="1418">
        <f>'Data &amp; hypothesis Children'!S165</f>
        <v>0</v>
      </c>
      <c r="U324" s="1418">
        <f>'Data &amp; hypothesis Children'!T165</f>
        <v>0</v>
      </c>
      <c r="V324" s="1418">
        <f>'Data &amp; hypothesis Children'!U165</f>
        <v>0</v>
      </c>
      <c r="W324" s="1418">
        <f>'Data &amp; hypothesis Children'!V165</f>
        <v>0</v>
      </c>
      <c r="X324" s="1418">
        <f>'Data &amp; hypothesis Children'!W165</f>
        <v>0</v>
      </c>
      <c r="Y324" s="1418">
        <f>'Data &amp; hypothesis Children'!X165</f>
        <v>0</v>
      </c>
      <c r="Z324" s="1418">
        <f>'Data &amp; hypothesis Children'!Y165</f>
        <v>0</v>
      </c>
      <c r="AA324" s="1418">
        <f>'Data &amp; hypothesis Children'!Z165</f>
        <v>0</v>
      </c>
      <c r="AB324" s="1418">
        <f>'Data &amp; hypothesis Children'!AA165</f>
        <v>0</v>
      </c>
      <c r="AC324" s="1418">
        <f>'Data &amp; hypothesis Children'!AB165</f>
        <v>0</v>
      </c>
      <c r="AD324" s="1418">
        <f>'Data &amp; hypothesis Children'!AC165</f>
        <v>0</v>
      </c>
      <c r="AE324" s="1418">
        <f>'Data &amp; hypothesis Children'!AD165</f>
        <v>0</v>
      </c>
      <c r="AF324" s="1418">
        <f>'Data &amp; hypothesis Children'!AE165</f>
        <v>0</v>
      </c>
      <c r="AG324" s="1418">
        <f>'Data &amp; hypothesis Children'!AF165</f>
        <v>0</v>
      </c>
      <c r="AH324" s="1419">
        <f>'Data &amp; hypothesis Children'!AG165</f>
        <v>0</v>
      </c>
      <c r="AI324" s="1339" t="e">
        <f>H78</f>
        <v>#DIV/0!</v>
      </c>
      <c r="AJ324" s="1340" t="e">
        <f>H94</f>
        <v>#DIV/0!</v>
      </c>
    </row>
    <row r="325" spans="1:36" s="1304" customFormat="1" ht="26.25" thickBot="1" x14ac:dyDescent="0.25">
      <c r="A325" s="1303"/>
      <c r="C325" s="1305" t="str">
        <f>'TRAD-Children YEAR(1)'!B118</f>
        <v>Nb de patients-mois / produit - SANS SS</v>
      </c>
      <c r="D325" s="1306">
        <f t="shared" ref="D325:AE325" si="100">SUMIF(D314:D324, "X", $AI314:$AI324)</f>
        <v>0</v>
      </c>
      <c r="E325" s="1306">
        <f t="shared" si="100"/>
        <v>0</v>
      </c>
      <c r="F325" s="1306">
        <f t="shared" si="100"/>
        <v>0</v>
      </c>
      <c r="G325" s="1306">
        <f t="shared" si="100"/>
        <v>0</v>
      </c>
      <c r="H325" s="1306">
        <f t="shared" si="100"/>
        <v>0</v>
      </c>
      <c r="I325" s="1306">
        <f t="shared" si="100"/>
        <v>0</v>
      </c>
      <c r="J325" s="1306" t="e">
        <f t="shared" si="100"/>
        <v>#DIV/0!</v>
      </c>
      <c r="K325" s="1307">
        <f t="shared" si="100"/>
        <v>0</v>
      </c>
      <c r="L325" s="1308">
        <f t="shared" si="100"/>
        <v>0</v>
      </c>
      <c r="M325" s="1306">
        <f t="shared" si="100"/>
        <v>0</v>
      </c>
      <c r="N325" s="1306">
        <f t="shared" si="100"/>
        <v>0</v>
      </c>
      <c r="O325" s="1306" t="e">
        <f t="shared" si="100"/>
        <v>#DIV/0!</v>
      </c>
      <c r="P325" s="1306">
        <f t="shared" si="100"/>
        <v>0</v>
      </c>
      <c r="Q325" s="1306">
        <f t="shared" si="100"/>
        <v>0</v>
      </c>
      <c r="R325" s="1306">
        <f t="shared" si="100"/>
        <v>0</v>
      </c>
      <c r="S325" s="1306">
        <f t="shared" si="100"/>
        <v>0</v>
      </c>
      <c r="T325" s="1306">
        <f t="shared" si="100"/>
        <v>0</v>
      </c>
      <c r="U325" s="1306">
        <f t="shared" si="100"/>
        <v>0</v>
      </c>
      <c r="V325" s="1306" t="e">
        <f t="shared" si="100"/>
        <v>#DIV/0!</v>
      </c>
      <c r="W325" s="1306">
        <f t="shared" si="100"/>
        <v>0</v>
      </c>
      <c r="X325" s="1306">
        <f t="shared" si="100"/>
        <v>0</v>
      </c>
      <c r="Y325" s="1306">
        <f t="shared" si="100"/>
        <v>0</v>
      </c>
      <c r="Z325" s="1306">
        <f t="shared" si="100"/>
        <v>0</v>
      </c>
      <c r="AA325" s="1306">
        <f t="shared" si="100"/>
        <v>0</v>
      </c>
      <c r="AB325" s="1306">
        <f t="shared" si="100"/>
        <v>0</v>
      </c>
      <c r="AC325" s="1306">
        <f t="shared" si="100"/>
        <v>0</v>
      </c>
      <c r="AD325" s="1306">
        <f t="shared" si="100"/>
        <v>0</v>
      </c>
      <c r="AE325" s="1306">
        <f t="shared" si="100"/>
        <v>0</v>
      </c>
      <c r="AF325" s="1306" t="e">
        <f t="shared" ref="AF325" si="101">SUMIF(AF314:AF324, "X", $AI314:$AI324)</f>
        <v>#DIV/0!</v>
      </c>
      <c r="AG325" s="1306">
        <f>SUMIF(AG314:AG324, "X", $AI314:$AI324)</f>
        <v>0</v>
      </c>
      <c r="AH325" s="1306" t="e">
        <f>SUMIF(AH314:$AH$324, "X", $AI314:$AI324)</f>
        <v>#DIV/0!</v>
      </c>
    </row>
    <row r="326" spans="1:36" s="1304" customFormat="1" ht="26.25" thickBot="1" x14ac:dyDescent="0.25">
      <c r="A326" s="1303"/>
      <c r="C326" s="1305" t="str">
        <f>'TRAD-Children YEAR(1)'!B119</f>
        <v>Nb de patients-mois / produit - AVEC SS</v>
      </c>
      <c r="D326" s="1309">
        <f t="shared" ref="D326:AG326" si="102">SUMIF(D314:D324, "X", $AJ314:$AJ324)</f>
        <v>0</v>
      </c>
      <c r="E326" s="1309">
        <f t="shared" si="102"/>
        <v>0</v>
      </c>
      <c r="F326" s="1309">
        <f t="shared" si="102"/>
        <v>0</v>
      </c>
      <c r="G326" s="1309">
        <f t="shared" si="102"/>
        <v>0</v>
      </c>
      <c r="H326" s="1309">
        <f t="shared" si="102"/>
        <v>0</v>
      </c>
      <c r="I326" s="1309">
        <f t="shared" si="102"/>
        <v>0</v>
      </c>
      <c r="J326" s="1309" t="e">
        <f t="shared" si="102"/>
        <v>#DIV/0!</v>
      </c>
      <c r="K326" s="1310">
        <f t="shared" si="102"/>
        <v>0</v>
      </c>
      <c r="L326" s="1311">
        <f t="shared" si="102"/>
        <v>0</v>
      </c>
      <c r="M326" s="1309">
        <f t="shared" si="102"/>
        <v>195.29566875</v>
      </c>
      <c r="N326" s="1309">
        <f t="shared" si="102"/>
        <v>0</v>
      </c>
      <c r="O326" s="1309" t="e">
        <f t="shared" si="102"/>
        <v>#DIV/0!</v>
      </c>
      <c r="P326" s="1309">
        <f t="shared" si="102"/>
        <v>0</v>
      </c>
      <c r="Q326" s="1309">
        <f t="shared" si="102"/>
        <v>0</v>
      </c>
      <c r="R326" s="1309">
        <f t="shared" si="102"/>
        <v>0</v>
      </c>
      <c r="S326" s="1309">
        <f t="shared" si="102"/>
        <v>0</v>
      </c>
      <c r="T326" s="1309">
        <f t="shared" si="102"/>
        <v>0</v>
      </c>
      <c r="U326" s="1309">
        <f t="shared" si="102"/>
        <v>0</v>
      </c>
      <c r="V326" s="1309" t="e">
        <f t="shared" si="102"/>
        <v>#DIV/0!</v>
      </c>
      <c r="W326" s="1309">
        <f t="shared" si="102"/>
        <v>0</v>
      </c>
      <c r="X326" s="1309">
        <f t="shared" si="102"/>
        <v>0</v>
      </c>
      <c r="Y326" s="1309">
        <f t="shared" si="102"/>
        <v>0</v>
      </c>
      <c r="Z326" s="1309">
        <f t="shared" si="102"/>
        <v>0</v>
      </c>
      <c r="AA326" s="1309">
        <f t="shared" si="102"/>
        <v>0</v>
      </c>
      <c r="AB326" s="1309">
        <f t="shared" si="102"/>
        <v>0</v>
      </c>
      <c r="AC326" s="1309">
        <f t="shared" si="102"/>
        <v>0</v>
      </c>
      <c r="AD326" s="1309">
        <f t="shared" si="102"/>
        <v>0</v>
      </c>
      <c r="AE326" s="1309">
        <f t="shared" si="102"/>
        <v>1.6799627419354839</v>
      </c>
      <c r="AF326" s="1309" t="e">
        <f t="shared" si="102"/>
        <v>#DIV/0!</v>
      </c>
      <c r="AG326" s="1309">
        <f t="shared" si="102"/>
        <v>0</v>
      </c>
      <c r="AH326" s="1309" t="e">
        <f>SUMIF(AH314:$AH$324, "X", $AJ314:$AJ324)</f>
        <v>#DIV/0!</v>
      </c>
    </row>
    <row r="327" spans="1:36" s="1304" customFormat="1" ht="26.25" thickBot="1" x14ac:dyDescent="0.25">
      <c r="A327" s="1303"/>
      <c r="C327" s="1305" t="str">
        <f>'TRAD-Children YEAR(1)'!B120</f>
        <v>Nb de cdt - Estimation période SANS SS</v>
      </c>
      <c r="D327" s="1312">
        <f t="shared" ref="D327:AH327" si="103">D325*D312</f>
        <v>0</v>
      </c>
      <c r="E327" s="1312">
        <f t="shared" si="103"/>
        <v>0</v>
      </c>
      <c r="F327" s="1312">
        <f t="shared" si="103"/>
        <v>0</v>
      </c>
      <c r="G327" s="1312">
        <f t="shared" si="103"/>
        <v>0</v>
      </c>
      <c r="H327" s="1312">
        <f t="shared" si="103"/>
        <v>0</v>
      </c>
      <c r="I327" s="1312">
        <f t="shared" si="103"/>
        <v>0</v>
      </c>
      <c r="J327" s="1312" t="e">
        <f t="shared" si="103"/>
        <v>#DIV/0!</v>
      </c>
      <c r="K327" s="1313">
        <f t="shared" si="103"/>
        <v>0</v>
      </c>
      <c r="L327" s="1314">
        <f t="shared" si="103"/>
        <v>0</v>
      </c>
      <c r="M327" s="1312">
        <f t="shared" si="103"/>
        <v>0</v>
      </c>
      <c r="N327" s="1312">
        <f t="shared" si="103"/>
        <v>0</v>
      </c>
      <c r="O327" s="1312" t="e">
        <f t="shared" si="103"/>
        <v>#DIV/0!</v>
      </c>
      <c r="P327" s="1312">
        <f t="shared" si="103"/>
        <v>0</v>
      </c>
      <c r="Q327" s="1312">
        <f t="shared" si="103"/>
        <v>0</v>
      </c>
      <c r="R327" s="1312">
        <f t="shared" ref="R327" si="104">R325*R312</f>
        <v>0</v>
      </c>
      <c r="S327" s="1312">
        <f t="shared" si="103"/>
        <v>0</v>
      </c>
      <c r="T327" s="1312">
        <f t="shared" si="103"/>
        <v>0</v>
      </c>
      <c r="U327" s="1312">
        <f t="shared" si="103"/>
        <v>0</v>
      </c>
      <c r="V327" s="1312" t="e">
        <f t="shared" si="103"/>
        <v>#DIV/0!</v>
      </c>
      <c r="W327" s="1312">
        <f t="shared" ref="W327:Y327" si="105">W325*W312</f>
        <v>0</v>
      </c>
      <c r="X327" s="1312">
        <f t="shared" ref="X327" si="106">X325*X312</f>
        <v>0</v>
      </c>
      <c r="Y327" s="1312">
        <f t="shared" si="105"/>
        <v>0</v>
      </c>
      <c r="Z327" s="1312">
        <f t="shared" ref="Z327:AF327" si="107">Z325*Z312</f>
        <v>0</v>
      </c>
      <c r="AA327" s="1312">
        <f t="shared" si="107"/>
        <v>0</v>
      </c>
      <c r="AB327" s="1312">
        <f t="shared" si="107"/>
        <v>0</v>
      </c>
      <c r="AC327" s="1312">
        <f t="shared" si="107"/>
        <v>0</v>
      </c>
      <c r="AD327" s="1312">
        <f t="shared" si="107"/>
        <v>0</v>
      </c>
      <c r="AE327" s="1312">
        <f t="shared" ref="AE327" si="108">AE325*AE312</f>
        <v>0</v>
      </c>
      <c r="AF327" s="1312" t="e">
        <f t="shared" si="107"/>
        <v>#DIV/0!</v>
      </c>
      <c r="AG327" s="1312">
        <f t="shared" si="103"/>
        <v>0</v>
      </c>
      <c r="AH327" s="1312" t="e">
        <f t="shared" si="103"/>
        <v>#DIV/0!</v>
      </c>
    </row>
    <row r="328" spans="1:36" s="1304" customFormat="1" ht="26.25" thickBot="1" x14ac:dyDescent="0.25">
      <c r="A328" s="1303"/>
      <c r="C328" s="1305" t="str">
        <f>'TRAD-Children YEAR(1)'!B121</f>
        <v>Nb de cdt - Estimation période AVEC SS</v>
      </c>
      <c r="D328" s="1315">
        <f t="shared" ref="D328:AH328" si="109">D326*D312</f>
        <v>0</v>
      </c>
      <c r="E328" s="1315">
        <f t="shared" si="109"/>
        <v>0</v>
      </c>
      <c r="F328" s="1315">
        <f t="shared" si="109"/>
        <v>0</v>
      </c>
      <c r="G328" s="1315">
        <f t="shared" si="109"/>
        <v>0</v>
      </c>
      <c r="H328" s="1315">
        <f t="shared" si="109"/>
        <v>0</v>
      </c>
      <c r="I328" s="1315">
        <f t="shared" si="109"/>
        <v>0</v>
      </c>
      <c r="J328" s="1315" t="e">
        <f t="shared" si="109"/>
        <v>#DIV/0!</v>
      </c>
      <c r="K328" s="1316">
        <f t="shared" si="109"/>
        <v>0</v>
      </c>
      <c r="L328" s="1317">
        <f t="shared" si="109"/>
        <v>0</v>
      </c>
      <c r="M328" s="1315">
        <f t="shared" si="109"/>
        <v>488.23917187500001</v>
      </c>
      <c r="N328" s="1315">
        <f t="shared" si="109"/>
        <v>0</v>
      </c>
      <c r="O328" s="1315" t="e">
        <f t="shared" si="109"/>
        <v>#DIV/0!</v>
      </c>
      <c r="P328" s="1315">
        <f t="shared" si="109"/>
        <v>0</v>
      </c>
      <c r="Q328" s="1315">
        <f t="shared" si="109"/>
        <v>0</v>
      </c>
      <c r="R328" s="1315">
        <f t="shared" ref="R328" si="110">R326*R312</f>
        <v>0</v>
      </c>
      <c r="S328" s="1315">
        <f t="shared" si="109"/>
        <v>0</v>
      </c>
      <c r="T328" s="1315">
        <f t="shared" si="109"/>
        <v>0</v>
      </c>
      <c r="U328" s="1315">
        <f t="shared" si="109"/>
        <v>0</v>
      </c>
      <c r="V328" s="1315" t="e">
        <f t="shared" si="109"/>
        <v>#DIV/0!</v>
      </c>
      <c r="W328" s="1315">
        <f t="shared" ref="W328:Y328" si="111">W326*W312</f>
        <v>0</v>
      </c>
      <c r="X328" s="1315">
        <f t="shared" ref="X328" si="112">X326*X312</f>
        <v>0</v>
      </c>
      <c r="Y328" s="1315">
        <f t="shared" si="111"/>
        <v>0</v>
      </c>
      <c r="Z328" s="1315">
        <f t="shared" ref="Z328:AF328" si="113">Z326*Z312</f>
        <v>0</v>
      </c>
      <c r="AA328" s="1315">
        <f t="shared" si="113"/>
        <v>0</v>
      </c>
      <c r="AB328" s="1315">
        <f t="shared" si="113"/>
        <v>0</v>
      </c>
      <c r="AC328" s="1315">
        <f t="shared" si="113"/>
        <v>0</v>
      </c>
      <c r="AD328" s="1315">
        <f t="shared" si="113"/>
        <v>0</v>
      </c>
      <c r="AE328" s="1315">
        <f t="shared" ref="AE328" si="114">AE326*AE312</f>
        <v>4.1999068548387095</v>
      </c>
      <c r="AF328" s="1315" t="e">
        <f t="shared" si="113"/>
        <v>#DIV/0!</v>
      </c>
      <c r="AG328" s="1315">
        <f t="shared" si="109"/>
        <v>0</v>
      </c>
      <c r="AH328" s="1315" t="e">
        <f t="shared" si="109"/>
        <v>#DIV/0!</v>
      </c>
    </row>
    <row r="329" spans="1:36" s="1279" customFormat="1" x14ac:dyDescent="0.2">
      <c r="A329" s="1282"/>
    </row>
    <row r="330" spans="1:36" s="1279" customFormat="1" ht="13.5" thickBot="1" x14ac:dyDescent="0.25">
      <c r="A330" s="1282"/>
    </row>
    <row r="331" spans="1:36" s="1279" customFormat="1" ht="13.5" thickBot="1" x14ac:dyDescent="0.25">
      <c r="A331" s="1282"/>
      <c r="B331" s="1283" t="str">
        <f>'TRAD-Children YEAR(1)'!B127</f>
        <v>Tranche 20 - 24,9 kg</v>
      </c>
      <c r="C331" s="1284"/>
      <c r="D331" s="1285"/>
      <c r="E331" s="1285"/>
      <c r="F331" s="1285"/>
      <c r="G331" s="1285"/>
      <c r="H331" s="1285"/>
      <c r="I331" s="1286"/>
    </row>
    <row r="332" spans="1:36" s="1279" customFormat="1" ht="13.5" thickBot="1" x14ac:dyDescent="0.25">
      <c r="A332" s="1282"/>
      <c r="B332" s="1323"/>
      <c r="C332" s="1324"/>
      <c r="D332" s="1325"/>
      <c r="E332" s="1325"/>
      <c r="F332" s="1325"/>
      <c r="G332" s="1325"/>
      <c r="H332" s="1325"/>
      <c r="I332" s="1325"/>
    </row>
    <row r="333" spans="1:36" s="1279" customFormat="1" ht="26.25" thickBot="1" x14ac:dyDescent="0.25">
      <c r="A333" s="1282"/>
      <c r="D333" s="1287" t="s">
        <v>204</v>
      </c>
      <c r="E333" s="1288"/>
      <c r="F333" s="1288"/>
      <c r="G333" s="1288"/>
      <c r="H333" s="1288"/>
      <c r="I333" s="1288"/>
      <c r="J333" s="1284"/>
      <c r="K333" s="1284"/>
      <c r="L333" s="1289" t="str">
        <f>'TRAD-Children YEAR(1)'!B91</f>
        <v>Comprimés</v>
      </c>
      <c r="M333" s="1284"/>
      <c r="N333" s="1284"/>
      <c r="O333" s="1284"/>
      <c r="P333" s="1284"/>
      <c r="Q333" s="1284"/>
      <c r="R333" s="1284"/>
      <c r="S333" s="1284"/>
      <c r="T333" s="1284"/>
      <c r="U333" s="1284"/>
      <c r="V333" s="1284"/>
      <c r="W333" s="1945"/>
      <c r="X333" s="1945"/>
      <c r="Y333" s="1945"/>
      <c r="Z333" s="1284"/>
      <c r="AA333" s="1284"/>
      <c r="AB333" s="1284"/>
      <c r="AC333" s="1284"/>
      <c r="AD333" s="1284"/>
      <c r="AE333" s="1284"/>
      <c r="AF333" s="1284"/>
      <c r="AG333" s="1284"/>
      <c r="AH333" s="1284"/>
    </row>
    <row r="334" spans="1:36" s="1292" customFormat="1" ht="25.5" x14ac:dyDescent="0.2">
      <c r="A334" s="1291"/>
      <c r="C334" s="1332" t="str">
        <f>'TRAD-Children YEAR(1)'!B113</f>
        <v>Nb de boites / mois pour l'ensemble des patients</v>
      </c>
      <c r="D334" s="1329" t="s">
        <v>39</v>
      </c>
      <c r="E334" s="1329" t="s">
        <v>61</v>
      </c>
      <c r="F334" s="1329" t="s">
        <v>15</v>
      </c>
      <c r="G334" s="1329" t="s">
        <v>25</v>
      </c>
      <c r="H334" s="1329" t="s">
        <v>28</v>
      </c>
      <c r="I334" s="1329" t="s">
        <v>19</v>
      </c>
      <c r="J334" s="1329" t="s">
        <v>17</v>
      </c>
      <c r="K334" s="1333" t="s">
        <v>33</v>
      </c>
      <c r="L334" s="1334" t="s">
        <v>7</v>
      </c>
      <c r="M334" s="1330" t="s">
        <v>386</v>
      </c>
      <c r="N334" s="1330" t="s">
        <v>11</v>
      </c>
      <c r="O334" s="1330" t="s">
        <v>387</v>
      </c>
      <c r="P334" s="1330" t="s">
        <v>50</v>
      </c>
      <c r="Q334" s="1330" t="s">
        <v>392</v>
      </c>
      <c r="R334" s="1330" t="s">
        <v>81</v>
      </c>
      <c r="S334" s="1330" t="s">
        <v>140</v>
      </c>
      <c r="T334" s="1330" t="s">
        <v>635</v>
      </c>
      <c r="U334" s="1330" t="s">
        <v>586</v>
      </c>
      <c r="V334" s="1330" t="s">
        <v>575</v>
      </c>
      <c r="W334" s="1946"/>
      <c r="X334" s="1946"/>
      <c r="Y334" s="1946"/>
      <c r="Z334" s="1422" t="s">
        <v>15</v>
      </c>
      <c r="AA334" s="1330" t="s">
        <v>25</v>
      </c>
      <c r="AB334" s="1330" t="s">
        <v>648</v>
      </c>
      <c r="AC334" s="1330" t="s">
        <v>28</v>
      </c>
      <c r="AD334" s="1422" t="s">
        <v>19</v>
      </c>
      <c r="AE334" s="1586" t="s">
        <v>19</v>
      </c>
      <c r="AF334" s="1422" t="s">
        <v>17</v>
      </c>
      <c r="AG334" s="1330" t="s">
        <v>33</v>
      </c>
      <c r="AH334" s="1335" t="s">
        <v>638</v>
      </c>
    </row>
    <row r="335" spans="1:36" s="1292" customFormat="1" ht="77.25" thickBot="1" x14ac:dyDescent="0.25">
      <c r="A335" s="1291"/>
      <c r="C335" s="1332" t="str">
        <f>'TRAD-Children YEAR(1)'!B114</f>
        <v>Dosage</v>
      </c>
      <c r="D335" s="1329" t="s">
        <v>41</v>
      </c>
      <c r="E335" s="1329" t="s">
        <v>41</v>
      </c>
      <c r="F335" s="1329" t="s">
        <v>41</v>
      </c>
      <c r="G335" s="1329" t="s">
        <v>44</v>
      </c>
      <c r="H335" s="1329" t="s">
        <v>46</v>
      </c>
      <c r="I335" s="1329" t="s">
        <v>41</v>
      </c>
      <c r="J335" s="1329" t="s">
        <v>259</v>
      </c>
      <c r="K335" s="1333" t="s">
        <v>47</v>
      </c>
      <c r="L335" s="1336" t="s">
        <v>9</v>
      </c>
      <c r="M335" s="1331" t="s">
        <v>384</v>
      </c>
      <c r="N335" s="1331" t="s">
        <v>12</v>
      </c>
      <c r="O335" s="1331" t="s">
        <v>382</v>
      </c>
      <c r="P335" s="1331" t="s">
        <v>80</v>
      </c>
      <c r="Q335" s="1331" t="s">
        <v>131</v>
      </c>
      <c r="R335" s="1331" t="s">
        <v>733</v>
      </c>
      <c r="S335" s="1331" t="s">
        <v>334</v>
      </c>
      <c r="T335" s="1331" t="s">
        <v>636</v>
      </c>
      <c r="U335" s="1331" t="s">
        <v>649</v>
      </c>
      <c r="V335" s="1331" t="s">
        <v>636</v>
      </c>
      <c r="W335" s="1331"/>
      <c r="X335" s="1331"/>
      <c r="Y335" s="1331"/>
      <c r="Z335" s="1424" t="s">
        <v>16</v>
      </c>
      <c r="AA335" s="1331" t="s">
        <v>23</v>
      </c>
      <c r="AB335" s="1331" t="s">
        <v>639</v>
      </c>
      <c r="AC335" s="1331" t="s">
        <v>29</v>
      </c>
      <c r="AD335" s="1424" t="s">
        <v>20</v>
      </c>
      <c r="AE335" s="1424" t="s">
        <v>248</v>
      </c>
      <c r="AF335" s="1424" t="s">
        <v>20</v>
      </c>
      <c r="AG335" s="1331" t="s">
        <v>34</v>
      </c>
      <c r="AH335" s="1337" t="s">
        <v>637</v>
      </c>
      <c r="AI335" s="1320" t="str">
        <f>'TRAD-Children YEAR(1)'!B126</f>
        <v>Répartition des patients mois / tranches de poids</v>
      </c>
    </row>
    <row r="336" spans="1:36" s="1279" customFormat="1" ht="26.25" thickBot="1" x14ac:dyDescent="0.25">
      <c r="A336" s="1282"/>
      <c r="C336" s="1332" t="str">
        <f>'TRAD-Children YEAR(1)'!B115</f>
        <v>Nb de cdt/mois pour la tranche</v>
      </c>
      <c r="D336" s="1404">
        <f t="array" ref="D336:AH336">TRANSPOSE($G$224:$G$254)</f>
        <v>0</v>
      </c>
      <c r="E336" s="1404">
        <v>0</v>
      </c>
      <c r="F336" s="1404">
        <v>0</v>
      </c>
      <c r="G336" s="1404">
        <v>0</v>
      </c>
      <c r="H336" s="1404">
        <v>0</v>
      </c>
      <c r="I336" s="1404">
        <v>0</v>
      </c>
      <c r="J336" s="1404">
        <v>2.5</v>
      </c>
      <c r="K336" s="1405">
        <v>3</v>
      </c>
      <c r="L336" s="1406">
        <v>1</v>
      </c>
      <c r="M336" s="1407">
        <v>3</v>
      </c>
      <c r="N336" s="1407">
        <v>1</v>
      </c>
      <c r="O336" s="1407">
        <v>3</v>
      </c>
      <c r="P336" s="1407">
        <v>1</v>
      </c>
      <c r="Q336" s="1407">
        <v>3</v>
      </c>
      <c r="R336" s="1407">
        <v>3</v>
      </c>
      <c r="S336" s="1407">
        <v>1</v>
      </c>
      <c r="T336" s="1407">
        <v>3</v>
      </c>
      <c r="U336" s="1407">
        <v>1</v>
      </c>
      <c r="V336" s="1407">
        <v>3</v>
      </c>
      <c r="W336" s="1407">
        <v>1</v>
      </c>
      <c r="X336" s="1407">
        <v>1</v>
      </c>
      <c r="Y336" s="1407">
        <v>1</v>
      </c>
      <c r="Z336" s="1407">
        <v>1</v>
      </c>
      <c r="AA336" s="1407">
        <v>1</v>
      </c>
      <c r="AB336" s="1407">
        <v>3</v>
      </c>
      <c r="AC336" s="1407">
        <v>1</v>
      </c>
      <c r="AD336" s="1407">
        <v>1</v>
      </c>
      <c r="AE336" s="1407">
        <v>3</v>
      </c>
      <c r="AF336" s="1407">
        <v>1.5</v>
      </c>
      <c r="AG336" s="1407">
        <v>0.5</v>
      </c>
      <c r="AH336" s="1407">
        <v>2</v>
      </c>
      <c r="AI336" s="1338" t="s">
        <v>661</v>
      </c>
      <c r="AJ336" s="1281"/>
    </row>
    <row r="337" spans="1:36" s="1279" customFormat="1" ht="63.75" x14ac:dyDescent="0.2">
      <c r="A337" s="1282"/>
      <c r="B337" s="1293" t="str">
        <f>'TRAD-Children YEAR(1)'!B6</f>
        <v>Schéma thérapeutique</v>
      </c>
      <c r="C337" s="1332" t="str">
        <f>'TRAD-Children YEAR(1)'!B116</f>
        <v>Premières lignes</v>
      </c>
      <c r="D337" s="1297"/>
      <c r="E337" s="1297"/>
      <c r="F337" s="1297"/>
      <c r="G337" s="1297"/>
      <c r="H337" s="1297"/>
      <c r="I337" s="1297"/>
      <c r="J337" s="1297"/>
      <c r="K337" s="1298"/>
      <c r="L337" s="1299"/>
      <c r="M337" s="1297"/>
      <c r="N337" s="1297"/>
      <c r="O337" s="1297"/>
      <c r="P337" s="1297"/>
      <c r="Q337" s="1297"/>
      <c r="R337" s="1297"/>
      <c r="S337" s="1297"/>
      <c r="T337" s="1297"/>
      <c r="U337" s="1297"/>
      <c r="V337" s="1297"/>
      <c r="W337" s="1297"/>
      <c r="X337" s="1297"/>
      <c r="Y337" s="1297"/>
      <c r="Z337" s="1297"/>
      <c r="AA337" s="1297"/>
      <c r="AB337" s="1297"/>
      <c r="AC337" s="1297"/>
      <c r="AD337" s="1297"/>
      <c r="AE337" s="1297"/>
      <c r="AF337" s="1297"/>
      <c r="AG337" s="1297"/>
      <c r="AH337" s="1297"/>
      <c r="AI337" s="1318" t="str">
        <f>'TRAD-Children YEAR(1)'!B122</f>
        <v>nb de patients mois période quantifiée</v>
      </c>
      <c r="AJ337" s="1318" t="str">
        <f>'TRAD-Children YEAR(1)'!B123</f>
        <v>nb de patients mois avec période de sécurité</v>
      </c>
    </row>
    <row r="338" spans="1:36" s="1279" customFormat="1" ht="15" x14ac:dyDescent="0.25">
      <c r="A338" s="1282"/>
      <c r="C338" s="1319" t="str">
        <f t="array" ref="C338:C343">'Data &amp; hypothesis Children'!$C$26:$C$31</f>
        <v>D4T+3TC+NVP</v>
      </c>
      <c r="D338" s="1175">
        <f>'Data &amp; hypothesis Children'!C173</f>
        <v>0</v>
      </c>
      <c r="E338" s="1175">
        <f>'Data &amp; hypothesis Children'!D173</f>
        <v>0</v>
      </c>
      <c r="F338" s="1175">
        <f>'Data &amp; hypothesis Children'!E173</f>
        <v>0</v>
      </c>
      <c r="G338" s="1175">
        <f>'Data &amp; hypothesis Children'!F173</f>
        <v>0</v>
      </c>
      <c r="H338" s="1175">
        <f>'Data &amp; hypothesis Children'!G173</f>
        <v>0</v>
      </c>
      <c r="I338" s="1175">
        <f>'Data &amp; hypothesis Children'!H173</f>
        <v>0</v>
      </c>
      <c r="J338" s="1175">
        <f>'Data &amp; hypothesis Children'!I173</f>
        <v>0</v>
      </c>
      <c r="K338" s="1413">
        <f>'Data &amp; hypothesis Children'!J173</f>
        <v>0</v>
      </c>
      <c r="L338" s="1414">
        <f>'Data &amp; hypothesis Children'!K173</f>
        <v>0</v>
      </c>
      <c r="M338" s="1175">
        <f>'Data &amp; hypothesis Children'!L173</f>
        <v>0</v>
      </c>
      <c r="N338" s="1175">
        <f>'Data &amp; hypothesis Children'!M173</f>
        <v>0</v>
      </c>
      <c r="O338" s="1175">
        <f>'Data &amp; hypothesis Children'!N173</f>
        <v>0</v>
      </c>
      <c r="P338" s="1175">
        <f>'Data &amp; hypothesis Children'!O173</f>
        <v>0</v>
      </c>
      <c r="Q338" s="1175">
        <f>'Data &amp; hypothesis Children'!P173</f>
        <v>0</v>
      </c>
      <c r="R338" s="1175">
        <f>'Data &amp; hypothesis Children'!Q173</f>
        <v>0</v>
      </c>
      <c r="S338" s="1175">
        <f>'Data &amp; hypothesis Children'!R173</f>
        <v>0</v>
      </c>
      <c r="T338" s="1175">
        <f>'Data &amp; hypothesis Children'!S173</f>
        <v>0</v>
      </c>
      <c r="U338" s="1175">
        <f>'Data &amp; hypothesis Children'!T173</f>
        <v>0</v>
      </c>
      <c r="V338" s="1175">
        <f>'Data &amp; hypothesis Children'!U173</f>
        <v>0</v>
      </c>
      <c r="W338" s="1175">
        <f>'Data &amp; hypothesis Children'!V173</f>
        <v>0</v>
      </c>
      <c r="X338" s="1175">
        <f>'Data &amp; hypothesis Children'!W173</f>
        <v>0</v>
      </c>
      <c r="Y338" s="1175">
        <f>'Data &amp; hypothesis Children'!X173</f>
        <v>0</v>
      </c>
      <c r="Z338" s="1175">
        <f>'Data &amp; hypothesis Children'!Y173</f>
        <v>0</v>
      </c>
      <c r="AA338" s="1175">
        <f>'Data &amp; hypothesis Children'!Z173</f>
        <v>0</v>
      </c>
      <c r="AB338" s="1175">
        <f>'Data &amp; hypothesis Children'!AA173</f>
        <v>0</v>
      </c>
      <c r="AC338" s="1175">
        <f>'Data &amp; hypothesis Children'!AB173</f>
        <v>0</v>
      </c>
      <c r="AD338" s="1175">
        <f>'Data &amp; hypothesis Children'!AC173</f>
        <v>0</v>
      </c>
      <c r="AE338" s="1175">
        <f>'Data &amp; hypothesis Children'!AD173</f>
        <v>0</v>
      </c>
      <c r="AF338" s="1175">
        <f>'Data &amp; hypothesis Children'!AE173</f>
        <v>0</v>
      </c>
      <c r="AG338" s="1175">
        <f>'Data &amp; hypothesis Children'!AF173</f>
        <v>0</v>
      </c>
      <c r="AH338" s="1415">
        <f>'Data &amp; hypothesis Children'!AG173</f>
        <v>0</v>
      </c>
      <c r="AI338" s="1339">
        <f t="shared" ref="AI338:AI343" si="115">I69</f>
        <v>0</v>
      </c>
      <c r="AJ338" s="1340">
        <f t="shared" ref="AJ338:AJ343" si="116">I85</f>
        <v>0</v>
      </c>
    </row>
    <row r="339" spans="1:36" s="1279" customFormat="1" ht="15" x14ac:dyDescent="0.25">
      <c r="A339" s="1282"/>
      <c r="C339" s="1319" t="str">
        <v>AZT+3TC+NVP</v>
      </c>
      <c r="D339" s="1175">
        <f>'Data &amp; hypothesis Children'!C174</f>
        <v>0</v>
      </c>
      <c r="E339" s="1175">
        <f>'Data &amp; hypothesis Children'!D174</f>
        <v>0</v>
      </c>
      <c r="F339" s="1175">
        <f>'Data &amp; hypothesis Children'!E174</f>
        <v>0</v>
      </c>
      <c r="G339" s="1175">
        <f>'Data &amp; hypothesis Children'!F174</f>
        <v>0</v>
      </c>
      <c r="H339" s="1175">
        <f>'Data &amp; hypothesis Children'!G174</f>
        <v>0</v>
      </c>
      <c r="I339" s="1175">
        <f>'Data &amp; hypothesis Children'!H174</f>
        <v>0</v>
      </c>
      <c r="J339" s="1175">
        <f>'Data &amp; hypothesis Children'!I174</f>
        <v>0</v>
      </c>
      <c r="K339" s="1413">
        <f>'Data &amp; hypothesis Children'!J174</f>
        <v>0</v>
      </c>
      <c r="L339" s="1414">
        <f>'Data &amp; hypothesis Children'!K174</f>
        <v>0</v>
      </c>
      <c r="M339" s="1175" t="str">
        <f>'Data &amp; hypothesis Children'!L174</f>
        <v>X</v>
      </c>
      <c r="N339" s="1175">
        <f>'Data &amp; hypothesis Children'!M174</f>
        <v>0</v>
      </c>
      <c r="O339" s="1175">
        <f>'Data &amp; hypothesis Children'!N174</f>
        <v>0</v>
      </c>
      <c r="P339" s="1175">
        <f>'Data &amp; hypothesis Children'!O174</f>
        <v>0</v>
      </c>
      <c r="Q339" s="1175">
        <f>'Data &amp; hypothesis Children'!P174</f>
        <v>0</v>
      </c>
      <c r="R339" s="1175">
        <f>'Data &amp; hypothesis Children'!Q174</f>
        <v>0</v>
      </c>
      <c r="S339" s="1175">
        <f>'Data &amp; hypothesis Children'!R174</f>
        <v>0</v>
      </c>
      <c r="T339" s="1175">
        <f>'Data &amp; hypothesis Children'!S174</f>
        <v>0</v>
      </c>
      <c r="U339" s="1175">
        <f>'Data &amp; hypothesis Children'!T174</f>
        <v>0</v>
      </c>
      <c r="V339" s="1175">
        <f>'Data &amp; hypothesis Children'!U174</f>
        <v>0</v>
      </c>
      <c r="W339" s="1175">
        <f>'Data &amp; hypothesis Children'!V174</f>
        <v>0</v>
      </c>
      <c r="X339" s="1175">
        <f>'Data &amp; hypothesis Children'!W174</f>
        <v>0</v>
      </c>
      <c r="Y339" s="1175">
        <f>'Data &amp; hypothesis Children'!X174</f>
        <v>0</v>
      </c>
      <c r="Z339" s="1175">
        <f>'Data &amp; hypothesis Children'!Y174</f>
        <v>0</v>
      </c>
      <c r="AA339" s="1175">
        <f>'Data &amp; hypothesis Children'!Z174</f>
        <v>0</v>
      </c>
      <c r="AB339" s="1175">
        <f>'Data &amp; hypothesis Children'!AA174</f>
        <v>0</v>
      </c>
      <c r="AC339" s="1175">
        <f>'Data &amp; hypothesis Children'!AB174</f>
        <v>0</v>
      </c>
      <c r="AD339" s="1175">
        <f>'Data &amp; hypothesis Children'!AC174</f>
        <v>0</v>
      </c>
      <c r="AE339" s="1175">
        <f>'Data &amp; hypothesis Children'!AD174</f>
        <v>0</v>
      </c>
      <c r="AF339" s="1175">
        <f>'Data &amp; hypothesis Children'!AE174</f>
        <v>0</v>
      </c>
      <c r="AG339" s="1175">
        <f>'Data &amp; hypothesis Children'!AF174</f>
        <v>0</v>
      </c>
      <c r="AH339" s="1415">
        <f>'Data &amp; hypothesis Children'!AG174</f>
        <v>0</v>
      </c>
      <c r="AI339" s="1339">
        <f t="shared" si="115"/>
        <v>0</v>
      </c>
      <c r="AJ339" s="1340">
        <f t="shared" si="116"/>
        <v>180.27292499999999</v>
      </c>
    </row>
    <row r="340" spans="1:36" s="1279" customFormat="1" ht="15" x14ac:dyDescent="0.25">
      <c r="A340" s="1282"/>
      <c r="C340" s="1319" t="str">
        <v>AZT+3TC+EFV</v>
      </c>
      <c r="D340" s="1175">
        <f>'Data &amp; hypothesis Children'!C175</f>
        <v>0</v>
      </c>
      <c r="E340" s="1175">
        <f>'Data &amp; hypothesis Children'!D175</f>
        <v>0</v>
      </c>
      <c r="F340" s="1175">
        <f>'Data &amp; hypothesis Children'!E175</f>
        <v>0</v>
      </c>
      <c r="G340" s="1175">
        <f>'Data &amp; hypothesis Children'!F175</f>
        <v>0</v>
      </c>
      <c r="H340" s="1175">
        <f>'Data &amp; hypothesis Children'!G175</f>
        <v>0</v>
      </c>
      <c r="I340" s="1175">
        <f>'Data &amp; hypothesis Children'!H175</f>
        <v>0</v>
      </c>
      <c r="J340" s="1175">
        <f>'Data &amp; hypothesis Children'!I175</f>
        <v>0</v>
      </c>
      <c r="K340" s="1413">
        <f>'Data &amp; hypothesis Children'!J175</f>
        <v>0</v>
      </c>
      <c r="L340" s="1414">
        <f>'Data &amp; hypothesis Children'!K175</f>
        <v>0</v>
      </c>
      <c r="M340" s="1175">
        <f>'Data &amp; hypothesis Children'!L175</f>
        <v>0</v>
      </c>
      <c r="N340" s="1175">
        <f>'Data &amp; hypothesis Children'!M175</f>
        <v>0</v>
      </c>
      <c r="O340" s="1175" t="str">
        <f>'Data &amp; hypothesis Children'!N175</f>
        <v>X</v>
      </c>
      <c r="P340" s="1175">
        <f>'Data &amp; hypothesis Children'!O175</f>
        <v>0</v>
      </c>
      <c r="Q340" s="1175">
        <f>'Data &amp; hypothesis Children'!P175</f>
        <v>0</v>
      </c>
      <c r="R340" s="1175">
        <f>'Data &amp; hypothesis Children'!Q175</f>
        <v>0</v>
      </c>
      <c r="S340" s="1175">
        <f>'Data &amp; hypothesis Children'!R175</f>
        <v>0</v>
      </c>
      <c r="T340" s="1175">
        <f>'Data &amp; hypothesis Children'!S175</f>
        <v>0</v>
      </c>
      <c r="U340" s="1175">
        <f>'Data &amp; hypothesis Children'!T175</f>
        <v>0</v>
      </c>
      <c r="V340" s="1175">
        <f>'Data &amp; hypothesis Children'!U175</f>
        <v>0</v>
      </c>
      <c r="W340" s="1175">
        <f>'Data &amp; hypothesis Children'!V175</f>
        <v>0</v>
      </c>
      <c r="X340" s="1175">
        <f>'Data &amp; hypothesis Children'!W175</f>
        <v>0</v>
      </c>
      <c r="Y340" s="1175">
        <f>'Data &amp; hypothesis Children'!X175</f>
        <v>0</v>
      </c>
      <c r="Z340" s="1175">
        <f>'Data &amp; hypothesis Children'!Y175</f>
        <v>0</v>
      </c>
      <c r="AA340" s="1175">
        <f>'Data &amp; hypothesis Children'!Z175</f>
        <v>0</v>
      </c>
      <c r="AB340" s="1175">
        <f>'Data &amp; hypothesis Children'!AA175</f>
        <v>0</v>
      </c>
      <c r="AC340" s="1175">
        <f>'Data &amp; hypothesis Children'!AB175</f>
        <v>0</v>
      </c>
      <c r="AD340" s="1175">
        <f>'Data &amp; hypothesis Children'!AC175</f>
        <v>0</v>
      </c>
      <c r="AE340" s="1175">
        <f>'Data &amp; hypothesis Children'!AD175</f>
        <v>0</v>
      </c>
      <c r="AF340" s="1175" t="str">
        <f>'Data &amp; hypothesis Children'!AE175</f>
        <v>X</v>
      </c>
      <c r="AG340" s="1175">
        <f>'Data &amp; hypothesis Children'!AF175</f>
        <v>0</v>
      </c>
      <c r="AH340" s="1415">
        <f>'Data &amp; hypothesis Children'!AG175</f>
        <v>0</v>
      </c>
      <c r="AI340" s="1339">
        <f t="shared" si="115"/>
        <v>0</v>
      </c>
      <c r="AJ340" s="1340">
        <f t="shared" si="116"/>
        <v>4.2645208064516131</v>
      </c>
    </row>
    <row r="341" spans="1:36" s="1279" customFormat="1" ht="15" x14ac:dyDescent="0.25">
      <c r="A341" s="1282"/>
      <c r="C341" s="1319" t="str">
        <v>LPV/r+3TC+ABC</v>
      </c>
      <c r="D341" s="1175">
        <f>'Data &amp; hypothesis Children'!C176</f>
        <v>0</v>
      </c>
      <c r="E341" s="1175">
        <f>'Data &amp; hypothesis Children'!D176</f>
        <v>0</v>
      </c>
      <c r="F341" s="1175">
        <f>'Data &amp; hypothesis Children'!E176</f>
        <v>0</v>
      </c>
      <c r="G341" s="1175">
        <f>'Data &amp; hypothesis Children'!F176</f>
        <v>0</v>
      </c>
      <c r="H341" s="1175">
        <f>'Data &amp; hypothesis Children'!G176</f>
        <v>0</v>
      </c>
      <c r="I341" s="1175">
        <f>'Data &amp; hypothesis Children'!H176</f>
        <v>0</v>
      </c>
      <c r="J341" s="1175">
        <f>'Data &amp; hypothesis Children'!I176</f>
        <v>0</v>
      </c>
      <c r="K341" s="1413">
        <f>'Data &amp; hypothesis Children'!J176</f>
        <v>0</v>
      </c>
      <c r="L341" s="1414">
        <f>'Data &amp; hypothesis Children'!K176</f>
        <v>0</v>
      </c>
      <c r="M341" s="1175">
        <f>'Data &amp; hypothesis Children'!L176</f>
        <v>0</v>
      </c>
      <c r="N341" s="1175">
        <f>'Data &amp; hypothesis Children'!M176</f>
        <v>0</v>
      </c>
      <c r="O341" s="1175">
        <f>'Data &amp; hypothesis Children'!N176</f>
        <v>0</v>
      </c>
      <c r="P341" s="1175">
        <f>'Data &amp; hypothesis Children'!O176</f>
        <v>0</v>
      </c>
      <c r="Q341" s="1175">
        <f>'Data &amp; hypothesis Children'!P176</f>
        <v>0</v>
      </c>
      <c r="R341" s="1175">
        <f>'Data &amp; hypothesis Children'!Q176</f>
        <v>0</v>
      </c>
      <c r="S341" s="1175">
        <f>'Data &amp; hypothesis Children'!R176</f>
        <v>0</v>
      </c>
      <c r="T341" s="1175">
        <f>'Data &amp; hypothesis Children'!S176</f>
        <v>0</v>
      </c>
      <c r="U341" s="1175">
        <f>'Data &amp; hypothesis Children'!T176</f>
        <v>0</v>
      </c>
      <c r="V341" s="1175">
        <f>'Data &amp; hypothesis Children'!U176</f>
        <v>0</v>
      </c>
      <c r="W341" s="1175">
        <f>'Data &amp; hypothesis Children'!V176</f>
        <v>0</v>
      </c>
      <c r="X341" s="1175">
        <f>'Data &amp; hypothesis Children'!W176</f>
        <v>0</v>
      </c>
      <c r="Y341" s="1175">
        <f>'Data &amp; hypothesis Children'!X176</f>
        <v>0</v>
      </c>
      <c r="Z341" s="1175">
        <f>'Data &amp; hypothesis Children'!Y176</f>
        <v>0</v>
      </c>
      <c r="AA341" s="1175">
        <f>'Data &amp; hypothesis Children'!Z176</f>
        <v>0</v>
      </c>
      <c r="AB341" s="1175">
        <f>'Data &amp; hypothesis Children'!AA176</f>
        <v>0</v>
      </c>
      <c r="AC341" s="1175">
        <f>'Data &amp; hypothesis Children'!AB176</f>
        <v>0</v>
      </c>
      <c r="AD341" s="1175">
        <f>'Data &amp; hypothesis Children'!AC176</f>
        <v>0</v>
      </c>
      <c r="AE341" s="1175">
        <f>'Data &amp; hypothesis Children'!AD176</f>
        <v>0</v>
      </c>
      <c r="AF341" s="1175">
        <f>'Data &amp; hypothesis Children'!AE176</f>
        <v>0</v>
      </c>
      <c r="AG341" s="1175">
        <f>'Data &amp; hypothesis Children'!AF176</f>
        <v>0</v>
      </c>
      <c r="AH341" s="1415">
        <f>'Data &amp; hypothesis Children'!AG176</f>
        <v>0</v>
      </c>
      <c r="AI341" s="1339">
        <f t="shared" si="115"/>
        <v>0</v>
      </c>
      <c r="AJ341" s="1340">
        <f t="shared" si="116"/>
        <v>6.3503999999999996</v>
      </c>
    </row>
    <row r="342" spans="1:36" s="1279" customFormat="1" ht="15" x14ac:dyDescent="0.25">
      <c r="A342" s="1282"/>
      <c r="C342" s="1319" t="str">
        <v>ABC+3TC+NVP</v>
      </c>
      <c r="D342" s="1175">
        <f>'Data &amp; hypothesis Children'!C177</f>
        <v>0</v>
      </c>
      <c r="E342" s="1175">
        <f>'Data &amp; hypothesis Children'!D177</f>
        <v>0</v>
      </c>
      <c r="F342" s="1175">
        <f>'Data &amp; hypothesis Children'!E177</f>
        <v>0</v>
      </c>
      <c r="G342" s="1175">
        <f>'Data &amp; hypothesis Children'!F177</f>
        <v>0</v>
      </c>
      <c r="H342" s="1175">
        <f>'Data &amp; hypothesis Children'!G177</f>
        <v>0</v>
      </c>
      <c r="I342" s="1175">
        <f>'Data &amp; hypothesis Children'!H177</f>
        <v>0</v>
      </c>
      <c r="J342" s="1175">
        <f>'Data &amp; hypothesis Children'!I177</f>
        <v>0</v>
      </c>
      <c r="K342" s="1413">
        <f>'Data &amp; hypothesis Children'!J177</f>
        <v>0</v>
      </c>
      <c r="L342" s="1414">
        <f>'Data &amp; hypothesis Children'!K177</f>
        <v>0</v>
      </c>
      <c r="M342" s="1175">
        <f>'Data &amp; hypothesis Children'!L177</f>
        <v>0</v>
      </c>
      <c r="N342" s="1175">
        <f>'Data &amp; hypothesis Children'!M177</f>
        <v>0</v>
      </c>
      <c r="O342" s="1175">
        <f>'Data &amp; hypothesis Children'!N177</f>
        <v>0</v>
      </c>
      <c r="P342" s="1175">
        <f>'Data &amp; hypothesis Children'!O177</f>
        <v>0</v>
      </c>
      <c r="Q342" s="1175">
        <f>'Data &amp; hypothesis Children'!P177</f>
        <v>0</v>
      </c>
      <c r="R342" s="1175">
        <f>'Data &amp; hypothesis Children'!Q177</f>
        <v>0</v>
      </c>
      <c r="S342" s="1175">
        <f>'Data &amp; hypothesis Children'!R177</f>
        <v>0</v>
      </c>
      <c r="T342" s="1175">
        <f>'Data &amp; hypothesis Children'!S177</f>
        <v>0</v>
      </c>
      <c r="U342" s="1175">
        <f>'Data &amp; hypothesis Children'!T177</f>
        <v>0</v>
      </c>
      <c r="V342" s="1175" t="str">
        <f>'Data &amp; hypothesis Children'!U177</f>
        <v>X</v>
      </c>
      <c r="W342" s="1175">
        <f>'Data &amp; hypothesis Children'!V177</f>
        <v>0</v>
      </c>
      <c r="X342" s="1175">
        <f>'Data &amp; hypothesis Children'!W177</f>
        <v>0</v>
      </c>
      <c r="Y342" s="1175">
        <f>'Data &amp; hypothesis Children'!X177</f>
        <v>0</v>
      </c>
      <c r="Z342" s="1175">
        <f>'Data &amp; hypothesis Children'!Y177</f>
        <v>0</v>
      </c>
      <c r="AA342" s="1175">
        <f>'Data &amp; hypothesis Children'!Z177</f>
        <v>0</v>
      </c>
      <c r="AB342" s="1175">
        <f>'Data &amp; hypothesis Children'!AA177</f>
        <v>0</v>
      </c>
      <c r="AC342" s="1175">
        <f>'Data &amp; hypothesis Children'!AB177</f>
        <v>0</v>
      </c>
      <c r="AD342" s="1175">
        <f>'Data &amp; hypothesis Children'!AC177</f>
        <v>0</v>
      </c>
      <c r="AE342" s="1175" t="str">
        <f>'Data &amp; hypothesis Children'!AD177</f>
        <v>X</v>
      </c>
      <c r="AF342" s="1175">
        <f>'Data &amp; hypothesis Children'!AE177</f>
        <v>0</v>
      </c>
      <c r="AG342" s="1175">
        <f>'Data &amp; hypothesis Children'!AF177</f>
        <v>0</v>
      </c>
      <c r="AH342" s="1415">
        <f>'Data &amp; hypothesis Children'!AG177</f>
        <v>0</v>
      </c>
      <c r="AI342" s="1339">
        <f t="shared" si="115"/>
        <v>0</v>
      </c>
      <c r="AJ342" s="1340">
        <f t="shared" si="116"/>
        <v>1.5507348387096775</v>
      </c>
    </row>
    <row r="343" spans="1:36" s="1279" customFormat="1" ht="15" x14ac:dyDescent="0.25">
      <c r="A343" s="1282"/>
      <c r="C343" s="1319" t="str">
        <v>AZT+3TC+LPV/r</v>
      </c>
      <c r="D343" s="1175">
        <f>'Data &amp; hypothesis Children'!C178</f>
        <v>0</v>
      </c>
      <c r="E343" s="1175">
        <f>'Data &amp; hypothesis Children'!D178</f>
        <v>0</v>
      </c>
      <c r="F343" s="1175">
        <f>'Data &amp; hypothesis Children'!E178</f>
        <v>0</v>
      </c>
      <c r="G343" s="1175">
        <f>'Data &amp; hypothesis Children'!F178</f>
        <v>0</v>
      </c>
      <c r="H343" s="1175">
        <f>'Data &amp; hypothesis Children'!G178</f>
        <v>0</v>
      </c>
      <c r="I343" s="1175">
        <f>'Data &amp; hypothesis Children'!H178</f>
        <v>0</v>
      </c>
      <c r="J343" s="1175">
        <f>'Data &amp; hypothesis Children'!I178</f>
        <v>0</v>
      </c>
      <c r="K343" s="1413">
        <f>'Data &amp; hypothesis Children'!J178</f>
        <v>0</v>
      </c>
      <c r="L343" s="1414">
        <f>'Data &amp; hypothesis Children'!K178</f>
        <v>0</v>
      </c>
      <c r="M343" s="1175">
        <f>'Data &amp; hypothesis Children'!L178</f>
        <v>0</v>
      </c>
      <c r="N343" s="1175">
        <f>'Data &amp; hypothesis Children'!M178</f>
        <v>0</v>
      </c>
      <c r="O343" s="1175" t="str">
        <f>'Data &amp; hypothesis Children'!N178</f>
        <v>X</v>
      </c>
      <c r="P343" s="1175">
        <f>'Data &amp; hypothesis Children'!O178</f>
        <v>0</v>
      </c>
      <c r="Q343" s="1175">
        <f>'Data &amp; hypothesis Children'!P178</f>
        <v>0</v>
      </c>
      <c r="R343" s="1175">
        <f>'Data &amp; hypothesis Children'!Q178</f>
        <v>0</v>
      </c>
      <c r="S343" s="1175">
        <f>'Data &amp; hypothesis Children'!R178</f>
        <v>0</v>
      </c>
      <c r="T343" s="1175">
        <f>'Data &amp; hypothesis Children'!S178</f>
        <v>0</v>
      </c>
      <c r="U343" s="1175">
        <f>'Data &amp; hypothesis Children'!T178</f>
        <v>0</v>
      </c>
      <c r="V343" s="1175">
        <f>'Data &amp; hypothesis Children'!U178</f>
        <v>0</v>
      </c>
      <c r="W343" s="1175">
        <f>'Data &amp; hypothesis Children'!V178</f>
        <v>0</v>
      </c>
      <c r="X343" s="1175">
        <f>'Data &amp; hypothesis Children'!W178</f>
        <v>0</v>
      </c>
      <c r="Y343" s="1175">
        <f>'Data &amp; hypothesis Children'!X178</f>
        <v>0</v>
      </c>
      <c r="Z343" s="1175">
        <f>'Data &amp; hypothesis Children'!Y178</f>
        <v>0</v>
      </c>
      <c r="AA343" s="1175">
        <f>'Data &amp; hypothesis Children'!Z178</f>
        <v>0</v>
      </c>
      <c r="AB343" s="1175">
        <f>'Data &amp; hypothesis Children'!AA178</f>
        <v>0</v>
      </c>
      <c r="AC343" s="1175">
        <f>'Data &amp; hypothesis Children'!AB178</f>
        <v>0</v>
      </c>
      <c r="AD343" s="1175">
        <f>'Data &amp; hypothesis Children'!AC178</f>
        <v>0</v>
      </c>
      <c r="AE343" s="1175">
        <f>'Data &amp; hypothesis Children'!AD178</f>
        <v>0</v>
      </c>
      <c r="AF343" s="1175">
        <f>'Data &amp; hypothesis Children'!AE178</f>
        <v>0</v>
      </c>
      <c r="AG343" s="1175">
        <f>'Data &amp; hypothesis Children'!AF178</f>
        <v>0</v>
      </c>
      <c r="AH343" s="1415" t="str">
        <f>'Data &amp; hypothesis Children'!AG178</f>
        <v>X</v>
      </c>
      <c r="AI343" s="1339">
        <f t="shared" si="115"/>
        <v>0</v>
      </c>
      <c r="AJ343" s="1340">
        <f t="shared" si="116"/>
        <v>90.57253935483871</v>
      </c>
    </row>
    <row r="344" spans="1:36" s="1279" customFormat="1" x14ac:dyDescent="0.2">
      <c r="A344" s="1282"/>
      <c r="C344" s="1296" t="str">
        <f>'TRAD-Children YEAR(1)'!$B$117</f>
        <v>Deuxièmes lignes</v>
      </c>
      <c r="D344" s="1410"/>
      <c r="E344" s="1410"/>
      <c r="F344" s="1410"/>
      <c r="G344" s="1410"/>
      <c r="H344" s="1410"/>
      <c r="I344" s="1410"/>
      <c r="J344" s="1410"/>
      <c r="K344" s="1411"/>
      <c r="L344" s="1412"/>
      <c r="M344" s="1410"/>
      <c r="N344" s="1410"/>
      <c r="O344" s="1410"/>
      <c r="P344" s="1410"/>
      <c r="Q344" s="1410"/>
      <c r="R344" s="1410"/>
      <c r="S344" s="1410"/>
      <c r="T344" s="1410"/>
      <c r="U344" s="1410"/>
      <c r="V344" s="1410"/>
      <c r="W344" s="1410"/>
      <c r="X344" s="1410"/>
      <c r="Y344" s="1410"/>
      <c r="Z344" s="1410"/>
      <c r="AA344" s="1410"/>
      <c r="AB344" s="1410"/>
      <c r="AC344" s="1410"/>
      <c r="AD344" s="1410"/>
      <c r="AE344" s="1410"/>
      <c r="AF344" s="1410"/>
      <c r="AG344" s="1410"/>
      <c r="AH344" s="1416"/>
      <c r="AI344" s="1339"/>
      <c r="AJ344" s="1340"/>
    </row>
    <row r="345" spans="1:36" s="1279" customFormat="1" ht="15" x14ac:dyDescent="0.25">
      <c r="A345" s="1282"/>
      <c r="C345" s="1301" t="str">
        <f t="array" ref="C345:C348">'Data &amp; hypothesis Children'!$C$32:$C$35</f>
        <v>ABC+3TC+EFV</v>
      </c>
      <c r="D345" s="1175">
        <f>'Data &amp; hypothesis Children'!C180</f>
        <v>0</v>
      </c>
      <c r="E345" s="1175">
        <f>'Data &amp; hypothesis Children'!D180</f>
        <v>0</v>
      </c>
      <c r="F345" s="1175">
        <f>'Data &amp; hypothesis Children'!E180</f>
        <v>0</v>
      </c>
      <c r="G345" s="1175">
        <f>'Data &amp; hypothesis Children'!F180</f>
        <v>0</v>
      </c>
      <c r="H345" s="1175">
        <f>'Data &amp; hypothesis Children'!G180</f>
        <v>0</v>
      </c>
      <c r="I345" s="1175">
        <f>'Data &amp; hypothesis Children'!H180</f>
        <v>0</v>
      </c>
      <c r="J345" s="1175">
        <f>'Data &amp; hypothesis Children'!I180</f>
        <v>0</v>
      </c>
      <c r="K345" s="1413">
        <f>'Data &amp; hypothesis Children'!J180</f>
        <v>0</v>
      </c>
      <c r="L345" s="1414">
        <f>'Data &amp; hypothesis Children'!K180</f>
        <v>0</v>
      </c>
      <c r="M345" s="1175">
        <f>'Data &amp; hypothesis Children'!L180</f>
        <v>0</v>
      </c>
      <c r="N345" s="1175">
        <f>'Data &amp; hypothesis Children'!M180</f>
        <v>0</v>
      </c>
      <c r="O345" s="1175">
        <f>'Data &amp; hypothesis Children'!N180</f>
        <v>0</v>
      </c>
      <c r="P345" s="1175">
        <f>'Data &amp; hypothesis Children'!O180</f>
        <v>0</v>
      </c>
      <c r="Q345" s="1175">
        <f>'Data &amp; hypothesis Children'!P180</f>
        <v>0</v>
      </c>
      <c r="R345" s="1175">
        <f>'Data &amp; hypothesis Children'!Q180</f>
        <v>0</v>
      </c>
      <c r="S345" s="1175">
        <f>'Data &amp; hypothesis Children'!R180</f>
        <v>0</v>
      </c>
      <c r="T345" s="1175">
        <f>'Data &amp; hypothesis Children'!S180</f>
        <v>0</v>
      </c>
      <c r="U345" s="1175">
        <f>'Data &amp; hypothesis Children'!T180</f>
        <v>0</v>
      </c>
      <c r="V345" s="1175" t="str">
        <f>'Data &amp; hypothesis Children'!U180</f>
        <v>X</v>
      </c>
      <c r="W345" s="1175">
        <f>'Data &amp; hypothesis Children'!V180</f>
        <v>0</v>
      </c>
      <c r="X345" s="1175">
        <f>'Data &amp; hypothesis Children'!W180</f>
        <v>0</v>
      </c>
      <c r="Y345" s="1175">
        <f>'Data &amp; hypothesis Children'!X180</f>
        <v>0</v>
      </c>
      <c r="Z345" s="1175">
        <f>'Data &amp; hypothesis Children'!Y180</f>
        <v>0</v>
      </c>
      <c r="AA345" s="1175">
        <f>'Data &amp; hypothesis Children'!Z180</f>
        <v>0</v>
      </c>
      <c r="AB345" s="1175">
        <f>'Data &amp; hypothesis Children'!AA180</f>
        <v>0</v>
      </c>
      <c r="AC345" s="1175">
        <f>'Data &amp; hypothesis Children'!AB180</f>
        <v>0</v>
      </c>
      <c r="AD345" s="1175">
        <f>'Data &amp; hypothesis Children'!AC180</f>
        <v>0</v>
      </c>
      <c r="AE345" s="1175">
        <f>'Data &amp; hypothesis Children'!AD180</f>
        <v>0</v>
      </c>
      <c r="AF345" s="1175" t="str">
        <f>'Data &amp; hypothesis Children'!AE180</f>
        <v>X</v>
      </c>
      <c r="AG345" s="1175">
        <f>'Data &amp; hypothesis Children'!AF180</f>
        <v>0</v>
      </c>
      <c r="AH345" s="1415">
        <f>'Data &amp; hypothesis Children'!AG180</f>
        <v>0</v>
      </c>
      <c r="AI345" s="1339" t="e">
        <f>I75</f>
        <v>#DIV/0!</v>
      </c>
      <c r="AJ345" s="1340" t="e">
        <f>I91</f>
        <v>#DIV/0!</v>
      </c>
    </row>
    <row r="346" spans="1:36" s="1279" customFormat="1" ht="15" x14ac:dyDescent="0.25">
      <c r="A346" s="1282"/>
      <c r="C346" s="1301" t="str">
        <v>TDF+3TC+LPV/r</v>
      </c>
      <c r="D346" s="1175">
        <f>'Data &amp; hypothesis Children'!C181</f>
        <v>0</v>
      </c>
      <c r="E346" s="1175">
        <f>'Data &amp; hypothesis Children'!D181</f>
        <v>0</v>
      </c>
      <c r="F346" s="1175">
        <f>'Data &amp; hypothesis Children'!E181</f>
        <v>0</v>
      </c>
      <c r="G346" s="1175">
        <f>'Data &amp; hypothesis Children'!F181</f>
        <v>0</v>
      </c>
      <c r="H346" s="1175">
        <f>'Data &amp; hypothesis Children'!G181</f>
        <v>0</v>
      </c>
      <c r="I346" s="1175">
        <f>'Data &amp; hypothesis Children'!H181</f>
        <v>0</v>
      </c>
      <c r="J346" s="1175">
        <f>'Data &amp; hypothesis Children'!I181</f>
        <v>0</v>
      </c>
      <c r="K346" s="1413">
        <f>'Data &amp; hypothesis Children'!J181</f>
        <v>0</v>
      </c>
      <c r="L346" s="1414">
        <f>'Data &amp; hypothesis Children'!K181</f>
        <v>0</v>
      </c>
      <c r="M346" s="1175">
        <f>'Data &amp; hypothesis Children'!L181</f>
        <v>0</v>
      </c>
      <c r="N346" s="1175">
        <f>'Data &amp; hypothesis Children'!M181</f>
        <v>0</v>
      </c>
      <c r="O346" s="1175">
        <f>'Data &amp; hypothesis Children'!N181</f>
        <v>0</v>
      </c>
      <c r="P346" s="1175">
        <f>'Data &amp; hypothesis Children'!O181</f>
        <v>0</v>
      </c>
      <c r="Q346" s="1175">
        <f>'Data &amp; hypothesis Children'!P181</f>
        <v>0</v>
      </c>
      <c r="R346" s="1175">
        <f>'Data &amp; hypothesis Children'!Q181</f>
        <v>0</v>
      </c>
      <c r="S346" s="1175">
        <f>'Data &amp; hypothesis Children'!R181</f>
        <v>0</v>
      </c>
      <c r="T346" s="1175">
        <f>'Data &amp; hypothesis Children'!S181</f>
        <v>0</v>
      </c>
      <c r="U346" s="1175">
        <f>'Data &amp; hypothesis Children'!T181</f>
        <v>0</v>
      </c>
      <c r="V346" s="1175">
        <f>'Data &amp; hypothesis Children'!U181</f>
        <v>0</v>
      </c>
      <c r="W346" s="1175">
        <f>'Data &amp; hypothesis Children'!V181</f>
        <v>0</v>
      </c>
      <c r="X346" s="1175" t="str">
        <f>'Data &amp; hypothesis Children'!W181</f>
        <v>X</v>
      </c>
      <c r="Y346" s="1175">
        <f>'Data &amp; hypothesis Children'!X181</f>
        <v>0</v>
      </c>
      <c r="Z346" s="1175">
        <f>'Data &amp; hypothesis Children'!Y181</f>
        <v>0</v>
      </c>
      <c r="AA346" s="1175">
        <f>'Data &amp; hypothesis Children'!Z181</f>
        <v>0</v>
      </c>
      <c r="AB346" s="1175">
        <f>'Data &amp; hypothesis Children'!AA181</f>
        <v>0</v>
      </c>
      <c r="AC346" s="1175">
        <f>'Data &amp; hypothesis Children'!AB181</f>
        <v>0</v>
      </c>
      <c r="AD346" s="1175">
        <f>'Data &amp; hypothesis Children'!AC181</f>
        <v>0</v>
      </c>
      <c r="AE346" s="1175">
        <f>'Data &amp; hypothesis Children'!AD181</f>
        <v>0</v>
      </c>
      <c r="AF346" s="1175">
        <f>'Data &amp; hypothesis Children'!AE181</f>
        <v>0</v>
      </c>
      <c r="AG346" s="1175">
        <f>'Data &amp; hypothesis Children'!AF181</f>
        <v>0</v>
      </c>
      <c r="AH346" s="1415" t="str">
        <f>'Data &amp; hypothesis Children'!AG181</f>
        <v>X</v>
      </c>
      <c r="AI346" s="1339" t="e">
        <f t="shared" ref="AI346:AI347" si="117">I76</f>
        <v>#DIV/0!</v>
      </c>
      <c r="AJ346" s="1340" t="e">
        <f t="shared" ref="AJ346:AJ347" si="118">I92</f>
        <v>#DIV/0!</v>
      </c>
    </row>
    <row r="347" spans="1:36" s="1279" customFormat="1" ht="15" x14ac:dyDescent="0.25">
      <c r="A347" s="1282"/>
      <c r="C347" s="1301" t="str">
        <v>AZT+3TC+EFV</v>
      </c>
      <c r="D347" s="1175">
        <f>'Data &amp; hypothesis Children'!C182</f>
        <v>0</v>
      </c>
      <c r="E347" s="1175">
        <f>'Data &amp; hypothesis Children'!D182</f>
        <v>0</v>
      </c>
      <c r="F347" s="1175">
        <f>'Data &amp; hypothesis Children'!E182</f>
        <v>0</v>
      </c>
      <c r="G347" s="1175">
        <f>'Data &amp; hypothesis Children'!F182</f>
        <v>0</v>
      </c>
      <c r="H347" s="1175">
        <f>'Data &amp; hypothesis Children'!G182</f>
        <v>0</v>
      </c>
      <c r="I347" s="1175">
        <f>'Data &amp; hypothesis Children'!H182</f>
        <v>0</v>
      </c>
      <c r="J347" s="1175">
        <f>'Data &amp; hypothesis Children'!I182</f>
        <v>0</v>
      </c>
      <c r="K347" s="1413">
        <f>'Data &amp; hypothesis Children'!J182</f>
        <v>0</v>
      </c>
      <c r="L347" s="1414">
        <f>'Data &amp; hypothesis Children'!K182</f>
        <v>0</v>
      </c>
      <c r="M347" s="1175">
        <f>'Data &amp; hypothesis Children'!L182</f>
        <v>0</v>
      </c>
      <c r="N347" s="1175">
        <f>'Data &amp; hypothesis Children'!M182</f>
        <v>0</v>
      </c>
      <c r="O347" s="1175">
        <f>'Data &amp; hypothesis Children'!N182</f>
        <v>0</v>
      </c>
      <c r="P347" s="1175">
        <f>'Data &amp; hypothesis Children'!O182</f>
        <v>0</v>
      </c>
      <c r="Q347" s="1175">
        <f>'Data &amp; hypothesis Children'!P182</f>
        <v>0</v>
      </c>
      <c r="R347" s="1175">
        <f>'Data &amp; hypothesis Children'!Q182</f>
        <v>0</v>
      </c>
      <c r="S347" s="1175">
        <f>'Data &amp; hypothesis Children'!R182</f>
        <v>0</v>
      </c>
      <c r="T347" s="1175">
        <f>'Data &amp; hypothesis Children'!S182</f>
        <v>0</v>
      </c>
      <c r="U347" s="1175">
        <f>'Data &amp; hypothesis Children'!T182</f>
        <v>0</v>
      </c>
      <c r="V347" s="1175">
        <f>'Data &amp; hypothesis Children'!U182</f>
        <v>0</v>
      </c>
      <c r="W347" s="1175">
        <f>'Data &amp; hypothesis Children'!V182</f>
        <v>0</v>
      </c>
      <c r="X347" s="1175">
        <f>'Data &amp; hypothesis Children'!W182</f>
        <v>0</v>
      </c>
      <c r="Y347" s="1175">
        <f>'Data &amp; hypothesis Children'!X182</f>
        <v>0</v>
      </c>
      <c r="Z347" s="1175">
        <f>'Data &amp; hypothesis Children'!Y182</f>
        <v>0</v>
      </c>
      <c r="AA347" s="1175">
        <f>'Data &amp; hypothesis Children'!Z182</f>
        <v>0</v>
      </c>
      <c r="AB347" s="1175">
        <f>'Data &amp; hypothesis Children'!AA182</f>
        <v>0</v>
      </c>
      <c r="AC347" s="1175">
        <f>'Data &amp; hypothesis Children'!AB182</f>
        <v>0</v>
      </c>
      <c r="AD347" s="1175">
        <f>'Data &amp; hypothesis Children'!AC182</f>
        <v>0</v>
      </c>
      <c r="AE347" s="1175">
        <f>'Data &amp; hypothesis Children'!AD182</f>
        <v>0</v>
      </c>
      <c r="AF347" s="1175">
        <f>'Data &amp; hypothesis Children'!AE182</f>
        <v>0</v>
      </c>
      <c r="AG347" s="1175">
        <f>'Data &amp; hypothesis Children'!AF182</f>
        <v>0</v>
      </c>
      <c r="AH347" s="1415">
        <f>'Data &amp; hypothesis Children'!AG182</f>
        <v>0</v>
      </c>
      <c r="AI347" s="1339" t="e">
        <f t="shared" si="117"/>
        <v>#DIV/0!</v>
      </c>
      <c r="AJ347" s="1340" t="e">
        <f t="shared" si="118"/>
        <v>#DIV/0!</v>
      </c>
    </row>
    <row r="348" spans="1:36" s="1279" customFormat="1" ht="15.75" thickBot="1" x14ac:dyDescent="0.3">
      <c r="A348" s="1282"/>
      <c r="C348" s="1301">
        <v>0</v>
      </c>
      <c r="D348" s="1175">
        <f>'Data &amp; hypothesis Children'!C183</f>
        <v>0</v>
      </c>
      <c r="E348" s="1175">
        <f>'Data &amp; hypothesis Children'!D183</f>
        <v>0</v>
      </c>
      <c r="F348" s="1175">
        <f>'Data &amp; hypothesis Children'!E183</f>
        <v>0</v>
      </c>
      <c r="G348" s="1175">
        <f>'Data &amp; hypothesis Children'!F183</f>
        <v>0</v>
      </c>
      <c r="H348" s="1175">
        <f>'Data &amp; hypothesis Children'!G183</f>
        <v>0</v>
      </c>
      <c r="I348" s="1175">
        <f>'Data &amp; hypothesis Children'!H183</f>
        <v>0</v>
      </c>
      <c r="J348" s="1175">
        <f>'Data &amp; hypothesis Children'!I183</f>
        <v>0</v>
      </c>
      <c r="K348" s="1413">
        <f>'Data &amp; hypothesis Children'!J183</f>
        <v>0</v>
      </c>
      <c r="L348" s="1417">
        <f>'Data &amp; hypothesis Children'!K183</f>
        <v>0</v>
      </c>
      <c r="M348" s="1418">
        <f>'Data &amp; hypothesis Children'!L183</f>
        <v>0</v>
      </c>
      <c r="N348" s="1418">
        <f>'Data &amp; hypothesis Children'!M183</f>
        <v>0</v>
      </c>
      <c r="O348" s="1418">
        <f>'Data &amp; hypothesis Children'!N183</f>
        <v>0</v>
      </c>
      <c r="P348" s="1418">
        <f>'Data &amp; hypothesis Children'!O183</f>
        <v>0</v>
      </c>
      <c r="Q348" s="1418">
        <f>'Data &amp; hypothesis Children'!P183</f>
        <v>0</v>
      </c>
      <c r="R348" s="1418">
        <f>'Data &amp; hypothesis Children'!Q183</f>
        <v>0</v>
      </c>
      <c r="S348" s="1418">
        <f>'Data &amp; hypothesis Children'!R183</f>
        <v>0</v>
      </c>
      <c r="T348" s="1418">
        <f>'Data &amp; hypothesis Children'!S183</f>
        <v>0</v>
      </c>
      <c r="U348" s="1418">
        <f>'Data &amp; hypothesis Children'!T183</f>
        <v>0</v>
      </c>
      <c r="V348" s="1418">
        <f>'Data &amp; hypothesis Children'!U183</f>
        <v>0</v>
      </c>
      <c r="W348" s="1418">
        <f>'Data &amp; hypothesis Children'!V183</f>
        <v>0</v>
      </c>
      <c r="X348" s="1418">
        <f>'Data &amp; hypothesis Children'!W183</f>
        <v>0</v>
      </c>
      <c r="Y348" s="1418">
        <f>'Data &amp; hypothesis Children'!X183</f>
        <v>0</v>
      </c>
      <c r="Z348" s="1418">
        <f>'Data &amp; hypothesis Children'!Y183</f>
        <v>0</v>
      </c>
      <c r="AA348" s="1418">
        <f>'Data &amp; hypothesis Children'!Z183</f>
        <v>0</v>
      </c>
      <c r="AB348" s="1418">
        <f>'Data &amp; hypothesis Children'!AA183</f>
        <v>0</v>
      </c>
      <c r="AC348" s="1418">
        <f>'Data &amp; hypothesis Children'!AB183</f>
        <v>0</v>
      </c>
      <c r="AD348" s="1418">
        <f>'Data &amp; hypothesis Children'!AC183</f>
        <v>0</v>
      </c>
      <c r="AE348" s="1418">
        <f>'Data &amp; hypothesis Children'!AD183</f>
        <v>0</v>
      </c>
      <c r="AF348" s="1418">
        <f>'Data &amp; hypothesis Children'!AE183</f>
        <v>0</v>
      </c>
      <c r="AG348" s="1418">
        <f>'Data &amp; hypothesis Children'!AF183</f>
        <v>0</v>
      </c>
      <c r="AH348" s="1419">
        <f>'Data &amp; hypothesis Children'!AG183</f>
        <v>0</v>
      </c>
      <c r="AI348" s="1339" t="e">
        <f>I78</f>
        <v>#DIV/0!</v>
      </c>
      <c r="AJ348" s="1340" t="e">
        <f>I94</f>
        <v>#DIV/0!</v>
      </c>
    </row>
    <row r="349" spans="1:36" s="1304" customFormat="1" ht="26.25" thickBot="1" x14ac:dyDescent="0.25">
      <c r="A349" s="1303"/>
      <c r="C349" s="1305" t="str">
        <f>'TRAD-Children YEAR(1)'!B118</f>
        <v>Nb de patients-mois / produit - SANS SS</v>
      </c>
      <c r="D349" s="1306">
        <f t="shared" ref="D349:AE349" si="119">SUMIF(D338:D348, "X", $AI338:$AI348)</f>
        <v>0</v>
      </c>
      <c r="E349" s="1306">
        <f t="shared" si="119"/>
        <v>0</v>
      </c>
      <c r="F349" s="1306">
        <f t="shared" si="119"/>
        <v>0</v>
      </c>
      <c r="G349" s="1306">
        <f t="shared" si="119"/>
        <v>0</v>
      </c>
      <c r="H349" s="1306">
        <f t="shared" si="119"/>
        <v>0</v>
      </c>
      <c r="I349" s="1306">
        <f t="shared" si="119"/>
        <v>0</v>
      </c>
      <c r="J349" s="1306">
        <f t="shared" si="119"/>
        <v>0</v>
      </c>
      <c r="K349" s="1307">
        <f t="shared" si="119"/>
        <v>0</v>
      </c>
      <c r="L349" s="1308">
        <f t="shared" si="119"/>
        <v>0</v>
      </c>
      <c r="M349" s="1306">
        <f t="shared" si="119"/>
        <v>0</v>
      </c>
      <c r="N349" s="1306">
        <f t="shared" si="119"/>
        <v>0</v>
      </c>
      <c r="O349" s="1306">
        <f t="shared" si="119"/>
        <v>0</v>
      </c>
      <c r="P349" s="1306">
        <f t="shared" si="119"/>
        <v>0</v>
      </c>
      <c r="Q349" s="1306">
        <f t="shared" si="119"/>
        <v>0</v>
      </c>
      <c r="R349" s="1306">
        <f t="shared" si="119"/>
        <v>0</v>
      </c>
      <c r="S349" s="1306">
        <f t="shared" si="119"/>
        <v>0</v>
      </c>
      <c r="T349" s="1306">
        <f t="shared" si="119"/>
        <v>0</v>
      </c>
      <c r="U349" s="1306">
        <f t="shared" si="119"/>
        <v>0</v>
      </c>
      <c r="V349" s="1306" t="e">
        <f t="shared" si="119"/>
        <v>#DIV/0!</v>
      </c>
      <c r="W349" s="1306">
        <f t="shared" si="119"/>
        <v>0</v>
      </c>
      <c r="X349" s="1306" t="e">
        <f t="shared" si="119"/>
        <v>#DIV/0!</v>
      </c>
      <c r="Y349" s="1306">
        <f t="shared" si="119"/>
        <v>0</v>
      </c>
      <c r="Z349" s="1306">
        <f t="shared" si="119"/>
        <v>0</v>
      </c>
      <c r="AA349" s="1306">
        <f t="shared" si="119"/>
        <v>0</v>
      </c>
      <c r="AB349" s="1306">
        <f t="shared" si="119"/>
        <v>0</v>
      </c>
      <c r="AC349" s="1306">
        <f t="shared" si="119"/>
        <v>0</v>
      </c>
      <c r="AD349" s="1306">
        <f t="shared" si="119"/>
        <v>0</v>
      </c>
      <c r="AE349" s="1306">
        <f t="shared" si="119"/>
        <v>0</v>
      </c>
      <c r="AF349" s="1306" t="e">
        <f t="shared" ref="AF349" si="120">SUMIF(AF338:AF348, "X", $AI338:$AI348)</f>
        <v>#DIV/0!</v>
      </c>
      <c r="AG349" s="1306">
        <f>SUMIF(AG338:AG348, "X", $AI338:$AI348)</f>
        <v>0</v>
      </c>
      <c r="AH349" s="1306" t="e">
        <f>SUMIF(AH338:$AH$348, "X", $AI338:$AI348)</f>
        <v>#DIV/0!</v>
      </c>
    </row>
    <row r="350" spans="1:36" s="1304" customFormat="1" ht="26.25" thickBot="1" x14ac:dyDescent="0.25">
      <c r="A350" s="1303"/>
      <c r="C350" s="1305" t="str">
        <f>'TRAD-Children YEAR(1)'!B119</f>
        <v>Nb de patients-mois / produit - AVEC SS</v>
      </c>
      <c r="D350" s="1309">
        <f t="shared" ref="D350:AG350" si="121">SUMIF(D338:D348, "X", $AJ338:$AJ348)</f>
        <v>0</v>
      </c>
      <c r="E350" s="1309">
        <f t="shared" si="121"/>
        <v>0</v>
      </c>
      <c r="F350" s="1309">
        <f t="shared" si="121"/>
        <v>0</v>
      </c>
      <c r="G350" s="1309">
        <f t="shared" si="121"/>
        <v>0</v>
      </c>
      <c r="H350" s="1309">
        <f t="shared" si="121"/>
        <v>0</v>
      </c>
      <c r="I350" s="1309">
        <f t="shared" si="121"/>
        <v>0</v>
      </c>
      <c r="J350" s="1309">
        <f t="shared" si="121"/>
        <v>0</v>
      </c>
      <c r="K350" s="1310">
        <f t="shared" si="121"/>
        <v>0</v>
      </c>
      <c r="L350" s="1311">
        <f t="shared" si="121"/>
        <v>0</v>
      </c>
      <c r="M350" s="1309">
        <f t="shared" si="121"/>
        <v>180.27292499999999</v>
      </c>
      <c r="N350" s="1309">
        <f t="shared" si="121"/>
        <v>0</v>
      </c>
      <c r="O350" s="1309">
        <f t="shared" si="121"/>
        <v>94.837060161290324</v>
      </c>
      <c r="P350" s="1309">
        <f t="shared" si="121"/>
        <v>0</v>
      </c>
      <c r="Q350" s="1309">
        <f t="shared" si="121"/>
        <v>0</v>
      </c>
      <c r="R350" s="1309">
        <f t="shared" si="121"/>
        <v>0</v>
      </c>
      <c r="S350" s="1309">
        <f t="shared" si="121"/>
        <v>0</v>
      </c>
      <c r="T350" s="1309">
        <f t="shared" si="121"/>
        <v>0</v>
      </c>
      <c r="U350" s="1309">
        <f t="shared" si="121"/>
        <v>0</v>
      </c>
      <c r="V350" s="1309" t="e">
        <f t="shared" si="121"/>
        <v>#DIV/0!</v>
      </c>
      <c r="W350" s="1309">
        <f t="shared" si="121"/>
        <v>0</v>
      </c>
      <c r="X350" s="1309" t="e">
        <f t="shared" si="121"/>
        <v>#DIV/0!</v>
      </c>
      <c r="Y350" s="1309">
        <f t="shared" si="121"/>
        <v>0</v>
      </c>
      <c r="Z350" s="1309">
        <f t="shared" si="121"/>
        <v>0</v>
      </c>
      <c r="AA350" s="1309">
        <f t="shared" si="121"/>
        <v>0</v>
      </c>
      <c r="AB350" s="1309">
        <f t="shared" si="121"/>
        <v>0</v>
      </c>
      <c r="AC350" s="1309">
        <f t="shared" si="121"/>
        <v>0</v>
      </c>
      <c r="AD350" s="1309">
        <f t="shared" si="121"/>
        <v>0</v>
      </c>
      <c r="AE350" s="1309">
        <f t="shared" si="121"/>
        <v>1.5507348387096775</v>
      </c>
      <c r="AF350" s="1309" t="e">
        <f t="shared" si="121"/>
        <v>#DIV/0!</v>
      </c>
      <c r="AG350" s="1309">
        <f t="shared" si="121"/>
        <v>0</v>
      </c>
      <c r="AH350" s="1309" t="e">
        <f>SUMIF(AH338:$AH$348, "X", $AJ338:$AJ348)</f>
        <v>#DIV/0!</v>
      </c>
    </row>
    <row r="351" spans="1:36" s="1304" customFormat="1" ht="26.25" thickBot="1" x14ac:dyDescent="0.25">
      <c r="A351" s="1303"/>
      <c r="C351" s="1305" t="str">
        <f>'TRAD-Children YEAR(1)'!B120</f>
        <v>Nb de cdt - Estimation période SANS SS</v>
      </c>
      <c r="D351" s="1312">
        <f t="shared" ref="D351:AH351" si="122">D349*D336</f>
        <v>0</v>
      </c>
      <c r="E351" s="1312">
        <f t="shared" si="122"/>
        <v>0</v>
      </c>
      <c r="F351" s="1312">
        <f t="shared" si="122"/>
        <v>0</v>
      </c>
      <c r="G351" s="1312">
        <f t="shared" si="122"/>
        <v>0</v>
      </c>
      <c r="H351" s="1312">
        <f t="shared" si="122"/>
        <v>0</v>
      </c>
      <c r="I351" s="1312">
        <f t="shared" si="122"/>
        <v>0</v>
      </c>
      <c r="J351" s="1312">
        <f t="shared" si="122"/>
        <v>0</v>
      </c>
      <c r="K351" s="1313">
        <f t="shared" si="122"/>
        <v>0</v>
      </c>
      <c r="L351" s="1314">
        <f t="shared" si="122"/>
        <v>0</v>
      </c>
      <c r="M351" s="1312">
        <f t="shared" si="122"/>
        <v>0</v>
      </c>
      <c r="N351" s="1312">
        <f t="shared" si="122"/>
        <v>0</v>
      </c>
      <c r="O351" s="1312">
        <f t="shared" si="122"/>
        <v>0</v>
      </c>
      <c r="P351" s="1312">
        <f t="shared" si="122"/>
        <v>0</v>
      </c>
      <c r="Q351" s="1312">
        <f t="shared" si="122"/>
        <v>0</v>
      </c>
      <c r="R351" s="1312">
        <f t="shared" ref="R351" si="123">R349*R336</f>
        <v>0</v>
      </c>
      <c r="S351" s="1312">
        <f t="shared" si="122"/>
        <v>0</v>
      </c>
      <c r="T351" s="1312">
        <f t="shared" si="122"/>
        <v>0</v>
      </c>
      <c r="U351" s="1312">
        <f t="shared" si="122"/>
        <v>0</v>
      </c>
      <c r="V351" s="1312" t="e">
        <f t="shared" si="122"/>
        <v>#DIV/0!</v>
      </c>
      <c r="W351" s="1312">
        <f t="shared" ref="W351:Y351" si="124">W349*W336</f>
        <v>0</v>
      </c>
      <c r="X351" s="1312" t="e">
        <f t="shared" ref="X351" si="125">X349*X336</f>
        <v>#DIV/0!</v>
      </c>
      <c r="Y351" s="1312">
        <f t="shared" si="124"/>
        <v>0</v>
      </c>
      <c r="Z351" s="1312">
        <f t="shared" ref="Z351:AF351" si="126">Z349*Z336</f>
        <v>0</v>
      </c>
      <c r="AA351" s="1312">
        <f t="shared" si="126"/>
        <v>0</v>
      </c>
      <c r="AB351" s="1312">
        <f t="shared" si="126"/>
        <v>0</v>
      </c>
      <c r="AC351" s="1312">
        <f t="shared" si="126"/>
        <v>0</v>
      </c>
      <c r="AD351" s="1312">
        <f t="shared" si="126"/>
        <v>0</v>
      </c>
      <c r="AE351" s="1312">
        <f t="shared" ref="AE351" si="127">AE349*AE336</f>
        <v>0</v>
      </c>
      <c r="AF351" s="1312" t="e">
        <f t="shared" si="126"/>
        <v>#DIV/0!</v>
      </c>
      <c r="AG351" s="1312">
        <f t="shared" si="122"/>
        <v>0</v>
      </c>
      <c r="AH351" s="1312" t="e">
        <f t="shared" si="122"/>
        <v>#DIV/0!</v>
      </c>
    </row>
    <row r="352" spans="1:36" s="1304" customFormat="1" ht="26.25" thickBot="1" x14ac:dyDescent="0.25">
      <c r="A352" s="1303"/>
      <c r="C352" s="1305" t="str">
        <f>'TRAD-Children YEAR(1)'!B121</f>
        <v>Nb de cdt - Estimation période AVEC SS</v>
      </c>
      <c r="D352" s="1315">
        <f t="shared" ref="D352:AH352" si="128">D350*D336</f>
        <v>0</v>
      </c>
      <c r="E352" s="1315">
        <f t="shared" si="128"/>
        <v>0</v>
      </c>
      <c r="F352" s="1315">
        <f t="shared" si="128"/>
        <v>0</v>
      </c>
      <c r="G352" s="1315">
        <f t="shared" si="128"/>
        <v>0</v>
      </c>
      <c r="H352" s="1315">
        <f t="shared" si="128"/>
        <v>0</v>
      </c>
      <c r="I352" s="1315">
        <f t="shared" si="128"/>
        <v>0</v>
      </c>
      <c r="J352" s="1315">
        <f t="shared" si="128"/>
        <v>0</v>
      </c>
      <c r="K352" s="1316">
        <f t="shared" si="128"/>
        <v>0</v>
      </c>
      <c r="L352" s="1317">
        <f t="shared" si="128"/>
        <v>0</v>
      </c>
      <c r="M352" s="1315">
        <f t="shared" si="128"/>
        <v>540.81877499999996</v>
      </c>
      <c r="N352" s="1315">
        <f t="shared" si="128"/>
        <v>0</v>
      </c>
      <c r="O352" s="1315">
        <f t="shared" si="128"/>
        <v>284.51118048387099</v>
      </c>
      <c r="P352" s="1315">
        <f t="shared" si="128"/>
        <v>0</v>
      </c>
      <c r="Q352" s="1315">
        <f t="shared" si="128"/>
        <v>0</v>
      </c>
      <c r="R352" s="1315">
        <f t="shared" ref="R352" si="129">R350*R336</f>
        <v>0</v>
      </c>
      <c r="S352" s="1315">
        <f t="shared" si="128"/>
        <v>0</v>
      </c>
      <c r="T352" s="1315">
        <f t="shared" si="128"/>
        <v>0</v>
      </c>
      <c r="U352" s="1315">
        <f t="shared" si="128"/>
        <v>0</v>
      </c>
      <c r="V352" s="1315" t="e">
        <f t="shared" si="128"/>
        <v>#DIV/0!</v>
      </c>
      <c r="W352" s="1315">
        <f t="shared" ref="W352:Y352" si="130">W350*W336</f>
        <v>0</v>
      </c>
      <c r="X352" s="1315" t="e">
        <f t="shared" ref="X352" si="131">X350*X336</f>
        <v>#DIV/0!</v>
      </c>
      <c r="Y352" s="1315">
        <f t="shared" si="130"/>
        <v>0</v>
      </c>
      <c r="Z352" s="1315">
        <f t="shared" ref="Z352:AF352" si="132">Z350*Z336</f>
        <v>0</v>
      </c>
      <c r="AA352" s="1315">
        <f t="shared" si="132"/>
        <v>0</v>
      </c>
      <c r="AB352" s="1315">
        <f t="shared" si="132"/>
        <v>0</v>
      </c>
      <c r="AC352" s="1315">
        <f t="shared" si="132"/>
        <v>0</v>
      </c>
      <c r="AD352" s="1315">
        <f t="shared" si="132"/>
        <v>0</v>
      </c>
      <c r="AE352" s="1315">
        <f t="shared" ref="AE352" si="133">AE350*AE336</f>
        <v>4.6522045161290322</v>
      </c>
      <c r="AF352" s="1315" t="e">
        <f t="shared" si="132"/>
        <v>#DIV/0!</v>
      </c>
      <c r="AG352" s="1315">
        <f t="shared" si="128"/>
        <v>0</v>
      </c>
      <c r="AH352" s="1315" t="e">
        <f t="shared" si="128"/>
        <v>#DIV/0!</v>
      </c>
    </row>
    <row r="353" spans="1:15" s="1279" customFormat="1" x14ac:dyDescent="0.2">
      <c r="A353" s="1282"/>
    </row>
    <row r="354" spans="1:15" x14ac:dyDescent="0.2">
      <c r="C354" s="528"/>
      <c r="F354" s="640"/>
      <c r="G354" s="640"/>
    </row>
    <row r="355" spans="1:15" s="263" customFormat="1" ht="16.5" thickBot="1" x14ac:dyDescent="0.3">
      <c r="A355" s="641" t="str">
        <f>'TRAD-Children YEAR(2)'!B13</f>
        <v>Quantification des besoins pour la prise en charge médicale pour la première année selon la répartition envisagée</v>
      </c>
      <c r="B355" s="641"/>
      <c r="C355" s="641"/>
      <c r="D355" s="641"/>
      <c r="E355" s="641"/>
      <c r="F355" s="641"/>
      <c r="G355" s="641"/>
      <c r="H355" s="641"/>
      <c r="I355" s="641"/>
      <c r="J355" s="641"/>
      <c r="K355" s="641"/>
      <c r="L355" s="641"/>
    </row>
    <row r="356" spans="1:15" x14ac:dyDescent="0.2">
      <c r="B356" s="528"/>
      <c r="E356" s="640"/>
      <c r="F356" s="640"/>
    </row>
    <row r="357" spans="1:15" ht="15" x14ac:dyDescent="0.2">
      <c r="B357" s="2143" t="str">
        <f>'TRAD-Children YEAR(2)'!B19</f>
        <v>Quantification des besoins en ARV pour la prise en charge pédiatrique sur la deuxième année SANS stock de sécurité</v>
      </c>
      <c r="C357" s="2143"/>
      <c r="D357" s="2143"/>
      <c r="E357" s="2143"/>
      <c r="F357" s="2143"/>
      <c r="G357" s="2143"/>
      <c r="H357" s="2143"/>
      <c r="I357" s="2143"/>
      <c r="J357" s="2143"/>
      <c r="K357" s="2143"/>
      <c r="L357" s="2143"/>
      <c r="M357" s="2143"/>
    </row>
    <row r="358" spans="1:15" ht="13.5" thickBot="1" x14ac:dyDescent="0.25">
      <c r="B358" s="528"/>
      <c r="E358" s="640"/>
      <c r="F358" s="640"/>
    </row>
    <row r="359" spans="1:15" ht="13.5" thickBot="1" x14ac:dyDescent="0.25">
      <c r="B359" s="528"/>
      <c r="C359" s="528"/>
      <c r="D359" s="528"/>
      <c r="E359" s="2141" t="str">
        <f>'TRAD-Children YEAR(1)'!B86</f>
        <v>Poids envisagés</v>
      </c>
      <c r="F359" s="2142"/>
      <c r="G359" s="2142"/>
      <c r="H359" s="2192"/>
    </row>
    <row r="360" spans="1:15" ht="26.25" thickBot="1" x14ac:dyDescent="0.25">
      <c r="B360" s="642"/>
      <c r="C360" s="643" t="str">
        <f>'TRAD-Children YEAR(1)'!B113</f>
        <v>Nb de boites / mois pour l'ensemble des patients</v>
      </c>
      <c r="D360" s="369" t="str">
        <f>'TRAD-Children YEAR(1)'!B68</f>
        <v>Dosage</v>
      </c>
      <c r="E360" s="645" t="s">
        <v>206</v>
      </c>
      <c r="F360" s="646" t="s">
        <v>207</v>
      </c>
      <c r="G360" s="646" t="s">
        <v>208</v>
      </c>
      <c r="H360" s="647" t="s">
        <v>112</v>
      </c>
      <c r="I360" s="648" t="s">
        <v>129</v>
      </c>
      <c r="J360" s="649" t="s">
        <v>6</v>
      </c>
    </row>
    <row r="361" spans="1:15" x14ac:dyDescent="0.2">
      <c r="B361" s="650" t="str">
        <f>'TRAD-Children YEAR(1)'!B74</f>
        <v>sol buv</v>
      </c>
      <c r="C361" s="651" t="s">
        <v>39</v>
      </c>
      <c r="D361" s="651" t="s">
        <v>41</v>
      </c>
      <c r="E361" s="652">
        <f t="array" ref="E361:E391">TRANSPOSE($D$279:$AH$279)</f>
        <v>0</v>
      </c>
      <c r="F361" s="652">
        <f t="array" ref="F361:F391">TRANSPOSE($D$303:$AH$303)</f>
        <v>0</v>
      </c>
      <c r="G361" s="652">
        <f t="array" ref="G361:G391">TRANSPOSE($D$327:$AH$327)</f>
        <v>0</v>
      </c>
      <c r="H361" s="652">
        <f t="array" ref="H361:H391">TRANSPOSE($D$351:$AH$351)</f>
        <v>0</v>
      </c>
      <c r="I361" s="582">
        <f>G130</f>
        <v>0</v>
      </c>
      <c r="J361" s="653">
        <f>SUM(E361:I361)</f>
        <v>0</v>
      </c>
      <c r="L361" s="260">
        <v>279</v>
      </c>
      <c r="M361" s="260">
        <v>303</v>
      </c>
      <c r="N361" s="260">
        <v>327</v>
      </c>
      <c r="O361" s="260" t="s">
        <v>1591</v>
      </c>
    </row>
    <row r="362" spans="1:15" x14ac:dyDescent="0.2">
      <c r="B362" s="654"/>
      <c r="C362" s="655" t="s">
        <v>61</v>
      </c>
      <c r="D362" s="655" t="s">
        <v>41</v>
      </c>
      <c r="E362" s="656">
        <v>0</v>
      </c>
      <c r="F362" s="656">
        <v>0</v>
      </c>
      <c r="G362" s="656">
        <v>0</v>
      </c>
      <c r="H362" s="656">
        <v>0</v>
      </c>
      <c r="I362" s="585">
        <f>G129</f>
        <v>0</v>
      </c>
      <c r="J362" s="657">
        <f t="shared" ref="J362:J368" si="134">SUM(E362:I362)</f>
        <v>0</v>
      </c>
    </row>
    <row r="363" spans="1:15" x14ac:dyDescent="0.2">
      <c r="B363" s="654"/>
      <c r="C363" s="655" t="s">
        <v>15</v>
      </c>
      <c r="D363" s="655" t="s">
        <v>41</v>
      </c>
      <c r="E363" s="656">
        <v>0</v>
      </c>
      <c r="F363" s="656">
        <v>0</v>
      </c>
      <c r="G363" s="656">
        <v>0</v>
      </c>
      <c r="H363" s="656">
        <v>0</v>
      </c>
      <c r="I363" s="585">
        <f>G131</f>
        <v>0</v>
      </c>
      <c r="J363" s="657">
        <f t="shared" si="134"/>
        <v>0</v>
      </c>
    </row>
    <row r="364" spans="1:15" x14ac:dyDescent="0.2">
      <c r="B364" s="654"/>
      <c r="C364" s="655" t="s">
        <v>25</v>
      </c>
      <c r="D364" s="655" t="s">
        <v>44</v>
      </c>
      <c r="E364" s="656">
        <v>0</v>
      </c>
      <c r="F364" s="656">
        <v>0</v>
      </c>
      <c r="G364" s="656">
        <v>0</v>
      </c>
      <c r="H364" s="656">
        <v>0</v>
      </c>
      <c r="I364" s="585"/>
      <c r="J364" s="657">
        <f t="shared" si="134"/>
        <v>0</v>
      </c>
    </row>
    <row r="365" spans="1:15" x14ac:dyDescent="0.2">
      <c r="B365" s="654"/>
      <c r="C365" s="655" t="s">
        <v>28</v>
      </c>
      <c r="D365" s="655" t="s">
        <v>46</v>
      </c>
      <c r="E365" s="656">
        <v>0</v>
      </c>
      <c r="F365" s="656">
        <v>0</v>
      </c>
      <c r="G365" s="656">
        <v>0</v>
      </c>
      <c r="H365" s="656">
        <v>0</v>
      </c>
      <c r="I365" s="585"/>
      <c r="J365" s="657">
        <f t="shared" si="134"/>
        <v>0</v>
      </c>
    </row>
    <row r="366" spans="1:15" x14ac:dyDescent="0.2">
      <c r="B366" s="654"/>
      <c r="C366" s="655" t="s">
        <v>19</v>
      </c>
      <c r="D366" s="655" t="s">
        <v>41</v>
      </c>
      <c r="E366" s="656">
        <v>0</v>
      </c>
      <c r="F366" s="656">
        <v>0</v>
      </c>
      <c r="G366" s="656">
        <v>0</v>
      </c>
      <c r="H366" s="656">
        <v>0</v>
      </c>
      <c r="I366" s="585">
        <f>G132</f>
        <v>0</v>
      </c>
      <c r="J366" s="657">
        <f>SUM(E366:I366)</f>
        <v>0</v>
      </c>
    </row>
    <row r="367" spans="1:15" x14ac:dyDescent="0.2">
      <c r="B367" s="658"/>
      <c r="C367" s="659" t="s">
        <v>17</v>
      </c>
      <c r="D367" s="659" t="s">
        <v>259</v>
      </c>
      <c r="E367" s="660">
        <v>0</v>
      </c>
      <c r="F367" s="660" t="e">
        <v>#DIV/0!</v>
      </c>
      <c r="G367" s="660" t="e">
        <v>#DIV/0!</v>
      </c>
      <c r="H367" s="660">
        <v>0</v>
      </c>
      <c r="I367" s="672"/>
      <c r="J367" s="661" t="e">
        <f>SUM(E367:I367)</f>
        <v>#DIV/0!</v>
      </c>
    </row>
    <row r="368" spans="1:15" ht="13.5" thickBot="1" x14ac:dyDescent="0.25">
      <c r="B368" s="662"/>
      <c r="C368" s="663" t="s">
        <v>33</v>
      </c>
      <c r="D368" s="663" t="s">
        <v>47</v>
      </c>
      <c r="E368" s="664">
        <v>0</v>
      </c>
      <c r="F368" s="664">
        <v>0</v>
      </c>
      <c r="G368" s="664">
        <v>0</v>
      </c>
      <c r="H368" s="664">
        <v>0</v>
      </c>
      <c r="I368" s="673"/>
      <c r="J368" s="666">
        <f t="shared" si="134"/>
        <v>0</v>
      </c>
    </row>
    <row r="369" spans="2:10" ht="25.5" x14ac:dyDescent="0.2">
      <c r="B369" s="650" t="str">
        <f>'TRAD-Children YEAR(1)'!B91</f>
        <v>Comprimés</v>
      </c>
      <c r="C369" s="408" t="str">
        <f t="array" ref="C369:D391">'Data &amp; hypothesis Children'!$C$238:$D$260</f>
        <v>AZT+ 3TC+ NVP adulte</v>
      </c>
      <c r="D369" s="409" t="str">
        <v>300/150/200 mg</v>
      </c>
      <c r="E369" s="1358">
        <v>0</v>
      </c>
      <c r="F369" s="1358">
        <v>0</v>
      </c>
      <c r="G369" s="1358">
        <v>0</v>
      </c>
      <c r="H369" s="1358">
        <v>0</v>
      </c>
      <c r="I369" s="585"/>
      <c r="J369" s="657">
        <f>SUM(E369:I369)</f>
        <v>0</v>
      </c>
    </row>
    <row r="370" spans="2:10" ht="25.5" x14ac:dyDescent="0.2">
      <c r="B370" s="667"/>
      <c r="C370" s="413" t="str">
        <v>AZT+ 3TC+ NVP bébé</v>
      </c>
      <c r="D370" s="414" t="str">
        <v>60/30/50 mg</v>
      </c>
      <c r="E370" s="656">
        <v>0</v>
      </c>
      <c r="F370" s="656">
        <v>0</v>
      </c>
      <c r="G370" s="656">
        <v>0</v>
      </c>
      <c r="H370" s="656">
        <v>0</v>
      </c>
      <c r="I370" s="585">
        <f>G135</f>
        <v>0</v>
      </c>
      <c r="J370" s="657">
        <f>SUM(E370:I370)</f>
        <v>0</v>
      </c>
    </row>
    <row r="371" spans="2:10" ht="25.5" x14ac:dyDescent="0.2">
      <c r="B371" s="668"/>
      <c r="C371" s="413" t="str">
        <v>AZT+ 3TC adulte</v>
      </c>
      <c r="D371" s="414" t="str">
        <v>300/150 mg</v>
      </c>
      <c r="E371" s="656">
        <v>0</v>
      </c>
      <c r="F371" s="656">
        <v>0</v>
      </c>
      <c r="G371" s="656">
        <v>0</v>
      </c>
      <c r="H371" s="656">
        <v>0</v>
      </c>
      <c r="I371" s="585"/>
      <c r="J371" s="1327">
        <f>SUM(E371:I371)</f>
        <v>0</v>
      </c>
    </row>
    <row r="372" spans="2:10" x14ac:dyDescent="0.2">
      <c r="B372" s="668"/>
      <c r="C372" s="413" t="str">
        <v>AZT+ 3TC bébé</v>
      </c>
      <c r="D372" s="414" t="str">
        <v>60/30 mg</v>
      </c>
      <c r="E372" s="656">
        <v>0</v>
      </c>
      <c r="F372" s="656">
        <v>0</v>
      </c>
      <c r="G372" s="656" t="e">
        <v>#DIV/0!</v>
      </c>
      <c r="H372" s="656">
        <v>0</v>
      </c>
      <c r="I372" s="585">
        <f>G136</f>
        <v>0</v>
      </c>
      <c r="J372" s="1327" t="e">
        <f>SUM(E372:I372)</f>
        <v>#DIV/0!</v>
      </c>
    </row>
    <row r="373" spans="2:10" ht="25.5" x14ac:dyDescent="0.2">
      <c r="B373" s="668"/>
      <c r="C373" s="413" t="str">
        <v>D4T+ 3TC+ NVP adulte</v>
      </c>
      <c r="D373" s="414" t="str">
        <v>30/150/200 mg</v>
      </c>
      <c r="E373" s="656">
        <v>0</v>
      </c>
      <c r="F373" s="656">
        <v>0</v>
      </c>
      <c r="G373" s="656">
        <v>0</v>
      </c>
      <c r="H373" s="656">
        <v>0</v>
      </c>
      <c r="I373" s="585"/>
      <c r="J373" s="1327">
        <f t="shared" ref="J373:J389" si="135">SUM(E373:I373)</f>
        <v>0</v>
      </c>
    </row>
    <row r="374" spans="2:10" ht="25.5" x14ac:dyDescent="0.2">
      <c r="B374" s="668"/>
      <c r="C374" s="413" t="str">
        <v>D4T+ 3TC+ NVP bébé</v>
      </c>
      <c r="D374" s="414" t="str">
        <v>6/30/50 mg</v>
      </c>
      <c r="E374" s="656">
        <v>0</v>
      </c>
      <c r="F374" s="656">
        <v>0</v>
      </c>
      <c r="G374" s="656">
        <v>0</v>
      </c>
      <c r="H374" s="656">
        <v>0</v>
      </c>
      <c r="I374" s="585">
        <f>G133</f>
        <v>0</v>
      </c>
      <c r="J374" s="1327">
        <f t="shared" si="135"/>
        <v>0</v>
      </c>
    </row>
    <row r="375" spans="2:10" x14ac:dyDescent="0.2">
      <c r="B375" s="668"/>
      <c r="C375" s="413" t="str">
        <v>D4T+ 3TC bébé</v>
      </c>
      <c r="D375" s="414" t="str">
        <v>6/30 mg</v>
      </c>
      <c r="E375" s="656">
        <v>0</v>
      </c>
      <c r="F375" s="656">
        <v>0</v>
      </c>
      <c r="G375" s="656">
        <v>0</v>
      </c>
      <c r="H375" s="656">
        <v>0</v>
      </c>
      <c r="I375" s="585">
        <f>G134</f>
        <v>0</v>
      </c>
      <c r="J375" s="1327">
        <f t="shared" si="135"/>
        <v>0</v>
      </c>
    </row>
    <row r="376" spans="2:10" ht="25.5" x14ac:dyDescent="0.2">
      <c r="B376" s="668"/>
      <c r="C376" s="413" t="str">
        <v>AZT+ 3TC+ ABC adulte</v>
      </c>
      <c r="D376" s="414" t="str">
        <v>300/150/300 mg</v>
      </c>
      <c r="E376" s="656">
        <v>0</v>
      </c>
      <c r="F376" s="656">
        <v>0</v>
      </c>
      <c r="G376" s="656">
        <v>0</v>
      </c>
      <c r="H376" s="656">
        <v>0</v>
      </c>
      <c r="I376" s="585"/>
      <c r="J376" s="1327">
        <f t="shared" si="135"/>
        <v>0</v>
      </c>
    </row>
    <row r="377" spans="2:10" ht="25.5" x14ac:dyDescent="0.2">
      <c r="B377" s="668"/>
      <c r="C377" s="413" t="str">
        <v>AZT+ 3TC+ ABC bébé</v>
      </c>
      <c r="D377" s="414" t="str">
        <v>60/30/60 mg</v>
      </c>
      <c r="E377" s="656">
        <v>0</v>
      </c>
      <c r="F377" s="656">
        <v>0</v>
      </c>
      <c r="G377" s="656">
        <v>0</v>
      </c>
      <c r="H377" s="656">
        <v>0</v>
      </c>
      <c r="I377" s="585"/>
      <c r="J377" s="1327">
        <f>SUM(E377:I377)</f>
        <v>0</v>
      </c>
    </row>
    <row r="378" spans="2:10" ht="25.5" x14ac:dyDescent="0.2">
      <c r="B378" s="668"/>
      <c r="C378" s="413" t="str">
        <v>ABC+ 3TC adulte</v>
      </c>
      <c r="D378" s="414" t="str">
        <v>600/300 mg</v>
      </c>
      <c r="E378" s="656">
        <v>0</v>
      </c>
      <c r="F378" s="656">
        <v>0</v>
      </c>
      <c r="G378" s="656">
        <v>0</v>
      </c>
      <c r="H378" s="656">
        <v>0</v>
      </c>
      <c r="I378" s="585"/>
      <c r="J378" s="1327">
        <f t="shared" si="135"/>
        <v>0</v>
      </c>
    </row>
    <row r="379" spans="2:10" x14ac:dyDescent="0.2">
      <c r="B379" s="1328"/>
      <c r="C379" s="418" t="str">
        <v>ABC+ 3TC bébé</v>
      </c>
      <c r="D379" s="419" t="str">
        <v>60/30 mg</v>
      </c>
      <c r="E379" s="1326">
        <v>0</v>
      </c>
      <c r="F379" s="1326" t="e">
        <v>#DIV/0!</v>
      </c>
      <c r="G379" s="1326" t="e">
        <v>#DIV/0!</v>
      </c>
      <c r="H379" s="1326" t="e">
        <v>#DIV/0!</v>
      </c>
      <c r="I379" s="585"/>
      <c r="J379" s="1327" t="e">
        <f t="shared" si="135"/>
        <v>#DIV/0!</v>
      </c>
    </row>
    <row r="380" spans="2:10" ht="25.5" x14ac:dyDescent="0.2">
      <c r="B380" s="1328"/>
      <c r="C380" s="418" t="str">
        <v>TDF+ FTC/3TC+ EFV adulte</v>
      </c>
      <c r="D380" s="419" t="str">
        <v>300/200/600 mg</v>
      </c>
      <c r="E380" s="1963">
        <v>0</v>
      </c>
      <c r="F380" s="1963">
        <v>0</v>
      </c>
      <c r="G380" s="1963">
        <v>0</v>
      </c>
      <c r="H380" s="1963">
        <v>0</v>
      </c>
      <c r="I380" s="585"/>
      <c r="J380" s="1327">
        <f t="shared" si="135"/>
        <v>0</v>
      </c>
    </row>
    <row r="381" spans="2:10" ht="25.5" x14ac:dyDescent="0.2">
      <c r="B381" s="1328"/>
      <c r="C381" s="418" t="str">
        <v>TDF+ FTC/3TC adulte</v>
      </c>
      <c r="D381" s="419" t="str">
        <v>300/200 mg</v>
      </c>
      <c r="E381" s="1963">
        <v>0</v>
      </c>
      <c r="F381" s="1963">
        <v>0</v>
      </c>
      <c r="G381" s="1963">
        <v>0</v>
      </c>
      <c r="H381" s="1963" t="e">
        <v>#DIV/0!</v>
      </c>
      <c r="I381" s="585"/>
      <c r="J381" s="1327" t="e">
        <f t="shared" si="135"/>
        <v>#DIV/0!</v>
      </c>
    </row>
    <row r="382" spans="2:10" x14ac:dyDescent="0.2">
      <c r="B382" s="1328"/>
      <c r="C382" s="418" t="str">
        <v>TDF adulte</v>
      </c>
      <c r="D382" s="419" t="str">
        <v>300 mg</v>
      </c>
      <c r="E382" s="1963">
        <v>0</v>
      </c>
      <c r="F382" s="1963">
        <v>0</v>
      </c>
      <c r="G382" s="1963">
        <v>0</v>
      </c>
      <c r="H382" s="1963">
        <v>0</v>
      </c>
      <c r="I382" s="585"/>
      <c r="J382" s="1327">
        <f t="shared" si="135"/>
        <v>0</v>
      </c>
    </row>
    <row r="383" spans="2:10" x14ac:dyDescent="0.2">
      <c r="B383" s="1328"/>
      <c r="C383" s="418" t="str">
        <v>3TC adulte</v>
      </c>
      <c r="D383" s="419" t="str">
        <v>150 mg</v>
      </c>
      <c r="E383" s="1326">
        <v>0</v>
      </c>
      <c r="F383" s="1326">
        <v>0</v>
      </c>
      <c r="G383" s="1326">
        <v>0</v>
      </c>
      <c r="H383" s="1326">
        <v>0</v>
      </c>
      <c r="I383" s="585"/>
      <c r="J383" s="1327">
        <f t="shared" si="135"/>
        <v>0</v>
      </c>
    </row>
    <row r="384" spans="2:10" ht="26.25" customHeight="1" x14ac:dyDescent="0.2">
      <c r="B384" s="668"/>
      <c r="C384" s="413" t="str">
        <v>ABC adulte</v>
      </c>
      <c r="D384" s="419" t="str">
        <v>300 mg</v>
      </c>
      <c r="E384" s="1358">
        <v>0</v>
      </c>
      <c r="F384" s="1358">
        <v>0</v>
      </c>
      <c r="G384" s="1358">
        <v>0</v>
      </c>
      <c r="H384" s="1358">
        <v>0</v>
      </c>
      <c r="I384" s="585"/>
      <c r="J384" s="1327">
        <f t="shared" si="135"/>
        <v>0</v>
      </c>
    </row>
    <row r="385" spans="2:13" x14ac:dyDescent="0.2">
      <c r="B385" s="668"/>
      <c r="C385" s="413" t="str">
        <v>ABC bébé</v>
      </c>
      <c r="D385" s="419" t="str">
        <v>60 mg</v>
      </c>
      <c r="E385" s="1358" t="e">
        <v>#DIV/0!</v>
      </c>
      <c r="F385" s="1358">
        <v>0</v>
      </c>
      <c r="G385" s="1358">
        <v>0</v>
      </c>
      <c r="H385" s="1358">
        <v>0</v>
      </c>
      <c r="I385" s="585"/>
      <c r="J385" s="1327" t="e">
        <f t="shared" si="135"/>
        <v>#DIV/0!</v>
      </c>
    </row>
    <row r="386" spans="2:13" x14ac:dyDescent="0.2">
      <c r="B386" s="668"/>
      <c r="C386" s="413" t="str">
        <v>DDI adulte</v>
      </c>
      <c r="D386" s="419" t="str">
        <v>250 mg</v>
      </c>
      <c r="E386" s="1358">
        <v>0</v>
      </c>
      <c r="F386" s="1358">
        <v>0</v>
      </c>
      <c r="G386" s="1358">
        <v>0</v>
      </c>
      <c r="H386" s="1358">
        <v>0</v>
      </c>
      <c r="I386" s="585"/>
      <c r="J386" s="1327">
        <f t="shared" si="135"/>
        <v>0</v>
      </c>
    </row>
    <row r="387" spans="2:13" x14ac:dyDescent="0.2">
      <c r="B387" s="668"/>
      <c r="C387" s="413" t="str">
        <v>NVP adulte</v>
      </c>
      <c r="D387" s="419" t="str">
        <v>200 mg</v>
      </c>
      <c r="E387" s="1358">
        <v>0</v>
      </c>
      <c r="F387" s="1358">
        <v>0</v>
      </c>
      <c r="G387" s="1358">
        <v>0</v>
      </c>
      <c r="H387" s="1358">
        <v>0</v>
      </c>
      <c r="I387" s="585"/>
      <c r="J387" s="1327">
        <f t="shared" si="135"/>
        <v>0</v>
      </c>
    </row>
    <row r="388" spans="2:13" x14ac:dyDescent="0.2">
      <c r="B388" s="668"/>
      <c r="C388" s="413" t="str">
        <v>NVP bébé</v>
      </c>
      <c r="D388" s="419" t="str">
        <v>50 mg</v>
      </c>
      <c r="E388" s="1358">
        <v>0</v>
      </c>
      <c r="F388" s="1358">
        <v>0</v>
      </c>
      <c r="G388" s="1358">
        <v>0</v>
      </c>
      <c r="H388" s="1358">
        <v>0</v>
      </c>
      <c r="I388" s="585"/>
      <c r="J388" s="1327">
        <f t="shared" si="135"/>
        <v>0</v>
      </c>
    </row>
    <row r="389" spans="2:13" x14ac:dyDescent="0.2">
      <c r="B389" s="668"/>
      <c r="C389" s="413" t="str">
        <v>EFV enfant</v>
      </c>
      <c r="D389" s="419" t="str">
        <v>200 mg</v>
      </c>
      <c r="E389" s="1358">
        <v>0</v>
      </c>
      <c r="F389" s="1358">
        <v>0</v>
      </c>
      <c r="G389" s="1358" t="e">
        <v>#DIV/0!</v>
      </c>
      <c r="H389" s="1358" t="e">
        <v>#DIV/0!</v>
      </c>
      <c r="I389" s="585"/>
      <c r="J389" s="1327" t="e">
        <f t="shared" si="135"/>
        <v>#DIV/0!</v>
      </c>
    </row>
    <row r="390" spans="2:13" x14ac:dyDescent="0.2">
      <c r="B390" s="668"/>
      <c r="C390" s="413" t="str">
        <v>LPV/r adulte</v>
      </c>
      <c r="D390" s="419" t="str">
        <v>200/50 mg</v>
      </c>
      <c r="E390" s="1358">
        <v>0</v>
      </c>
      <c r="F390" s="1358">
        <v>0</v>
      </c>
      <c r="G390" s="1358">
        <v>0</v>
      </c>
      <c r="H390" s="1358">
        <v>0</v>
      </c>
      <c r="I390" s="585"/>
      <c r="J390" s="657">
        <f>SUM(E390:I390)</f>
        <v>0</v>
      </c>
    </row>
    <row r="391" spans="2:13" ht="13.5" thickBot="1" x14ac:dyDescent="0.25">
      <c r="B391" s="669"/>
      <c r="C391" s="422" t="str">
        <v>LPV/r enfant</v>
      </c>
      <c r="D391" s="423" t="str">
        <v>100/25 mg</v>
      </c>
      <c r="E391" s="1359">
        <v>0</v>
      </c>
      <c r="F391" s="1359" t="e">
        <v>#DIV/0!</v>
      </c>
      <c r="G391" s="1359" t="e">
        <v>#DIV/0!</v>
      </c>
      <c r="H391" s="1359" t="e">
        <v>#DIV/0!</v>
      </c>
      <c r="I391" s="665"/>
      <c r="J391" s="666" t="e">
        <f>SUM(E391:I391)</f>
        <v>#DIV/0!</v>
      </c>
    </row>
    <row r="393" spans="2:13" ht="15" x14ac:dyDescent="0.2">
      <c r="B393" s="2143" t="str">
        <f>'TRAD-Children YEAR(2)'!B20</f>
        <v>Quantification des besoins en ARV pour la prise en charge pédiatrique sur la deuxième année AVEC stock de sécurité</v>
      </c>
      <c r="C393" s="2143"/>
      <c r="D393" s="2143"/>
      <c r="E393" s="2143"/>
      <c r="F393" s="2143"/>
      <c r="G393" s="2143"/>
      <c r="H393" s="2143"/>
      <c r="I393" s="2143"/>
      <c r="J393" s="2143"/>
      <c r="K393" s="2143"/>
      <c r="L393" s="2143"/>
      <c r="M393" s="2143"/>
    </row>
    <row r="394" spans="2:13" ht="13.5" thickBot="1" x14ac:dyDescent="0.25">
      <c r="B394" s="528"/>
      <c r="E394" s="640"/>
      <c r="F394" s="640"/>
    </row>
    <row r="395" spans="2:13" ht="13.5" thickBot="1" x14ac:dyDescent="0.25">
      <c r="B395" s="528"/>
      <c r="C395" s="528"/>
      <c r="D395" s="528"/>
      <c r="E395" s="2141" t="str">
        <f>'TRAD-Children YEAR(1)'!B86</f>
        <v>Poids envisagés</v>
      </c>
      <c r="F395" s="2142"/>
      <c r="G395" s="2142"/>
      <c r="H395" s="2192"/>
    </row>
    <row r="396" spans="2:13" ht="90" thickBot="1" x14ac:dyDescent="0.25">
      <c r="B396" s="642"/>
      <c r="C396" s="643" t="str">
        <f>'TRAD-Children YEAR(1)'!B113</f>
        <v>Nb de boites / mois pour l'ensemble des patients</v>
      </c>
      <c r="D396" s="369" t="str">
        <f>'TRAD-Children YEAR(1)'!B114</f>
        <v>Dosage</v>
      </c>
      <c r="E396" s="645" t="s">
        <v>206</v>
      </c>
      <c r="F396" s="646" t="s">
        <v>207</v>
      </c>
      <c r="G396" s="646" t="s">
        <v>208</v>
      </c>
      <c r="H396" s="647" t="s">
        <v>112</v>
      </c>
      <c r="I396" s="644" t="s">
        <v>129</v>
      </c>
      <c r="J396" s="649" t="str">
        <f>'TRAD-Children YEAR(1)'!B12</f>
        <v>TOTAL (nbre de boîtes / flacons)</v>
      </c>
      <c r="K396" s="643" t="str">
        <f>'TRAD-Children YEAR(1)'!B147</f>
        <v>Marge de sécurité (nb de boites / flacons)</v>
      </c>
      <c r="L396" s="643" t="str">
        <f>'TRAD-Children YEAR(1)'!B148</f>
        <v>Différence de marge de sécurité / année précédente (nb de boites / flacons)</v>
      </c>
    </row>
    <row r="397" spans="2:13" x14ac:dyDescent="0.2">
      <c r="B397" s="650" t="str">
        <f>'TRAD-Children YEAR(1)'!B90</f>
        <v>Solutions buvables</v>
      </c>
      <c r="C397" s="651" t="s">
        <v>39</v>
      </c>
      <c r="D397" s="651" t="s">
        <v>41</v>
      </c>
      <c r="E397" s="652">
        <f t="array" ref="E397:E427">TRANSPOSE($D$280:$AH$280)</f>
        <v>0</v>
      </c>
      <c r="F397" s="652">
        <f t="array" ref="F397:F427">TRANSPOSE($D$304:$AH$304)</f>
        <v>0</v>
      </c>
      <c r="G397" s="652">
        <f t="array" ref="G397:G427">TRANSPOSE($D$328:$AH$328)</f>
        <v>0</v>
      </c>
      <c r="H397" s="652">
        <f t="array" ref="H397:H427">TRANSPOSE($D$352:$AH$352)</f>
        <v>0</v>
      </c>
      <c r="I397" s="582">
        <f>H130</f>
        <v>0</v>
      </c>
      <c r="J397" s="653">
        <f t="shared" ref="J397" si="136">SUM(E397:I397)</f>
        <v>0</v>
      </c>
      <c r="K397" s="1437">
        <f t="shared" ref="K397:K416" si="137">J397-J361</f>
        <v>0</v>
      </c>
      <c r="L397" s="670" t="str">
        <f>IF((K397-'Children YEAR1'!K397)&gt;0, K397-'Children YEAR1'!K397, "0")</f>
        <v>0</v>
      </c>
    </row>
    <row r="398" spans="2:13" x14ac:dyDescent="0.2">
      <c r="B398" s="654"/>
      <c r="C398" s="655" t="s">
        <v>61</v>
      </c>
      <c r="D398" s="655" t="s">
        <v>41</v>
      </c>
      <c r="E398" s="656">
        <v>0</v>
      </c>
      <c r="F398" s="656">
        <v>0</v>
      </c>
      <c r="G398" s="656">
        <v>0</v>
      </c>
      <c r="H398" s="656">
        <v>0</v>
      </c>
      <c r="I398" s="585">
        <f>H129</f>
        <v>0</v>
      </c>
      <c r="J398" s="657">
        <f t="shared" ref="J398:J427" si="138">SUM(E398:I398)</f>
        <v>0</v>
      </c>
      <c r="K398" s="1438">
        <f t="shared" si="137"/>
        <v>0</v>
      </c>
      <c r="L398" s="671" t="str">
        <f>IF((K398-'Children YEAR1'!K398)&gt;0, K398-'Children YEAR1'!K398, "0")</f>
        <v>0</v>
      </c>
    </row>
    <row r="399" spans="2:13" x14ac:dyDescent="0.2">
      <c r="B399" s="654"/>
      <c r="C399" s="655" t="s">
        <v>15</v>
      </c>
      <c r="D399" s="655" t="s">
        <v>41</v>
      </c>
      <c r="E399" s="656">
        <v>0</v>
      </c>
      <c r="F399" s="656">
        <v>0</v>
      </c>
      <c r="G399" s="656">
        <v>0</v>
      </c>
      <c r="H399" s="656">
        <v>0</v>
      </c>
      <c r="I399" s="585">
        <f>H131</f>
        <v>0</v>
      </c>
      <c r="J399" s="657">
        <f t="shared" si="138"/>
        <v>0</v>
      </c>
      <c r="K399" s="1438">
        <f t="shared" si="137"/>
        <v>0</v>
      </c>
      <c r="L399" s="671" t="str">
        <f>IF((K399-'Children YEAR1'!K399)&gt;0, K399-'Children YEAR1'!K399, "0")</f>
        <v>0</v>
      </c>
    </row>
    <row r="400" spans="2:13" x14ac:dyDescent="0.2">
      <c r="B400" s="654"/>
      <c r="C400" s="655" t="s">
        <v>25</v>
      </c>
      <c r="D400" s="655" t="s">
        <v>44</v>
      </c>
      <c r="E400" s="656">
        <v>0</v>
      </c>
      <c r="F400" s="656">
        <v>0</v>
      </c>
      <c r="G400" s="656">
        <v>0</v>
      </c>
      <c r="H400" s="656">
        <v>0</v>
      </c>
      <c r="I400" s="585"/>
      <c r="J400" s="657">
        <f t="shared" si="138"/>
        <v>0</v>
      </c>
      <c r="K400" s="1438">
        <f t="shared" si="137"/>
        <v>0</v>
      </c>
      <c r="L400" s="671" t="str">
        <f>IF((K400-'Children YEAR1'!K400)&gt;0, K400-'Children YEAR1'!K400, "0")</f>
        <v>0</v>
      </c>
    </row>
    <row r="401" spans="2:12" x14ac:dyDescent="0.2">
      <c r="B401" s="654"/>
      <c r="C401" s="655" t="s">
        <v>28</v>
      </c>
      <c r="D401" s="655" t="s">
        <v>46</v>
      </c>
      <c r="E401" s="656">
        <v>0</v>
      </c>
      <c r="F401" s="656">
        <v>0</v>
      </c>
      <c r="G401" s="656">
        <v>0</v>
      </c>
      <c r="H401" s="656">
        <v>0</v>
      </c>
      <c r="I401" s="585"/>
      <c r="J401" s="657">
        <f t="shared" si="138"/>
        <v>0</v>
      </c>
      <c r="K401" s="1438">
        <f t="shared" si="137"/>
        <v>0</v>
      </c>
      <c r="L401" s="671" t="str">
        <f>IF((K401-'Children YEAR1'!K401)&gt;0, K401-'Children YEAR1'!K401, "0")</f>
        <v>0</v>
      </c>
    </row>
    <row r="402" spans="2:12" x14ac:dyDescent="0.2">
      <c r="B402" s="654"/>
      <c r="C402" s="655" t="s">
        <v>19</v>
      </c>
      <c r="D402" s="655" t="s">
        <v>41</v>
      </c>
      <c r="E402" s="656">
        <v>5.6537207661290321</v>
      </c>
      <c r="F402" s="656">
        <v>16.153487903225809</v>
      </c>
      <c r="G402" s="656">
        <v>0</v>
      </c>
      <c r="H402" s="656">
        <v>0</v>
      </c>
      <c r="I402" s="585">
        <f>H132</f>
        <v>0</v>
      </c>
      <c r="J402" s="657">
        <f t="shared" si="138"/>
        <v>21.807208669354843</v>
      </c>
      <c r="K402" s="1438">
        <f t="shared" si="137"/>
        <v>21.807208669354843</v>
      </c>
      <c r="L402" s="671" t="str">
        <f>IF((K402-'Children YEAR1'!K402)&gt;0, K402-'Children YEAR1'!K402, "0")</f>
        <v>0</v>
      </c>
    </row>
    <row r="403" spans="2:12" x14ac:dyDescent="0.2">
      <c r="B403" s="658"/>
      <c r="C403" s="659" t="s">
        <v>17</v>
      </c>
      <c r="D403" s="659" t="s">
        <v>259</v>
      </c>
      <c r="E403" s="660">
        <v>0</v>
      </c>
      <c r="F403" s="660" t="e">
        <v>#DIV/0!</v>
      </c>
      <c r="G403" s="660" t="e">
        <v>#DIV/0!</v>
      </c>
      <c r="H403" s="660">
        <v>0</v>
      </c>
      <c r="I403" s="672"/>
      <c r="J403" s="661" t="e">
        <f t="shared" si="138"/>
        <v>#DIV/0!</v>
      </c>
      <c r="K403" s="1439" t="e">
        <f t="shared" si="137"/>
        <v>#DIV/0!</v>
      </c>
      <c r="L403" s="671" t="e">
        <f>IF((K403-'Children YEAR1'!K403)&gt;0, K403-'Children YEAR1'!K403, "0")</f>
        <v>#DIV/0!</v>
      </c>
    </row>
    <row r="404" spans="2:12" ht="13.5" thickBot="1" x14ac:dyDescent="0.25">
      <c r="B404" s="662"/>
      <c r="C404" s="663" t="s">
        <v>33</v>
      </c>
      <c r="D404" s="663" t="s">
        <v>47</v>
      </c>
      <c r="E404" s="664">
        <v>283.03918548387099</v>
      </c>
      <c r="F404" s="664">
        <v>807.69116129032261</v>
      </c>
      <c r="G404" s="664">
        <v>0</v>
      </c>
      <c r="H404" s="664">
        <v>0</v>
      </c>
      <c r="I404" s="673"/>
      <c r="J404" s="666">
        <f t="shared" si="138"/>
        <v>1090.7303467741935</v>
      </c>
      <c r="K404" s="1440">
        <f t="shared" si="137"/>
        <v>1090.7303467741935</v>
      </c>
      <c r="L404" s="674" t="str">
        <f>IF((K404-'Children YEAR1'!K404)&gt;0, K404-'Children YEAR1'!K404, "0")</f>
        <v>0</v>
      </c>
    </row>
    <row r="405" spans="2:12" ht="25.5" x14ac:dyDescent="0.2">
      <c r="B405" s="650" t="str">
        <f>'TRAD-Children YEAR(1)'!B91</f>
        <v>Comprimés</v>
      </c>
      <c r="C405" s="408" t="str">
        <f t="array" ref="C405:D427">'Data &amp; hypothesis Children'!$C$238:$D$260</f>
        <v>AZT+ 3TC+ NVP adulte</v>
      </c>
      <c r="D405" s="409" t="str">
        <v>300/150/200 mg</v>
      </c>
      <c r="E405" s="1358">
        <v>0</v>
      </c>
      <c r="F405" s="1358">
        <v>0</v>
      </c>
      <c r="G405" s="1358">
        <v>0</v>
      </c>
      <c r="H405" s="1358">
        <v>0</v>
      </c>
      <c r="I405" s="585"/>
      <c r="J405" s="657">
        <f t="shared" si="138"/>
        <v>0</v>
      </c>
      <c r="K405" s="1438">
        <f t="shared" si="137"/>
        <v>0</v>
      </c>
      <c r="L405" s="670" t="str">
        <f>IF((K405-'Children YEAR1'!K405)&gt;0, K405-'Children YEAR1'!K405, "0")</f>
        <v>0</v>
      </c>
    </row>
    <row r="406" spans="2:12" ht="25.5" x14ac:dyDescent="0.2">
      <c r="B406" s="667"/>
      <c r="C406" s="413" t="str">
        <v>AZT+ 3TC+ NVP bébé</v>
      </c>
      <c r="D406" s="414" t="str">
        <v>60/30/50 mg</v>
      </c>
      <c r="E406" s="656">
        <v>563.35289062499999</v>
      </c>
      <c r="F406" s="656">
        <v>1502.274375</v>
      </c>
      <c r="G406" s="656">
        <v>488.23917187500001</v>
      </c>
      <c r="H406" s="656">
        <v>540.81877499999996</v>
      </c>
      <c r="I406" s="585">
        <f>H135</f>
        <v>0</v>
      </c>
      <c r="J406" s="657">
        <f t="shared" si="138"/>
        <v>3094.6852124999996</v>
      </c>
      <c r="K406" s="1438">
        <f t="shared" si="137"/>
        <v>3094.6852124999996</v>
      </c>
      <c r="L406" s="671" t="str">
        <f>IF((K406-'Children YEAR1'!K406)&gt;0, K406-'Children YEAR1'!K406, "0")</f>
        <v>0</v>
      </c>
    </row>
    <row r="407" spans="2:12" ht="25.5" x14ac:dyDescent="0.2">
      <c r="B407" s="668"/>
      <c r="C407" s="413" t="str">
        <v>AZT+ 3TC adulte</v>
      </c>
      <c r="D407" s="414" t="str">
        <v>300/150 mg</v>
      </c>
      <c r="E407" s="656">
        <v>0</v>
      </c>
      <c r="F407" s="656">
        <v>0</v>
      </c>
      <c r="G407" s="656">
        <v>0</v>
      </c>
      <c r="H407" s="656">
        <v>0</v>
      </c>
      <c r="I407" s="585"/>
      <c r="J407" s="1327">
        <f t="shared" si="138"/>
        <v>0</v>
      </c>
      <c r="K407" s="1441">
        <f t="shared" si="137"/>
        <v>0</v>
      </c>
      <c r="L407" s="671" t="str">
        <f>IF((K407-'Children YEAR1'!K407)&gt;0, K407-'Children YEAR1'!K407, "0")</f>
        <v>0</v>
      </c>
    </row>
    <row r="408" spans="2:12" x14ac:dyDescent="0.2">
      <c r="B408" s="668"/>
      <c r="C408" s="413" t="str">
        <v>AZT+ 3TC bébé</v>
      </c>
      <c r="D408" s="414" t="str">
        <v>60/30 mg</v>
      </c>
      <c r="E408" s="656">
        <v>283.03918548387099</v>
      </c>
      <c r="F408" s="656">
        <v>808.07767137096778</v>
      </c>
      <c r="G408" s="656" t="e">
        <v>#DIV/0!</v>
      </c>
      <c r="H408" s="656">
        <v>284.51118048387099</v>
      </c>
      <c r="I408" s="585">
        <f>H136</f>
        <v>0</v>
      </c>
      <c r="J408" s="1327" t="e">
        <f t="shared" si="138"/>
        <v>#DIV/0!</v>
      </c>
      <c r="K408" s="1441" t="e">
        <f t="shared" si="137"/>
        <v>#DIV/0!</v>
      </c>
      <c r="L408" s="671" t="e">
        <f>IF((K408-'Children YEAR1'!K408)&gt;0, K408-'Children YEAR1'!K408, "0")</f>
        <v>#DIV/0!</v>
      </c>
    </row>
    <row r="409" spans="2:12" ht="25.5" x14ac:dyDescent="0.2">
      <c r="B409" s="668"/>
      <c r="C409" s="413" t="str">
        <v>D4T+ 3TC+ NVP adulte</v>
      </c>
      <c r="D409" s="414" t="str">
        <v>30/150/200 mg</v>
      </c>
      <c r="E409" s="656">
        <v>0</v>
      </c>
      <c r="F409" s="656">
        <v>0</v>
      </c>
      <c r="G409" s="656">
        <v>0</v>
      </c>
      <c r="H409" s="656">
        <v>0</v>
      </c>
      <c r="I409" s="585"/>
      <c r="J409" s="1327">
        <f t="shared" si="138"/>
        <v>0</v>
      </c>
      <c r="K409" s="1441">
        <f t="shared" si="137"/>
        <v>0</v>
      </c>
      <c r="L409" s="671" t="str">
        <f>IF((K409-'Children YEAR1'!K409)&gt;0, K409-'Children YEAR1'!K409, "0")</f>
        <v>0</v>
      </c>
    </row>
    <row r="410" spans="2:12" ht="25.5" x14ac:dyDescent="0.2">
      <c r="B410" s="668"/>
      <c r="C410" s="413" t="str">
        <v>D4T+ 3TC+ NVP bébé</v>
      </c>
      <c r="D410" s="414" t="str">
        <v>6/30/50 mg</v>
      </c>
      <c r="E410" s="656">
        <v>0</v>
      </c>
      <c r="F410" s="656">
        <v>0</v>
      </c>
      <c r="G410" s="656">
        <v>0</v>
      </c>
      <c r="H410" s="656">
        <v>0</v>
      </c>
      <c r="I410" s="585">
        <f>H133</f>
        <v>0</v>
      </c>
      <c r="J410" s="1327">
        <f t="shared" si="138"/>
        <v>0</v>
      </c>
      <c r="K410" s="1441">
        <f t="shared" si="137"/>
        <v>0</v>
      </c>
      <c r="L410" s="671" t="str">
        <f>IF((K410-'Children YEAR1'!K410)&gt;0, K410-'Children YEAR1'!K410, "0")</f>
        <v>0</v>
      </c>
    </row>
    <row r="411" spans="2:12" x14ac:dyDescent="0.2">
      <c r="B411" s="668"/>
      <c r="C411" s="413" t="str">
        <v>D4T+ 3TC bébé</v>
      </c>
      <c r="D411" s="414" t="str">
        <v>6/30 mg</v>
      </c>
      <c r="E411" s="656">
        <v>0</v>
      </c>
      <c r="F411" s="656">
        <v>0</v>
      </c>
      <c r="G411" s="656">
        <v>0</v>
      </c>
      <c r="H411" s="656">
        <v>0</v>
      </c>
      <c r="I411" s="585">
        <f>H134</f>
        <v>0</v>
      </c>
      <c r="J411" s="1327">
        <f t="shared" ref="J411" si="139">SUM(E411:I411)</f>
        <v>0</v>
      </c>
      <c r="K411" s="1441">
        <f t="shared" si="137"/>
        <v>0</v>
      </c>
      <c r="L411" s="671" t="str">
        <f>IF((K411-'Children YEAR1'!K411)&gt;0, K411-'Children YEAR1'!K411, "0")</f>
        <v>0</v>
      </c>
    </row>
    <row r="412" spans="2:12" ht="25.5" x14ac:dyDescent="0.2">
      <c r="B412" s="668"/>
      <c r="C412" s="413" t="str">
        <v>AZT+ 3TC+ ABC adulte</v>
      </c>
      <c r="D412" s="414" t="str">
        <v>300/150/300 mg</v>
      </c>
      <c r="E412" s="656">
        <v>0</v>
      </c>
      <c r="F412" s="656">
        <v>0</v>
      </c>
      <c r="G412" s="656">
        <v>0</v>
      </c>
      <c r="H412" s="656">
        <v>0</v>
      </c>
      <c r="I412" s="585"/>
      <c r="J412" s="1327">
        <f t="shared" si="138"/>
        <v>0</v>
      </c>
      <c r="K412" s="1441">
        <f t="shared" si="137"/>
        <v>0</v>
      </c>
      <c r="L412" s="671" t="str">
        <f>IF((K412-'Children YEAR1'!K412)&gt;0, K412-'Children YEAR1'!K412, "0")</f>
        <v>0</v>
      </c>
    </row>
    <row r="413" spans="2:12" ht="25.5" x14ac:dyDescent="0.2">
      <c r="B413" s="668"/>
      <c r="C413" s="413" t="str">
        <v>AZT+ 3TC+ ABC bébé</v>
      </c>
      <c r="D413" s="414" t="str">
        <v>60/30/60 mg</v>
      </c>
      <c r="E413" s="656">
        <v>0</v>
      </c>
      <c r="F413" s="656">
        <v>0</v>
      </c>
      <c r="G413" s="656">
        <v>0</v>
      </c>
      <c r="H413" s="656">
        <v>0</v>
      </c>
      <c r="I413" s="585"/>
      <c r="J413" s="1327">
        <f t="shared" si="138"/>
        <v>0</v>
      </c>
      <c r="K413" s="1441">
        <f t="shared" si="137"/>
        <v>0</v>
      </c>
      <c r="L413" s="671" t="str">
        <f>IF((K413-'Children YEAR1'!K413)&gt;0, K413-'Children YEAR1'!K413, "0")</f>
        <v>0</v>
      </c>
    </row>
    <row r="414" spans="2:12" ht="25.5" x14ac:dyDescent="0.2">
      <c r="B414" s="668"/>
      <c r="C414" s="413" t="str">
        <v>ABC+ 3TC adulte</v>
      </c>
      <c r="D414" s="414" t="str">
        <v>600/300 mg</v>
      </c>
      <c r="E414" s="656">
        <v>0</v>
      </c>
      <c r="F414" s="656">
        <v>0</v>
      </c>
      <c r="G414" s="656">
        <v>0</v>
      </c>
      <c r="H414" s="656">
        <v>0</v>
      </c>
      <c r="I414" s="585"/>
      <c r="J414" s="1327">
        <f t="shared" si="138"/>
        <v>0</v>
      </c>
      <c r="K414" s="1441">
        <f t="shared" si="137"/>
        <v>0</v>
      </c>
      <c r="L414" s="671" t="str">
        <f>IF((K414-'Children YEAR1'!K414)&gt;0, K414-'Children YEAR1'!K414, "0")</f>
        <v>0</v>
      </c>
    </row>
    <row r="415" spans="2:12" x14ac:dyDescent="0.2">
      <c r="B415" s="668"/>
      <c r="C415" s="418" t="str">
        <v>ABC+ 3TC bébé</v>
      </c>
      <c r="D415" s="419" t="str">
        <v>60/30 mg</v>
      </c>
      <c r="E415" s="1326">
        <v>0</v>
      </c>
      <c r="F415" s="1326" t="e">
        <v>#DIV/0!</v>
      </c>
      <c r="G415" s="1326" t="e">
        <v>#DIV/0!</v>
      </c>
      <c r="H415" s="1326" t="e">
        <v>#DIV/0!</v>
      </c>
      <c r="I415" s="585"/>
      <c r="J415" s="1327" t="e">
        <f t="shared" si="138"/>
        <v>#DIV/0!</v>
      </c>
      <c r="K415" s="1441" t="e">
        <f t="shared" si="137"/>
        <v>#DIV/0!</v>
      </c>
      <c r="L415" s="671" t="e">
        <f>IF((K415-'Children YEAR1'!K415)&gt;0, K415-'Children YEAR1'!K415, "0")</f>
        <v>#DIV/0!</v>
      </c>
    </row>
    <row r="416" spans="2:12" ht="25.5" x14ac:dyDescent="0.2">
      <c r="B416" s="668"/>
      <c r="C416" s="418" t="str">
        <v>TDF+ FTC/3TC+ EFV adulte</v>
      </c>
      <c r="D416" s="419" t="str">
        <v>300/200/600 mg</v>
      </c>
      <c r="E416" s="1963">
        <v>0</v>
      </c>
      <c r="F416" s="1963">
        <v>0</v>
      </c>
      <c r="G416" s="1963">
        <v>0</v>
      </c>
      <c r="H416" s="1963">
        <v>0</v>
      </c>
      <c r="I416" s="585"/>
      <c r="J416" s="1327">
        <f>SUM(E416:I416)</f>
        <v>0</v>
      </c>
      <c r="K416" s="1441">
        <f t="shared" si="137"/>
        <v>0</v>
      </c>
      <c r="L416" s="671" t="str">
        <f>IF((K416-'Children YEAR1'!K416)&gt;0, K416-'Children YEAR1'!K416, "0")</f>
        <v>0</v>
      </c>
    </row>
    <row r="417" spans="1:14" ht="25.5" x14ac:dyDescent="0.2">
      <c r="B417" s="668"/>
      <c r="C417" s="418" t="str">
        <v>TDF+ FTC/3TC adulte</v>
      </c>
      <c r="D417" s="419" t="str">
        <v>300/200 mg</v>
      </c>
      <c r="E417" s="1963">
        <v>0</v>
      </c>
      <c r="F417" s="1963">
        <v>0</v>
      </c>
      <c r="G417" s="1963">
        <v>0</v>
      </c>
      <c r="H417" s="1963" t="e">
        <v>#DIV/0!</v>
      </c>
      <c r="I417" s="585"/>
      <c r="J417" s="1327" t="e">
        <f t="shared" ref="J417:J418" si="140">SUM(E417:I417)</f>
        <v>#DIV/0!</v>
      </c>
      <c r="K417" s="1441" t="e">
        <f t="shared" ref="K417:K418" si="141">J417-J381</f>
        <v>#DIV/0!</v>
      </c>
      <c r="L417" s="671" t="e">
        <f>IF((K417-'Children YEAR1'!K417)&gt;0, K417-'Children YEAR1'!K417, "0")</f>
        <v>#DIV/0!</v>
      </c>
    </row>
    <row r="418" spans="1:14" x14ac:dyDescent="0.2">
      <c r="B418" s="668"/>
      <c r="C418" s="418" t="str">
        <v>TDF adulte</v>
      </c>
      <c r="D418" s="419" t="str">
        <v>300 mg</v>
      </c>
      <c r="E418" s="1963">
        <v>0</v>
      </c>
      <c r="F418" s="1963">
        <v>0</v>
      </c>
      <c r="G418" s="1963">
        <v>0</v>
      </c>
      <c r="H418" s="1963">
        <v>0</v>
      </c>
      <c r="I418" s="585"/>
      <c r="J418" s="1327">
        <f t="shared" si="140"/>
        <v>0</v>
      </c>
      <c r="K418" s="1441">
        <f t="shared" si="141"/>
        <v>0</v>
      </c>
      <c r="L418" s="671" t="str">
        <f>IF((K418-'Children YEAR1'!K418)&gt;0, K418-'Children YEAR1'!K418, "0")</f>
        <v>0</v>
      </c>
    </row>
    <row r="419" spans="1:14" x14ac:dyDescent="0.2">
      <c r="B419" s="668"/>
      <c r="C419" s="418" t="str">
        <v>3TC adulte</v>
      </c>
      <c r="D419" s="419" t="str">
        <v>150 mg</v>
      </c>
      <c r="E419" s="1326">
        <v>0</v>
      </c>
      <c r="F419" s="1326">
        <v>0</v>
      </c>
      <c r="G419" s="1326">
        <v>0</v>
      </c>
      <c r="H419" s="1326">
        <v>0</v>
      </c>
      <c r="I419" s="585"/>
      <c r="J419" s="1327">
        <f t="shared" si="138"/>
        <v>0</v>
      </c>
      <c r="K419" s="1441">
        <f t="shared" ref="K419:K427" si="142">J419-J383</f>
        <v>0</v>
      </c>
      <c r="L419" s="671" t="str">
        <f>IF((K419-'Children YEAR1'!K419)&gt;0, K419-'Children YEAR1'!K419, "0")</f>
        <v>0</v>
      </c>
    </row>
    <row r="420" spans="1:14" x14ac:dyDescent="0.2">
      <c r="B420" s="668"/>
      <c r="C420" s="413" t="str">
        <v>ABC adulte</v>
      </c>
      <c r="D420" s="419" t="str">
        <v>300 mg</v>
      </c>
      <c r="E420" s="1358">
        <v>0</v>
      </c>
      <c r="F420" s="1358">
        <v>0</v>
      </c>
      <c r="G420" s="1358">
        <v>0</v>
      </c>
      <c r="H420" s="1358">
        <v>0</v>
      </c>
      <c r="I420" s="585"/>
      <c r="J420" s="1327">
        <f t="shared" si="138"/>
        <v>0</v>
      </c>
      <c r="K420" s="1441">
        <f t="shared" si="142"/>
        <v>0</v>
      </c>
      <c r="L420" s="671" t="str">
        <f>IF((K420-'Children YEAR1'!K420)&gt;0, K420-'Children YEAR1'!K420, "0")</f>
        <v>0</v>
      </c>
    </row>
    <row r="421" spans="1:14" x14ac:dyDescent="0.2">
      <c r="B421" s="668"/>
      <c r="C421" s="413" t="str">
        <v>ABC bébé</v>
      </c>
      <c r="D421" s="419" t="str">
        <v>60 mg</v>
      </c>
      <c r="E421" s="1358" t="e">
        <v>#DIV/0!</v>
      </c>
      <c r="F421" s="1358">
        <v>0</v>
      </c>
      <c r="G421" s="1358">
        <v>0</v>
      </c>
      <c r="H421" s="1358">
        <v>0</v>
      </c>
      <c r="I421" s="585"/>
      <c r="J421" s="1327" t="e">
        <f t="shared" si="138"/>
        <v>#DIV/0!</v>
      </c>
      <c r="K421" s="1441" t="e">
        <f t="shared" si="142"/>
        <v>#DIV/0!</v>
      </c>
      <c r="L421" s="671" t="e">
        <f>IF((K421-'Children YEAR1'!K421)&gt;0, K421-'Children YEAR1'!K421, "0")</f>
        <v>#DIV/0!</v>
      </c>
    </row>
    <row r="422" spans="1:14" x14ac:dyDescent="0.2">
      <c r="B422" s="668"/>
      <c r="C422" s="413" t="str">
        <v>DDI adulte</v>
      </c>
      <c r="D422" s="419" t="str">
        <v>250 mg</v>
      </c>
      <c r="E422" s="1358">
        <v>0</v>
      </c>
      <c r="F422" s="1358">
        <v>0</v>
      </c>
      <c r="G422" s="1358">
        <v>0</v>
      </c>
      <c r="H422" s="1358">
        <v>0</v>
      </c>
      <c r="I422" s="585"/>
      <c r="J422" s="657">
        <f t="shared" si="138"/>
        <v>0</v>
      </c>
      <c r="K422" s="1438">
        <f t="shared" si="142"/>
        <v>0</v>
      </c>
      <c r="L422" s="671" t="str">
        <f>IF((K422-'Children YEAR1'!K422)&gt;0, K422-'Children YEAR1'!K422, "0")</f>
        <v>0</v>
      </c>
    </row>
    <row r="423" spans="1:14" x14ac:dyDescent="0.2">
      <c r="B423" s="668"/>
      <c r="C423" s="413" t="str">
        <v>NVP adulte</v>
      </c>
      <c r="D423" s="419" t="str">
        <v>200 mg</v>
      </c>
      <c r="E423" s="1358">
        <v>0</v>
      </c>
      <c r="F423" s="1358">
        <v>0</v>
      </c>
      <c r="G423" s="1358">
        <v>0</v>
      </c>
      <c r="H423" s="1358">
        <v>0</v>
      </c>
      <c r="I423" s="585"/>
      <c r="J423" s="657">
        <f t="shared" ref="J423" si="143">SUM(E423:I423)</f>
        <v>0</v>
      </c>
      <c r="K423" s="1438">
        <f t="shared" si="142"/>
        <v>0</v>
      </c>
      <c r="L423" s="671" t="str">
        <f>IF((K423-'Children YEAR1'!K423)&gt;0, K423-'Children YEAR1'!K423, "0")</f>
        <v>0</v>
      </c>
    </row>
    <row r="424" spans="1:14" x14ac:dyDescent="0.2">
      <c r="B424" s="668"/>
      <c r="C424" s="413" t="str">
        <v>NVP bébé</v>
      </c>
      <c r="D424" s="419" t="str">
        <v>50 mg</v>
      </c>
      <c r="E424" s="1358">
        <v>0</v>
      </c>
      <c r="F424" s="1358">
        <v>12.922790322580646</v>
      </c>
      <c r="G424" s="1358">
        <v>4.1999068548387095</v>
      </c>
      <c r="H424" s="1358">
        <v>4.6522045161290322</v>
      </c>
      <c r="I424" s="585"/>
      <c r="J424" s="657">
        <f t="shared" ref="J424" si="144">SUM(E424:I424)</f>
        <v>21.774901693548387</v>
      </c>
      <c r="K424" s="1438">
        <f t="shared" si="142"/>
        <v>21.774901693548387</v>
      </c>
      <c r="L424" s="671" t="str">
        <f>IF((K424-'Children YEAR1'!K424)&gt;0, K424-'Children YEAR1'!K424, "0")</f>
        <v>0</v>
      </c>
    </row>
    <row r="425" spans="1:14" x14ac:dyDescent="0.2">
      <c r="B425" s="668"/>
      <c r="C425" s="413" t="str">
        <v>EFV enfant</v>
      </c>
      <c r="D425" s="419" t="str">
        <v>200 mg</v>
      </c>
      <c r="E425" s="1358">
        <v>0</v>
      </c>
      <c r="F425" s="1358">
        <v>26.653255040322581</v>
      </c>
      <c r="G425" s="1358" t="e">
        <v>#DIV/0!</v>
      </c>
      <c r="H425" s="1358" t="e">
        <v>#DIV/0!</v>
      </c>
      <c r="I425" s="585"/>
      <c r="J425" s="657" t="e">
        <f t="shared" si="138"/>
        <v>#DIV/0!</v>
      </c>
      <c r="K425" s="1438" t="e">
        <f t="shared" si="142"/>
        <v>#DIV/0!</v>
      </c>
      <c r="L425" s="671" t="e">
        <f>IF((K425-'Children YEAR1'!K425)&gt;0, K425-'Children YEAR1'!K425, "0")</f>
        <v>#DIV/0!</v>
      </c>
    </row>
    <row r="426" spans="1:14" x14ac:dyDescent="0.2">
      <c r="B426" s="668"/>
      <c r="C426" s="413" t="str">
        <v>LPV/r adulte</v>
      </c>
      <c r="D426" s="419" t="str">
        <v>200/50 mg</v>
      </c>
      <c r="E426" s="1358">
        <v>0</v>
      </c>
      <c r="F426" s="1358">
        <v>0</v>
      </c>
      <c r="G426" s="1358">
        <v>0</v>
      </c>
      <c r="H426" s="1358">
        <v>0</v>
      </c>
      <c r="I426" s="585"/>
      <c r="J426" s="657">
        <f t="shared" si="138"/>
        <v>0</v>
      </c>
      <c r="K426" s="1438">
        <f t="shared" si="142"/>
        <v>0</v>
      </c>
      <c r="L426" s="671" t="str">
        <f>IF((K426-'Children YEAR1'!K426)&gt;0, K426-'Children YEAR1'!K426, "0")</f>
        <v>0</v>
      </c>
    </row>
    <row r="427" spans="1:14" ht="13.5" thickBot="1" x14ac:dyDescent="0.25">
      <c r="B427" s="669"/>
      <c r="C427" s="422" t="str">
        <v>LPV/r enfant</v>
      </c>
      <c r="D427" s="423" t="str">
        <v>100/25 mg</v>
      </c>
      <c r="E427" s="1359">
        <v>0</v>
      </c>
      <c r="F427" s="1359" t="e">
        <v>#DIV/0!</v>
      </c>
      <c r="G427" s="1359" t="e">
        <v>#DIV/0!</v>
      </c>
      <c r="H427" s="1359" t="e">
        <v>#DIV/0!</v>
      </c>
      <c r="I427" s="665"/>
      <c r="J427" s="666" t="e">
        <f t="shared" si="138"/>
        <v>#DIV/0!</v>
      </c>
      <c r="K427" s="1440" t="e">
        <f t="shared" si="142"/>
        <v>#DIV/0!</v>
      </c>
      <c r="L427" s="674" t="e">
        <f>IF((K427-'Children YEAR1'!K427)&gt;0, K427-'Children YEAR1'!K427, "0")</f>
        <v>#DIV/0!</v>
      </c>
    </row>
    <row r="430" spans="1:14" s="263" customFormat="1" ht="15.75" thickBot="1" x14ac:dyDescent="0.3">
      <c r="A430" s="2196" t="str">
        <f>'TRAD-Children YEAR(1)'!B132</f>
        <v>Synthèse</v>
      </c>
      <c r="B430" s="2196"/>
      <c r="C430" s="2196"/>
      <c r="D430" s="2196"/>
      <c r="E430" s="2196"/>
      <c r="F430" s="2196"/>
      <c r="G430" s="2196"/>
      <c r="H430" s="2196"/>
      <c r="I430" s="2196"/>
      <c r="J430" s="2196"/>
      <c r="K430" s="2196"/>
      <c r="L430" s="2196"/>
      <c r="M430" s="2196"/>
      <c r="N430" s="2196"/>
    </row>
    <row r="431" spans="1:14" x14ac:dyDescent="0.2">
      <c r="G431" s="497"/>
      <c r="H431" s="497"/>
    </row>
    <row r="432" spans="1:14" ht="15" x14ac:dyDescent="0.2">
      <c r="B432" s="2143" t="str">
        <f>'TRAD-Children YEAR(2)'!B28</f>
        <v>Quantification des besoins en ARV pour la prise en charge pédiatrique sur l'année 1</v>
      </c>
      <c r="C432" s="2143"/>
      <c r="D432" s="2143"/>
      <c r="E432" s="2143"/>
      <c r="F432" s="2143"/>
      <c r="G432" s="2143"/>
      <c r="H432" s="2143"/>
      <c r="I432" s="2143"/>
      <c r="J432" s="2143"/>
      <c r="K432" s="2143"/>
      <c r="L432" s="2143"/>
      <c r="M432" s="2143"/>
    </row>
    <row r="433" spans="2:12" ht="13.5" thickBot="1" x14ac:dyDescent="0.25">
      <c r="G433" s="675"/>
      <c r="H433" s="675"/>
    </row>
    <row r="434" spans="2:12" ht="102.75" thickBot="1" x14ac:dyDescent="0.25">
      <c r="B434" s="676"/>
      <c r="C434" s="368" t="str">
        <f>'TRAD-Children YEAR(1)'!B67</f>
        <v>Composition</v>
      </c>
      <c r="D434" s="369" t="str">
        <f>'TRAD-Children YEAR(1)'!B54</f>
        <v xml:space="preserve">Forme galénique </v>
      </c>
      <c r="E434" s="369" t="str">
        <f>'TRAD-Children YEAR(1)'!B68</f>
        <v>Dosage</v>
      </c>
      <c r="F434" s="369" t="str">
        <f>'TRAD-Children YEAR(1)'!B69</f>
        <v>Nom de spécialité</v>
      </c>
      <c r="G434" s="369"/>
      <c r="H434" s="369" t="str">
        <f>'TRAD-Children YEAR(1)'!B70</f>
        <v>Volume conditionnement primaire (mL)</v>
      </c>
      <c r="I434" s="370" t="str">
        <f>'TRAD-Children YEAR(1)'!B71</f>
        <v>Conditionement secondaire</v>
      </c>
      <c r="J434" s="643" t="str">
        <f>'TRAD-Children YEAR(1)'!B73</f>
        <v>Qtés totales Nb de boites / flacons</v>
      </c>
      <c r="K434" s="643" t="str">
        <f>'TRAD-Children YEAR(1)'!B148</f>
        <v>Différence de marge de sécurité / année précédente (nb de boites / flacons)</v>
      </c>
      <c r="L434" s="677" t="str">
        <f>'TRAD-Children YEAR(1)'!B149</f>
        <v>Total + Différence de marge (nb de boîtes / flacons)</v>
      </c>
    </row>
    <row r="435" spans="2:12" x14ac:dyDescent="0.2">
      <c r="B435" s="676" t="str">
        <f>'TRAD-Children YEAR(1)'!B90</f>
        <v>Solutions buvables</v>
      </c>
      <c r="C435" s="607" t="s">
        <v>39</v>
      </c>
      <c r="D435" s="611" t="str">
        <f>'TRAD-Children YEAR(1)'!B74</f>
        <v>sol buv</v>
      </c>
      <c r="E435" s="611" t="s">
        <v>41</v>
      </c>
      <c r="F435" s="374" t="s">
        <v>42</v>
      </c>
      <c r="G435" s="374"/>
      <c r="H435" s="410">
        <f>G141</f>
        <v>240</v>
      </c>
      <c r="I435" s="411">
        <f>H141</f>
        <v>1</v>
      </c>
      <c r="J435" s="678">
        <f>J361</f>
        <v>0</v>
      </c>
      <c r="K435" s="679" t="str">
        <f t="shared" ref="K435:K442" si="145">L397</f>
        <v>0</v>
      </c>
      <c r="L435" s="1360">
        <f>J435+K435</f>
        <v>0</v>
      </c>
    </row>
    <row r="436" spans="2:12" x14ac:dyDescent="0.2">
      <c r="B436" s="680"/>
      <c r="C436" s="608" t="s">
        <v>61</v>
      </c>
      <c r="D436" s="613" t="str">
        <f>'TRAD-Children YEAR(1)'!B74</f>
        <v>sol buv</v>
      </c>
      <c r="E436" s="613" t="s">
        <v>41</v>
      </c>
      <c r="F436" s="382" t="s">
        <v>133</v>
      </c>
      <c r="G436" s="382"/>
      <c r="H436" s="415">
        <f t="shared" ref="H436:I442" si="146">G142</f>
        <v>240</v>
      </c>
      <c r="I436" s="416">
        <f t="shared" si="146"/>
        <v>1</v>
      </c>
      <c r="J436" s="681">
        <f>J362</f>
        <v>0</v>
      </c>
      <c r="K436" s="682" t="str">
        <f t="shared" si="145"/>
        <v>0</v>
      </c>
      <c r="L436" s="1361">
        <f t="shared" ref="L436:L442" si="147">J436+K436</f>
        <v>0</v>
      </c>
    </row>
    <row r="437" spans="2:12" x14ac:dyDescent="0.2">
      <c r="B437" s="680"/>
      <c r="C437" s="615" t="s">
        <v>15</v>
      </c>
      <c r="D437" s="616" t="str">
        <f>'TRAD-Children YEAR(1)'!B74</f>
        <v>sol buv</v>
      </c>
      <c r="E437" s="616" t="s">
        <v>41</v>
      </c>
      <c r="F437" s="391" t="s">
        <v>43</v>
      </c>
      <c r="G437" s="391"/>
      <c r="H437" s="420">
        <f t="shared" si="146"/>
        <v>240</v>
      </c>
      <c r="I437" s="421">
        <f t="shared" si="146"/>
        <v>1</v>
      </c>
      <c r="J437" s="683">
        <f>ROUNDUP(J363, 0)</f>
        <v>0</v>
      </c>
      <c r="K437" s="684" t="str">
        <f t="shared" si="145"/>
        <v>0</v>
      </c>
      <c r="L437" s="1361">
        <f t="shared" si="147"/>
        <v>0</v>
      </c>
    </row>
    <row r="438" spans="2:12" x14ac:dyDescent="0.2">
      <c r="B438" s="680"/>
      <c r="C438" s="615" t="s">
        <v>25</v>
      </c>
      <c r="D438" s="616" t="str">
        <f>'TRAD-Children YEAR(1)'!B74</f>
        <v>sol buv</v>
      </c>
      <c r="E438" s="616" t="s">
        <v>44</v>
      </c>
      <c r="F438" s="391" t="s">
        <v>26</v>
      </c>
      <c r="G438" s="391"/>
      <c r="H438" s="420">
        <f t="shared" si="146"/>
        <v>240</v>
      </c>
      <c r="I438" s="421">
        <f t="shared" si="146"/>
        <v>1</v>
      </c>
      <c r="J438" s="683">
        <f>ROUNDUP(J364, 0)</f>
        <v>0</v>
      </c>
      <c r="K438" s="684" t="str">
        <f t="shared" si="145"/>
        <v>0</v>
      </c>
      <c r="L438" s="1361">
        <f t="shared" si="147"/>
        <v>0</v>
      </c>
    </row>
    <row r="439" spans="2:12" x14ac:dyDescent="0.2">
      <c r="B439" s="680"/>
      <c r="C439" s="615" t="s">
        <v>28</v>
      </c>
      <c r="D439" s="616" t="str">
        <f>'TRAD-Children YEAR(1)'!B74</f>
        <v>sol buv</v>
      </c>
      <c r="E439" s="616" t="s">
        <v>46</v>
      </c>
      <c r="F439" s="391" t="s">
        <v>30</v>
      </c>
      <c r="G439" s="391"/>
      <c r="H439" s="420">
        <f t="shared" si="146"/>
        <v>200</v>
      </c>
      <c r="I439" s="421">
        <f t="shared" si="146"/>
        <v>1</v>
      </c>
      <c r="J439" s="683">
        <f>J365</f>
        <v>0</v>
      </c>
      <c r="K439" s="684" t="str">
        <f t="shared" si="145"/>
        <v>0</v>
      </c>
      <c r="L439" s="1361">
        <f t="shared" si="147"/>
        <v>0</v>
      </c>
    </row>
    <row r="440" spans="2:12" x14ac:dyDescent="0.2">
      <c r="B440" s="680"/>
      <c r="C440" s="615" t="s">
        <v>19</v>
      </c>
      <c r="D440" s="616" t="str">
        <f>'TRAD-Children YEAR(1)'!B74</f>
        <v>sol buv</v>
      </c>
      <c r="E440" s="616" t="s">
        <v>41</v>
      </c>
      <c r="F440" s="391" t="s">
        <v>21</v>
      </c>
      <c r="G440" s="391"/>
      <c r="H440" s="420">
        <f t="shared" si="146"/>
        <v>240</v>
      </c>
      <c r="I440" s="421">
        <f t="shared" si="146"/>
        <v>1</v>
      </c>
      <c r="J440" s="683">
        <f>J366</f>
        <v>0</v>
      </c>
      <c r="K440" s="684" t="str">
        <f t="shared" si="145"/>
        <v>0</v>
      </c>
      <c r="L440" s="1361">
        <f t="shared" si="147"/>
        <v>0</v>
      </c>
    </row>
    <row r="441" spans="2:12" x14ac:dyDescent="0.2">
      <c r="B441" s="680"/>
      <c r="C441" s="615" t="s">
        <v>17</v>
      </c>
      <c r="D441" s="616" t="str">
        <f>'TRAD-Children YEAR(1)'!B74</f>
        <v>sol buv</v>
      </c>
      <c r="E441" s="616" t="s">
        <v>259</v>
      </c>
      <c r="F441" s="391" t="s">
        <v>249</v>
      </c>
      <c r="G441" s="391"/>
      <c r="H441" s="420">
        <f t="shared" si="146"/>
        <v>180</v>
      </c>
      <c r="I441" s="421">
        <f t="shared" si="146"/>
        <v>1</v>
      </c>
      <c r="J441" s="683" t="e">
        <f>J367</f>
        <v>#DIV/0!</v>
      </c>
      <c r="K441" s="684" t="e">
        <f t="shared" si="145"/>
        <v>#DIV/0!</v>
      </c>
      <c r="L441" s="1361" t="e">
        <f t="shared" si="147"/>
        <v>#DIV/0!</v>
      </c>
    </row>
    <row r="442" spans="2:12" ht="13.5" thickBot="1" x14ac:dyDescent="0.25">
      <c r="B442" s="685"/>
      <c r="C442" s="615" t="s">
        <v>33</v>
      </c>
      <c r="D442" s="616" t="str">
        <f>'TRAD-Children YEAR(1)'!B74</f>
        <v>sol buv</v>
      </c>
      <c r="E442" s="616" t="s">
        <v>47</v>
      </c>
      <c r="F442" s="391" t="s">
        <v>48</v>
      </c>
      <c r="G442" s="391"/>
      <c r="H442" s="420">
        <f t="shared" si="146"/>
        <v>60</v>
      </c>
      <c r="I442" s="421">
        <f t="shared" si="146"/>
        <v>4</v>
      </c>
      <c r="J442" s="683">
        <f>ROUNDUP(J368, 0)</f>
        <v>0</v>
      </c>
      <c r="K442" s="684" t="str">
        <f t="shared" si="145"/>
        <v>0</v>
      </c>
      <c r="L442" s="1362">
        <f t="shared" si="147"/>
        <v>0</v>
      </c>
    </row>
    <row r="443" spans="2:12" ht="102.75" thickBot="1" x14ac:dyDescent="0.25">
      <c r="B443" s="685"/>
      <c r="C443" s="368" t="str">
        <f>'TRAD-Children YEAR(1)'!B67</f>
        <v>Composition</v>
      </c>
      <c r="D443" s="369" t="str">
        <f>'TRAD-Children YEAR(1)'!B54</f>
        <v xml:space="preserve">Forme galénique </v>
      </c>
      <c r="E443" s="369" t="str">
        <f>'TRAD-Children YEAR(1)'!B68</f>
        <v>Dosage</v>
      </c>
      <c r="F443" s="369" t="str">
        <f>'TRAD-Children YEAR(1)'!B69</f>
        <v>Nom de spécialité</v>
      </c>
      <c r="G443" s="369" t="str">
        <f>'TRAD-Children YEAR(1)'!B135</f>
        <v>Nom de générique possible</v>
      </c>
      <c r="H443" s="369" t="str">
        <f>'TRAD-Children YEAR(1)'!B136</f>
        <v>Conditionnement</v>
      </c>
      <c r="I443" s="370"/>
      <c r="J443" s="643" t="str">
        <f>'TRAD-Children YEAR(1)'!B73</f>
        <v>Qtés totales Nb de boites / flacons</v>
      </c>
      <c r="K443" s="643" t="str">
        <f>'TRAD-Children YEAR(1)'!B148</f>
        <v>Différence de marge de sécurité / année précédente (nb de boites / flacons)</v>
      </c>
      <c r="L443" s="677" t="str">
        <f>'TRAD-Children YEAR(1)'!B149</f>
        <v>Total + Différence de marge (nb de boîtes / flacons)</v>
      </c>
    </row>
    <row r="444" spans="2:12" x14ac:dyDescent="0.2">
      <c r="B444" s="676" t="str">
        <f>'TRAD-Children YEAR(1)'!B91</f>
        <v>Comprimés</v>
      </c>
      <c r="C444" s="1978" t="str">
        <f t="array" ref="C444:C454">'Data &amp; hypothesis Children'!$C$238:$D$260</f>
        <v>AZT+ 3TC+ NVP adulte</v>
      </c>
      <c r="D444" s="611" t="str">
        <f>'TRAD-Children YEAR(1)'!B91</f>
        <v>Comprimés</v>
      </c>
      <c r="E444" s="611" t="s">
        <v>9</v>
      </c>
      <c r="F444" s="374"/>
      <c r="G444" s="374" t="s">
        <v>10</v>
      </c>
      <c r="H444" s="410">
        <f>'Available Stocks'!K13</f>
        <v>60</v>
      </c>
      <c r="I444" s="411"/>
      <c r="J444" s="678">
        <f t="shared" ref="J444:J450" si="148">J369</f>
        <v>0</v>
      </c>
      <c r="K444" s="679" t="str">
        <f t="shared" ref="K444:K450" si="149">L405</f>
        <v>0</v>
      </c>
      <c r="L444" s="1360">
        <f t="shared" ref="L444:L454" si="150">J444+K444</f>
        <v>0</v>
      </c>
    </row>
    <row r="445" spans="2:12" x14ac:dyDescent="0.2">
      <c r="B445" s="680"/>
      <c r="C445" s="1979" t="str">
        <v>AZT+ 3TC+ NVP bébé</v>
      </c>
      <c r="D445" s="841" t="str">
        <f>'TRAD-Children YEAR(1)'!B91</f>
        <v>Comprimés</v>
      </c>
      <c r="E445" s="841" t="s">
        <v>384</v>
      </c>
      <c r="F445" s="842"/>
      <c r="G445" s="842" t="s">
        <v>385</v>
      </c>
      <c r="H445" s="415">
        <f>'Available Stocks'!K14</f>
        <v>60</v>
      </c>
      <c r="I445" s="416"/>
      <c r="J445" s="683">
        <f t="shared" si="148"/>
        <v>0</v>
      </c>
      <c r="K445" s="684" t="str">
        <f t="shared" si="149"/>
        <v>0</v>
      </c>
      <c r="L445" s="1361">
        <f t="shared" si="150"/>
        <v>0</v>
      </c>
    </row>
    <row r="446" spans="2:12" x14ac:dyDescent="0.2">
      <c r="B446" s="680"/>
      <c r="C446" s="1979" t="str">
        <v>AZT+ 3TC adulte</v>
      </c>
      <c r="D446" s="613" t="str">
        <f>'TRAD-Children YEAR(1)'!B91</f>
        <v>Comprimés</v>
      </c>
      <c r="E446" s="613" t="s">
        <v>12</v>
      </c>
      <c r="F446" s="382" t="s">
        <v>13</v>
      </c>
      <c r="G446" s="382" t="s">
        <v>14</v>
      </c>
      <c r="H446" s="415">
        <f>'Available Stocks'!K18</f>
        <v>60</v>
      </c>
      <c r="I446" s="416"/>
      <c r="J446" s="683">
        <f t="shared" si="148"/>
        <v>0</v>
      </c>
      <c r="K446" s="684" t="str">
        <f t="shared" si="149"/>
        <v>0</v>
      </c>
      <c r="L446" s="1361">
        <f t="shared" si="150"/>
        <v>0</v>
      </c>
    </row>
    <row r="447" spans="2:12" x14ac:dyDescent="0.2">
      <c r="B447" s="680"/>
      <c r="C447" s="1979" t="str">
        <v>AZT+ 3TC bébé</v>
      </c>
      <c r="D447" s="841" t="str">
        <f>'TRAD-Children YEAR(1)'!B91</f>
        <v>Comprimés</v>
      </c>
      <c r="E447" s="841" t="s">
        <v>382</v>
      </c>
      <c r="F447" s="842"/>
      <c r="G447" s="842" t="s">
        <v>383</v>
      </c>
      <c r="H447" s="415">
        <f>'Available Stocks'!K19</f>
        <v>60</v>
      </c>
      <c r="I447" s="416"/>
      <c r="J447" s="683" t="e">
        <f t="shared" si="148"/>
        <v>#DIV/0!</v>
      </c>
      <c r="K447" s="684" t="e">
        <f t="shared" si="149"/>
        <v>#DIV/0!</v>
      </c>
      <c r="L447" s="1361" t="e">
        <f t="shared" si="150"/>
        <v>#DIV/0!</v>
      </c>
    </row>
    <row r="448" spans="2:12" x14ac:dyDescent="0.2">
      <c r="B448" s="680"/>
      <c r="C448" s="1979" t="str">
        <v>D4T+ 3TC+ NVP adulte</v>
      </c>
      <c r="D448" s="616" t="str">
        <f>'TRAD-Children YEAR(1)'!B91</f>
        <v>Comprimés</v>
      </c>
      <c r="E448" s="616" t="s">
        <v>80</v>
      </c>
      <c r="F448" s="391"/>
      <c r="G448" s="391" t="s">
        <v>79</v>
      </c>
      <c r="H448" s="415">
        <f>'Available Stocks'!K22</f>
        <v>60</v>
      </c>
      <c r="I448" s="421"/>
      <c r="J448" s="683">
        <f t="shared" si="148"/>
        <v>0</v>
      </c>
      <c r="K448" s="684" t="str">
        <f t="shared" si="149"/>
        <v>0</v>
      </c>
      <c r="L448" s="1361">
        <f t="shared" si="150"/>
        <v>0</v>
      </c>
    </row>
    <row r="449" spans="2:12" x14ac:dyDescent="0.2">
      <c r="B449" s="680"/>
      <c r="C449" s="1979" t="str">
        <v>D4T+ 3TC+ NVP bébé</v>
      </c>
      <c r="D449" s="613" t="str">
        <f>'TRAD-Children YEAR(1)'!B91</f>
        <v>Comprimés</v>
      </c>
      <c r="E449" s="613" t="s">
        <v>131</v>
      </c>
      <c r="F449" s="382"/>
      <c r="G449" s="382" t="s">
        <v>132</v>
      </c>
      <c r="H449" s="415">
        <f>'Available Stocks'!K23</f>
        <v>60</v>
      </c>
      <c r="I449" s="416"/>
      <c r="J449" s="683">
        <f t="shared" si="148"/>
        <v>0</v>
      </c>
      <c r="K449" s="684" t="str">
        <f t="shared" si="149"/>
        <v>0</v>
      </c>
      <c r="L449" s="1361">
        <f t="shared" si="150"/>
        <v>0</v>
      </c>
    </row>
    <row r="450" spans="2:12" x14ac:dyDescent="0.2">
      <c r="B450" s="680"/>
      <c r="C450" s="1979" t="str">
        <v>D4T+ 3TC bébé</v>
      </c>
      <c r="D450" s="613" t="str">
        <f>'TRAD-Children YEAR(1)'!B91</f>
        <v>Comprimés</v>
      </c>
      <c r="E450" s="613" t="s">
        <v>733</v>
      </c>
      <c r="F450" s="382"/>
      <c r="G450" s="382"/>
      <c r="H450" s="415">
        <f>'Available Stocks'!K24</f>
        <v>60</v>
      </c>
      <c r="I450" s="416"/>
      <c r="J450" s="683">
        <f t="shared" si="148"/>
        <v>0</v>
      </c>
      <c r="K450" s="684" t="str">
        <f t="shared" si="149"/>
        <v>0</v>
      </c>
      <c r="L450" s="1361">
        <f t="shared" ref="L450" si="151">J450+K450</f>
        <v>0</v>
      </c>
    </row>
    <row r="451" spans="2:12" x14ac:dyDescent="0.2">
      <c r="B451" s="680"/>
      <c r="C451" s="1979" t="str">
        <v>AZT+ 3TC+ ABC adulte</v>
      </c>
      <c r="D451" s="613" t="str">
        <f>'TRAD-Children YEAR(1)'!B91</f>
        <v>Comprimés</v>
      </c>
      <c r="E451" s="613" t="s">
        <v>334</v>
      </c>
      <c r="F451" s="382" t="s">
        <v>396</v>
      </c>
      <c r="G451" s="382"/>
      <c r="H451" s="415">
        <f>'Available Stocks'!K25</f>
        <v>60</v>
      </c>
      <c r="I451" s="416"/>
      <c r="J451" s="683">
        <f>J376</f>
        <v>0</v>
      </c>
      <c r="K451" s="684" t="str">
        <f t="shared" ref="K451:K454" si="152">L412</f>
        <v>0</v>
      </c>
      <c r="L451" s="1361">
        <f t="shared" si="150"/>
        <v>0</v>
      </c>
    </row>
    <row r="452" spans="2:12" x14ac:dyDescent="0.2">
      <c r="B452" s="680"/>
      <c r="C452" s="1979" t="str">
        <v>AZT+ 3TC+ ABC bébé</v>
      </c>
      <c r="D452" s="613" t="str">
        <f>'TRAD-Children YEAR(1)'!B91</f>
        <v>Comprimés</v>
      </c>
      <c r="E452" s="613" t="s">
        <v>636</v>
      </c>
      <c r="F452" s="382"/>
      <c r="G452" s="382"/>
      <c r="H452" s="415">
        <f>'Available Stocks'!K26</f>
        <v>30</v>
      </c>
      <c r="I452" s="416"/>
      <c r="J452" s="683">
        <f>J377</f>
        <v>0</v>
      </c>
      <c r="K452" s="684" t="str">
        <f t="shared" si="152"/>
        <v>0</v>
      </c>
      <c r="L452" s="1361">
        <f t="shared" si="150"/>
        <v>0</v>
      </c>
    </row>
    <row r="453" spans="2:12" x14ac:dyDescent="0.2">
      <c r="B453" s="680"/>
      <c r="C453" s="1979" t="str">
        <v>ABC+ 3TC adulte</v>
      </c>
      <c r="D453" s="613" t="str">
        <f>'TRAD-Children YEAR(1)'!B91</f>
        <v>Comprimés</v>
      </c>
      <c r="E453" s="613" t="s">
        <v>649</v>
      </c>
      <c r="F453" s="382" t="s">
        <v>642</v>
      </c>
      <c r="G453" s="382"/>
      <c r="H453" s="415">
        <f>'Available Stocks'!K27</f>
        <v>30</v>
      </c>
      <c r="I453" s="416"/>
      <c r="J453" s="683">
        <f>J378</f>
        <v>0</v>
      </c>
      <c r="K453" s="684" t="str">
        <f t="shared" si="152"/>
        <v>0</v>
      </c>
      <c r="L453" s="1361">
        <f t="shared" si="150"/>
        <v>0</v>
      </c>
    </row>
    <row r="454" spans="2:12" x14ac:dyDescent="0.2">
      <c r="B454" s="680"/>
      <c r="C454" s="1980" t="str">
        <v>ABC+ 3TC bébé</v>
      </c>
      <c r="D454" s="613" t="str">
        <f>'TRAD-Children YEAR(1)'!B91</f>
        <v>Comprimés</v>
      </c>
      <c r="E454" s="613" t="s">
        <v>636</v>
      </c>
      <c r="F454" s="382"/>
      <c r="G454" s="382"/>
      <c r="H454" s="415">
        <f>'Available Stocks'!K28</f>
        <v>30</v>
      </c>
      <c r="I454" s="416"/>
      <c r="J454" s="683" t="e">
        <f>J379</f>
        <v>#DIV/0!</v>
      </c>
      <c r="K454" s="684" t="e">
        <f t="shared" si="152"/>
        <v>#DIV/0!</v>
      </c>
      <c r="L454" s="1361" t="e">
        <f t="shared" si="150"/>
        <v>#DIV/0!</v>
      </c>
    </row>
    <row r="455" spans="2:12" x14ac:dyDescent="0.2">
      <c r="B455" s="680"/>
      <c r="C455" s="1980" t="s">
        <v>1610</v>
      </c>
      <c r="D455" s="613" t="s">
        <v>205</v>
      </c>
      <c r="F455" s="382"/>
      <c r="G455" s="382"/>
      <c r="H455" s="415">
        <f>IF('Data &amp; hypothesis Adults'!$D$221="X", 'Available Stocks'!$K$26, IF('Data &amp; hypothesis Adults'!$D$222="X", 'Available Stocks'!$K$28, 'Available Stocks'!$K$26))</f>
        <v>30</v>
      </c>
      <c r="I455" s="416"/>
      <c r="J455" s="683">
        <f t="shared" ref="J455:J457" si="153">J380</f>
        <v>0</v>
      </c>
      <c r="K455" s="684" t="str">
        <f t="shared" ref="K455:K457" si="154">L416</f>
        <v>0</v>
      </c>
      <c r="L455" s="1361">
        <f t="shared" ref="L455:L457" si="155">J455+K455</f>
        <v>0</v>
      </c>
    </row>
    <row r="456" spans="2:12" x14ac:dyDescent="0.2">
      <c r="B456" s="680"/>
      <c r="C456" s="1980" t="s">
        <v>1611</v>
      </c>
      <c r="D456" s="613" t="s">
        <v>205</v>
      </c>
      <c r="F456" s="382"/>
      <c r="G456" s="382"/>
      <c r="H456" s="415">
        <f>IF('Data &amp; hypothesis Adults'!$D$221="X", 'Available Stocks'!$K$27, IF('Data &amp; hypothesis Adults'!$D$222="X", 'Available Stocks'!$K$29, 'Available Stocks'!$K$27))</f>
        <v>30</v>
      </c>
      <c r="I456" s="416"/>
      <c r="J456" s="683" t="e">
        <f t="shared" si="153"/>
        <v>#DIV/0!</v>
      </c>
      <c r="K456" s="684" t="e">
        <f t="shared" si="154"/>
        <v>#DIV/0!</v>
      </c>
      <c r="L456" s="1361" t="e">
        <f t="shared" si="155"/>
        <v>#DIV/0!</v>
      </c>
    </row>
    <row r="457" spans="2:12" x14ac:dyDescent="0.2">
      <c r="B457" s="680"/>
      <c r="C457" s="1980" t="s">
        <v>1592</v>
      </c>
      <c r="D457" s="613" t="s">
        <v>205</v>
      </c>
      <c r="E457" s="613" t="s">
        <v>23</v>
      </c>
      <c r="F457" s="382"/>
      <c r="G457" s="382"/>
      <c r="H457" s="415">
        <f>'Available Stocks'!K44</f>
        <v>30</v>
      </c>
      <c r="I457" s="416"/>
      <c r="J457" s="683">
        <f t="shared" si="153"/>
        <v>0</v>
      </c>
      <c r="K457" s="684" t="str">
        <f t="shared" si="154"/>
        <v>0</v>
      </c>
      <c r="L457" s="1361">
        <f t="shared" si="155"/>
        <v>0</v>
      </c>
    </row>
    <row r="458" spans="2:12" x14ac:dyDescent="0.2">
      <c r="B458" s="680"/>
      <c r="C458" s="608" t="s">
        <v>15</v>
      </c>
      <c r="D458" s="613" t="str">
        <f>'TRAD-Children YEAR(1)'!B91</f>
        <v>Comprimés</v>
      </c>
      <c r="E458" s="613" t="s">
        <v>16</v>
      </c>
      <c r="F458" s="382"/>
      <c r="G458" s="382"/>
      <c r="H458" s="415">
        <f>'Available Stocks'!K29</f>
        <v>30</v>
      </c>
      <c r="I458" s="416"/>
      <c r="J458" s="683">
        <f t="shared" ref="J458:J461" si="156">J383</f>
        <v>0</v>
      </c>
      <c r="K458" s="684" t="str">
        <f>L419</f>
        <v>0</v>
      </c>
      <c r="L458" s="1361">
        <f t="shared" ref="L458:L461" si="157">J458+K458</f>
        <v>0</v>
      </c>
    </row>
    <row r="459" spans="2:12" x14ac:dyDescent="0.2">
      <c r="B459" s="680"/>
      <c r="C459" s="608" t="s">
        <v>25</v>
      </c>
      <c r="D459" s="613" t="str">
        <f>'TRAD-Children YEAR(1)'!B91</f>
        <v>Comprimés</v>
      </c>
      <c r="E459" s="613" t="s">
        <v>23</v>
      </c>
      <c r="F459" s="382" t="s">
        <v>26</v>
      </c>
      <c r="G459" s="382" t="s">
        <v>27</v>
      </c>
      <c r="H459" s="415">
        <f>'Available Stocks'!K35</f>
        <v>60</v>
      </c>
      <c r="I459" s="416"/>
      <c r="J459" s="683">
        <f t="shared" si="156"/>
        <v>0</v>
      </c>
      <c r="K459" s="684" t="str">
        <f>L420</f>
        <v>0</v>
      </c>
      <c r="L459" s="1361">
        <f t="shared" si="157"/>
        <v>0</v>
      </c>
    </row>
    <row r="460" spans="2:12" x14ac:dyDescent="0.2">
      <c r="B460" s="680"/>
      <c r="C460" s="615" t="str">
        <f>'TRAD-Children YEAR(1)'!B105</f>
        <v>ABC bébé</v>
      </c>
      <c r="D460" s="616" t="str">
        <f>'TRAD-Children YEAR(1)'!B91</f>
        <v>Comprimés</v>
      </c>
      <c r="E460" s="616" t="s">
        <v>639</v>
      </c>
      <c r="F460" s="391"/>
      <c r="G460" s="391"/>
      <c r="H460" s="415">
        <f>'Available Stocks'!K36</f>
        <v>60</v>
      </c>
      <c r="I460" s="421"/>
      <c r="J460" s="683" t="e">
        <f t="shared" si="156"/>
        <v>#DIV/0!</v>
      </c>
      <c r="K460" s="684" t="e">
        <f>L421</f>
        <v>#DIV/0!</v>
      </c>
      <c r="L460" s="1361" t="e">
        <f t="shared" si="157"/>
        <v>#DIV/0!</v>
      </c>
    </row>
    <row r="461" spans="2:12" x14ac:dyDescent="0.2">
      <c r="B461" s="680"/>
      <c r="C461" s="615" t="s">
        <v>28</v>
      </c>
      <c r="D461" s="616" t="str">
        <f>'TRAD-Children YEAR(1)'!B91</f>
        <v>Comprimés</v>
      </c>
      <c r="E461" s="616" t="s">
        <v>29</v>
      </c>
      <c r="F461" s="391" t="s">
        <v>30</v>
      </c>
      <c r="G461" s="391" t="s">
        <v>31</v>
      </c>
      <c r="H461" s="420">
        <f>'Available Stocks'!K42</f>
        <v>30</v>
      </c>
      <c r="I461" s="421"/>
      <c r="J461" s="683">
        <f t="shared" si="156"/>
        <v>0</v>
      </c>
      <c r="K461" s="684" t="str">
        <f>L422</f>
        <v>0</v>
      </c>
      <c r="L461" s="1361">
        <f t="shared" si="157"/>
        <v>0</v>
      </c>
    </row>
    <row r="462" spans="2:12" x14ac:dyDescent="0.2">
      <c r="B462" s="680"/>
      <c r="C462" s="615" t="s">
        <v>19</v>
      </c>
      <c r="D462" s="616" t="str">
        <f>'TRAD-Children YEAR(1)'!B91</f>
        <v>Comprimés</v>
      </c>
      <c r="E462" s="616" t="s">
        <v>20</v>
      </c>
      <c r="F462" s="391"/>
      <c r="G462" s="391"/>
      <c r="H462" s="420">
        <f>'Available Stocks'!K33</f>
        <v>60</v>
      </c>
      <c r="I462" s="421"/>
      <c r="J462" s="683">
        <f t="shared" ref="J462:J463" si="158">J387</f>
        <v>0</v>
      </c>
      <c r="K462" s="684" t="str">
        <f t="shared" ref="K462" si="159">L423</f>
        <v>0</v>
      </c>
      <c r="L462" s="1361">
        <f t="shared" ref="L462:L466" si="160">J462+K462</f>
        <v>0</v>
      </c>
    </row>
    <row r="463" spans="2:12" x14ac:dyDescent="0.2">
      <c r="B463" s="680"/>
      <c r="C463" s="615" t="s">
        <v>19</v>
      </c>
      <c r="D463" s="616" t="str">
        <f>'TRAD-Children YEAR(1)'!B91</f>
        <v>Comprimés</v>
      </c>
      <c r="E463" s="616" t="s">
        <v>248</v>
      </c>
      <c r="F463" s="391"/>
      <c r="G463" s="391"/>
      <c r="H463" s="420">
        <f>'Available Stocks'!K34</f>
        <v>60</v>
      </c>
      <c r="I463" s="421"/>
      <c r="J463" s="683">
        <f t="shared" si="158"/>
        <v>0</v>
      </c>
      <c r="K463" s="684" t="str">
        <f t="shared" ref="K463" si="161">L424</f>
        <v>0</v>
      </c>
      <c r="L463" s="1361">
        <f t="shared" ref="L463" si="162">J463+K463</f>
        <v>0</v>
      </c>
    </row>
    <row r="464" spans="2:12" x14ac:dyDescent="0.2">
      <c r="B464" s="680"/>
      <c r="C464" s="615" t="s">
        <v>17</v>
      </c>
      <c r="D464" s="616" t="str">
        <f>'TRAD-Children YEAR(1)'!B91</f>
        <v>Comprimés</v>
      </c>
      <c r="E464" s="616" t="s">
        <v>20</v>
      </c>
      <c r="F464" s="391"/>
      <c r="G464" s="391"/>
      <c r="H464" s="420">
        <f>'Available Stocks'!K30</f>
        <v>30</v>
      </c>
      <c r="I464" s="421"/>
      <c r="J464" s="683" t="e">
        <f>J389</f>
        <v>#DIV/0!</v>
      </c>
      <c r="K464" s="684" t="e">
        <f>L425</f>
        <v>#DIV/0!</v>
      </c>
      <c r="L464" s="1361" t="e">
        <f t="shared" si="160"/>
        <v>#DIV/0!</v>
      </c>
    </row>
    <row r="465" spans="1:13" x14ac:dyDescent="0.2">
      <c r="B465" s="680"/>
      <c r="C465" s="615" t="s">
        <v>33</v>
      </c>
      <c r="D465" s="616" t="str">
        <f>'TRAD-Children YEAR(1)'!B91</f>
        <v>Comprimés</v>
      </c>
      <c r="E465" s="616" t="s">
        <v>34</v>
      </c>
      <c r="F465" s="391" t="s">
        <v>35</v>
      </c>
      <c r="G465" s="391" t="s">
        <v>36</v>
      </c>
      <c r="H465" s="420">
        <f>'Available Stocks'!K45</f>
        <v>120</v>
      </c>
      <c r="I465" s="421"/>
      <c r="J465" s="683">
        <f>J390</f>
        <v>0</v>
      </c>
      <c r="K465" s="684" t="str">
        <f>L426</f>
        <v>0</v>
      </c>
      <c r="L465" s="1361">
        <f t="shared" si="160"/>
        <v>0</v>
      </c>
    </row>
    <row r="466" spans="1:13" ht="13.5" thickBot="1" x14ac:dyDescent="0.25">
      <c r="B466" s="685"/>
      <c r="C466" s="609" t="str">
        <f>'TRAD-Children YEAR(1)'!B109</f>
        <v>LPV/r bébé</v>
      </c>
      <c r="D466" s="621" t="str">
        <f>'TRAD-Children YEAR(1)'!B91</f>
        <v>Comprimés</v>
      </c>
      <c r="E466" s="621" t="s">
        <v>637</v>
      </c>
      <c r="F466" s="424" t="s">
        <v>35</v>
      </c>
      <c r="G466" s="424"/>
      <c r="H466" s="425">
        <f>'Available Stocks'!K46</f>
        <v>60</v>
      </c>
      <c r="I466" s="426"/>
      <c r="J466" s="683" t="e">
        <f>J391</f>
        <v>#DIV/0!</v>
      </c>
      <c r="K466" s="684" t="e">
        <f>L427</f>
        <v>#DIV/0!</v>
      </c>
      <c r="L466" s="1361" t="e">
        <f t="shared" si="160"/>
        <v>#DIV/0!</v>
      </c>
    </row>
    <row r="469" spans="1:13" ht="15" x14ac:dyDescent="0.2">
      <c r="B469" s="2143" t="str">
        <f>'TRAD-Children YEAR(2)'!B35</f>
        <v>Répartition file active pédiatrique sous traitement à la fin de l'année 2</v>
      </c>
      <c r="C469" s="2143"/>
      <c r="D469" s="2143"/>
      <c r="E469" s="2143"/>
      <c r="F469" s="2143"/>
      <c r="G469" s="2143"/>
      <c r="H469" s="2143"/>
      <c r="I469" s="2143"/>
      <c r="J469" s="2143"/>
      <c r="K469" s="2143"/>
      <c r="L469" s="2143"/>
      <c r="M469" s="2143"/>
    </row>
    <row r="470" spans="1:13" ht="13.5" thickBot="1" x14ac:dyDescent="0.25"/>
    <row r="471" spans="1:13" ht="56.25" customHeight="1" thickBot="1" x14ac:dyDescent="0.25">
      <c r="A471" s="260"/>
      <c r="B471" s="528"/>
      <c r="D471" s="2211" t="str">
        <f>'TRAD-Children YEAR(1)'!B138</f>
        <v>SANS DEFALCATION des passages en 2èmes lignes sur les 1ères lignes</v>
      </c>
      <c r="E471" s="2212"/>
      <c r="F471" s="2211" t="str">
        <f>'TRAD-Children YEAR(1)'!B139</f>
        <v>AVEC DEFALCATION PROPORTIONNELLE à la répartition des patients en 1ère ligne</v>
      </c>
      <c r="G471" s="2212"/>
      <c r="H471" s="2211" t="str">
        <f>'TRAD-Children YEAR(1)'!B140</f>
        <v>AVEC DEFALCATION SUR SCHEMA MAJORITAIRE 1ère ligne</v>
      </c>
      <c r="I471" s="2212"/>
    </row>
    <row r="472" spans="1:13" ht="13.5" thickBot="1" x14ac:dyDescent="0.25">
      <c r="A472" s="260"/>
      <c r="B472" s="528"/>
      <c r="C472" s="1394" t="str">
        <f>'TRAD-Children YEAR(1)'!B6</f>
        <v>Schéma thérapeutique</v>
      </c>
      <c r="D472" s="1391" t="s">
        <v>277</v>
      </c>
      <c r="E472" s="1393" t="s">
        <v>278</v>
      </c>
      <c r="F472" s="1391" t="s">
        <v>277</v>
      </c>
      <c r="G472" s="1393" t="s">
        <v>278</v>
      </c>
      <c r="H472" s="1391" t="s">
        <v>277</v>
      </c>
      <c r="I472" s="1393" t="s">
        <v>278</v>
      </c>
    </row>
    <row r="473" spans="1:13" x14ac:dyDescent="0.2">
      <c r="A473" s="260"/>
      <c r="B473" s="1392" t="str">
        <f>'Data &amp; hypothesis Children'!B26</f>
        <v>1ères lignes</v>
      </c>
      <c r="C473" s="155" t="str">
        <f t="array" ref="C473:C482">'Data &amp; hypothesis Children'!$C$26:$C$35</f>
        <v>D4T+3TC+NVP</v>
      </c>
      <c r="D473" s="1395">
        <f t="shared" ref="D473:D478" si="163">C10+F27</f>
        <v>0</v>
      </c>
      <c r="E473" s="854" t="e">
        <f>D473/D$483</f>
        <v>#DIV/0!</v>
      </c>
      <c r="F473" s="1395" t="e">
        <f>C10+F27-(C10/H$10)*E$57</f>
        <v>#DIV/0!</v>
      </c>
      <c r="G473" s="854" t="e">
        <f>F473/F$483</f>
        <v>#DIV/0!</v>
      </c>
      <c r="H473" s="1395" t="e">
        <f>C10+F27-E56</f>
        <v>#DIV/0!</v>
      </c>
      <c r="I473" s="854" t="e">
        <f>H473/H$483</f>
        <v>#DIV/0!</v>
      </c>
    </row>
    <row r="474" spans="1:13" x14ac:dyDescent="0.2">
      <c r="A474" s="260"/>
      <c r="B474" s="1392"/>
      <c r="C474" s="156" t="str">
        <v>AZT+3TC+NVP</v>
      </c>
      <c r="D474" s="1395">
        <f t="shared" si="163"/>
        <v>500.75812500000001</v>
      </c>
      <c r="E474" s="854" t="e">
        <f t="shared" ref="E474:E475" si="164">D474/D$483</f>
        <v>#DIV/0!</v>
      </c>
      <c r="F474" s="1395" t="e">
        <f t="shared" ref="F474:F478" si="165">C11+F28-(C11/H$10)*E$57</f>
        <v>#DIV/0!</v>
      </c>
      <c r="G474" s="854" t="e">
        <f t="shared" ref="G474:I475" si="166">F474/F$483</f>
        <v>#DIV/0!</v>
      </c>
      <c r="H474" s="1395">
        <f>C11+F28</f>
        <v>500.75812500000001</v>
      </c>
      <c r="I474" s="854" t="e">
        <f t="shared" si="166"/>
        <v>#DIV/0!</v>
      </c>
    </row>
    <row r="475" spans="1:13" x14ac:dyDescent="0.2">
      <c r="A475" s="260"/>
      <c r="B475" s="1392"/>
      <c r="C475" s="156" t="str">
        <v>AZT+3TC+EFV</v>
      </c>
      <c r="D475" s="1395">
        <f t="shared" si="163"/>
        <v>11.845891129032257</v>
      </c>
      <c r="E475" s="854" t="e">
        <f t="shared" si="164"/>
        <v>#DIV/0!</v>
      </c>
      <c r="F475" s="1395" t="e">
        <f t="shared" si="165"/>
        <v>#DIV/0!</v>
      </c>
      <c r="G475" s="854" t="e">
        <f t="shared" si="166"/>
        <v>#DIV/0!</v>
      </c>
      <c r="H475" s="1395">
        <f>C12+F29</f>
        <v>11.845891129032257</v>
      </c>
      <c r="I475" s="854" t="e">
        <f t="shared" si="166"/>
        <v>#DIV/0!</v>
      </c>
    </row>
    <row r="476" spans="1:13" x14ac:dyDescent="0.2">
      <c r="A476" s="260"/>
      <c r="B476" s="1392"/>
      <c r="C476" s="156" t="str">
        <v>LPV/r+3TC+ABC</v>
      </c>
      <c r="D476" s="1395">
        <f t="shared" si="163"/>
        <v>17.64</v>
      </c>
      <c r="E476" s="854" t="e">
        <f t="shared" ref="E476:E479" si="167">D476/D$483</f>
        <v>#DIV/0!</v>
      </c>
      <c r="F476" s="1395" t="e">
        <f t="shared" si="165"/>
        <v>#DIV/0!</v>
      </c>
      <c r="G476" s="854" t="e">
        <f t="shared" ref="G476:G479" si="168">F476/F$483</f>
        <v>#DIV/0!</v>
      </c>
      <c r="H476" s="1395">
        <f>C13+F30</f>
        <v>17.64</v>
      </c>
      <c r="I476" s="854" t="e">
        <f t="shared" ref="I476:I479" si="169">H476/H$483</f>
        <v>#DIV/0!</v>
      </c>
    </row>
    <row r="477" spans="1:13" x14ac:dyDescent="0.2">
      <c r="A477" s="260"/>
      <c r="B477" s="1392"/>
      <c r="C477" s="156" t="str">
        <v>ABC+3TC+NVP</v>
      </c>
      <c r="D477" s="1395">
        <f t="shared" si="163"/>
        <v>4.3075967741935486</v>
      </c>
      <c r="E477" s="854" t="e">
        <f t="shared" si="167"/>
        <v>#DIV/0!</v>
      </c>
      <c r="F477" s="1395" t="e">
        <f t="shared" si="165"/>
        <v>#DIV/0!</v>
      </c>
      <c r="G477" s="854" t="e">
        <f t="shared" si="168"/>
        <v>#DIV/0!</v>
      </c>
      <c r="H477" s="1395">
        <f>C14+F31</f>
        <v>4.3075967741935486</v>
      </c>
      <c r="I477" s="854" t="e">
        <f t="shared" si="169"/>
        <v>#DIV/0!</v>
      </c>
    </row>
    <row r="478" spans="1:13" x14ac:dyDescent="0.2">
      <c r="A478" s="260"/>
      <c r="B478" s="1392"/>
      <c r="C478" s="1253" t="str">
        <v>AZT+3TC+LPV/r</v>
      </c>
      <c r="D478" s="1395">
        <f t="shared" si="163"/>
        <v>251.59038709677421</v>
      </c>
      <c r="E478" s="854" t="e">
        <f t="shared" si="167"/>
        <v>#DIV/0!</v>
      </c>
      <c r="F478" s="1395" t="e">
        <f t="shared" si="165"/>
        <v>#DIV/0!</v>
      </c>
      <c r="G478" s="854" t="e">
        <f t="shared" si="168"/>
        <v>#DIV/0!</v>
      </c>
      <c r="H478" s="1395">
        <f>C15+F32</f>
        <v>251.59038709677421</v>
      </c>
      <c r="I478" s="854" t="e">
        <f t="shared" si="169"/>
        <v>#DIV/0!</v>
      </c>
    </row>
    <row r="479" spans="1:13" x14ac:dyDescent="0.2">
      <c r="A479" s="260"/>
      <c r="B479" s="1392" t="str">
        <f>'Data &amp; hypothesis Children'!B32</f>
        <v>2èmes lignes</v>
      </c>
      <c r="C479" s="1948" t="str">
        <v>ABC+3TC+EFV</v>
      </c>
      <c r="D479" s="1397" t="e">
        <f>C16+E53</f>
        <v>#DIV/0!</v>
      </c>
      <c r="E479" s="855" t="e">
        <f t="shared" si="167"/>
        <v>#DIV/0!</v>
      </c>
      <c r="F479" s="1397" t="e">
        <f>C16+E53</f>
        <v>#DIV/0!</v>
      </c>
      <c r="G479" s="855" t="e">
        <f t="shared" si="168"/>
        <v>#DIV/0!</v>
      </c>
      <c r="H479" s="1397" t="e">
        <f>C16+E53</f>
        <v>#DIV/0!</v>
      </c>
      <c r="I479" s="855" t="e">
        <f t="shared" si="169"/>
        <v>#DIV/0!</v>
      </c>
    </row>
    <row r="480" spans="1:13" x14ac:dyDescent="0.2">
      <c r="A480" s="260"/>
      <c r="B480" s="1392"/>
      <c r="C480" s="156" t="str">
        <v>TDF+3TC+LPV/r</v>
      </c>
      <c r="D480" s="1397" t="e">
        <f t="shared" ref="D480:D482" si="170">C17+E54</f>
        <v>#DIV/0!</v>
      </c>
      <c r="E480" s="855" t="e">
        <f t="shared" ref="E480:E482" si="171">D480/D$483</f>
        <v>#DIV/0!</v>
      </c>
      <c r="F480" s="1397" t="e">
        <f t="shared" ref="F480:F482" si="172">C17+E54</f>
        <v>#DIV/0!</v>
      </c>
      <c r="G480" s="855" t="e">
        <f t="shared" ref="G480:G482" si="173">F480/F$483</f>
        <v>#DIV/0!</v>
      </c>
      <c r="H480" s="1397" t="e">
        <f t="shared" ref="H480:H482" si="174">C17+E54</f>
        <v>#DIV/0!</v>
      </c>
      <c r="I480" s="855" t="e">
        <f t="shared" ref="I480:I482" si="175">H480/H$483</f>
        <v>#DIV/0!</v>
      </c>
    </row>
    <row r="481" spans="1:13" x14ac:dyDescent="0.2">
      <c r="A481" s="260"/>
      <c r="B481" s="1392"/>
      <c r="C481" s="156" t="str">
        <v>AZT+3TC+EFV</v>
      </c>
      <c r="D481" s="1397" t="e">
        <f t="shared" si="170"/>
        <v>#DIV/0!</v>
      </c>
      <c r="E481" s="855" t="e">
        <f t="shared" si="171"/>
        <v>#DIV/0!</v>
      </c>
      <c r="F481" s="1397" t="e">
        <f t="shared" si="172"/>
        <v>#DIV/0!</v>
      </c>
      <c r="G481" s="855" t="e">
        <f t="shared" si="173"/>
        <v>#DIV/0!</v>
      </c>
      <c r="H481" s="1397" t="e">
        <f t="shared" si="174"/>
        <v>#DIV/0!</v>
      </c>
      <c r="I481" s="855" t="e">
        <f t="shared" si="175"/>
        <v>#DIV/0!</v>
      </c>
    </row>
    <row r="482" spans="1:13" ht="13.5" thickBot="1" x14ac:dyDescent="0.25">
      <c r="A482" s="260"/>
      <c r="B482" s="1392"/>
      <c r="C482" s="157">
        <v>0</v>
      </c>
      <c r="D482" s="1397" t="e">
        <f t="shared" si="170"/>
        <v>#DIV/0!</v>
      </c>
      <c r="E482" s="855" t="e">
        <f t="shared" si="171"/>
        <v>#DIV/0!</v>
      </c>
      <c r="F482" s="1397" t="e">
        <f t="shared" si="172"/>
        <v>#DIV/0!</v>
      </c>
      <c r="G482" s="855" t="e">
        <f t="shared" si="173"/>
        <v>#DIV/0!</v>
      </c>
      <c r="H482" s="1397" t="e">
        <f t="shared" si="174"/>
        <v>#DIV/0!</v>
      </c>
      <c r="I482" s="855" t="e">
        <f t="shared" si="175"/>
        <v>#DIV/0!</v>
      </c>
    </row>
    <row r="483" spans="1:13" ht="14.25" thickTop="1" thickBot="1" x14ac:dyDescent="0.25">
      <c r="A483" s="260"/>
      <c r="B483" s="528"/>
      <c r="C483" s="1398"/>
      <c r="D483" s="1398" t="e">
        <f>SUM(D473:D482)</f>
        <v>#DIV/0!</v>
      </c>
      <c r="E483" s="1399"/>
      <c r="F483" s="1398" t="e">
        <f>SUM(F473:F482)</f>
        <v>#DIV/0!</v>
      </c>
      <c r="G483" s="1399"/>
      <c r="H483" s="1398" t="e">
        <f>SUM(H473:H482)</f>
        <v>#DIV/0!</v>
      </c>
      <c r="I483" s="1399"/>
    </row>
    <row r="485" spans="1:13" x14ac:dyDescent="0.2">
      <c r="B485" s="688" t="str">
        <f>'TRAD-Children YEAR(1)'!B142</f>
        <v>Remarque</v>
      </c>
      <c r="C485" s="291"/>
      <c r="D485" s="291"/>
      <c r="E485" s="291"/>
      <c r="F485" s="291"/>
      <c r="G485" s="291"/>
      <c r="H485" s="291"/>
      <c r="I485" s="291"/>
      <c r="J485" s="291"/>
      <c r="K485" s="291"/>
      <c r="L485" s="291"/>
      <c r="M485" s="291"/>
    </row>
    <row r="486" spans="1:13" x14ac:dyDescent="0.2">
      <c r="C486" s="260" t="str">
        <f>'TRAD-Children YEAR(1)'!B143</f>
        <v>Pour plus de précision, une défalcation peut être prise en compte.</v>
      </c>
    </row>
    <row r="487" spans="1:13" ht="25.5" customHeight="1" x14ac:dyDescent="0.2">
      <c r="C487" s="2145" t="str">
        <f>'TRAD-Children YEAR(1)'!B144</f>
        <v>Les données défalquées sur le schéma majoritaire en 1ère ligne ont été prises en compte pour les années suivantes. (le schéma majoritaire est généralement le moins chers, cette option a été retenue dans le cadre d'une estimation budgétaire)</v>
      </c>
      <c r="D487" s="2145"/>
      <c r="E487" s="2145"/>
      <c r="F487" s="2145"/>
      <c r="G487" s="2145"/>
      <c r="H487" s="2145"/>
      <c r="I487" s="2145"/>
      <c r="J487" s="2145"/>
      <c r="K487" s="2145"/>
      <c r="L487" s="2145"/>
      <c r="M487" s="2145"/>
    </row>
    <row r="490" spans="1:13" s="1279" customFormat="1" x14ac:dyDescent="0.2">
      <c r="A490" s="1282"/>
    </row>
    <row r="491" spans="1:13" s="1281" customFormat="1" x14ac:dyDescent="0.2">
      <c r="A491" s="1280"/>
    </row>
  </sheetData>
  <sheetProtection password="D0E7" sheet="1" objects="1" scenarios="1" selectLockedCells="1"/>
  <mergeCells count="55">
    <mergeCell ref="C103:C105"/>
    <mergeCell ref="F35:G35"/>
    <mergeCell ref="C487:M487"/>
    <mergeCell ref="A2:L2"/>
    <mergeCell ref="A22:L22"/>
    <mergeCell ref="B24:F24"/>
    <mergeCell ref="G24:K24"/>
    <mergeCell ref="L24:M24"/>
    <mergeCell ref="B46:F46"/>
    <mergeCell ref="G46:K46"/>
    <mergeCell ref="L46:M46"/>
    <mergeCell ref="F52:H52"/>
    <mergeCell ref="A60:L60"/>
    <mergeCell ref="M60:N60"/>
    <mergeCell ref="D101:E101"/>
    <mergeCell ref="B176:H176"/>
    <mergeCell ref="B65:F65"/>
    <mergeCell ref="C67:E67"/>
    <mergeCell ref="F67:I67"/>
    <mergeCell ref="B81:F81"/>
    <mergeCell ref="C83:E83"/>
    <mergeCell ref="F83:I83"/>
    <mergeCell ref="M97:N97"/>
    <mergeCell ref="B99:F99"/>
    <mergeCell ref="G99:K99"/>
    <mergeCell ref="L99:M99"/>
    <mergeCell ref="D102:E102"/>
    <mergeCell ref="F101:G101"/>
    <mergeCell ref="A97:L97"/>
    <mergeCell ref="D103:E103"/>
    <mergeCell ref="F103:F105"/>
    <mergeCell ref="G103:G105"/>
    <mergeCell ref="D104:E104"/>
    <mergeCell ref="D105:E105"/>
    <mergeCell ref="B393:M393"/>
    <mergeCell ref="B126:F126"/>
    <mergeCell ref="B138:F138"/>
    <mergeCell ref="G138:K138"/>
    <mergeCell ref="L138:M138"/>
    <mergeCell ref="B150:H150"/>
    <mergeCell ref="B163:H163"/>
    <mergeCell ref="B189:H189"/>
    <mergeCell ref="D191:G191"/>
    <mergeCell ref="C193:G193"/>
    <mergeCell ref="B357:M357"/>
    <mergeCell ref="E359:H359"/>
    <mergeCell ref="D221:G221"/>
    <mergeCell ref="C223:G223"/>
    <mergeCell ref="E395:H395"/>
    <mergeCell ref="A430:N430"/>
    <mergeCell ref="B432:M432"/>
    <mergeCell ref="B469:M469"/>
    <mergeCell ref="D471:E471"/>
    <mergeCell ref="F471:G471"/>
    <mergeCell ref="H471:I471"/>
  </mergeCells>
  <conditionalFormatting sqref="D338:AH348 D266:AH276 D290:AH300 D314:AH324">
    <cfRule type="cellIs" dxfId="10" priority="22" operator="equal">
      <formula>0</formula>
    </cfRule>
  </conditionalFormatting>
  <pageMargins left="0.78740157499999996" right="0.78740157499999996" top="0.984251969" bottom="0.984251969" header="0.4921259845" footer="0.4921259845"/>
  <pageSetup paperSize="9" orientation="portrait"/>
  <headerFooter alignWithMargins="0"/>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
    <tabColor indexed="61"/>
  </sheetPr>
  <dimension ref="A2:AJ491"/>
  <sheetViews>
    <sheetView showGridLines="0" topLeftCell="A469" zoomScale="70" zoomScaleNormal="70" zoomScalePageLayoutView="70" workbookViewId="0">
      <selection activeCell="F473" sqref="F473:F478"/>
    </sheetView>
  </sheetViews>
  <sheetFormatPr baseColWidth="10" defaultColWidth="12" defaultRowHeight="12.75" x14ac:dyDescent="0.2"/>
  <cols>
    <col min="1" max="1" width="15.1640625" style="528" customWidth="1"/>
    <col min="2" max="2" width="20" style="260" customWidth="1"/>
    <col min="3" max="3" width="26.5" style="260" customWidth="1"/>
    <col min="4" max="4" width="13.1640625" style="260" customWidth="1"/>
    <col min="5" max="5" width="17.1640625" style="260" bestFit="1" customWidth="1"/>
    <col min="6" max="6" width="19.5" style="260" customWidth="1"/>
    <col min="7" max="7" width="14.83203125" style="260" customWidth="1"/>
    <col min="8" max="8" width="12.5" style="260" bestFit="1" customWidth="1"/>
    <col min="9" max="9" width="13.1640625" style="260" customWidth="1"/>
    <col min="10" max="11" width="12" style="260"/>
    <col min="12" max="12" width="13.1640625" style="260" bestFit="1" customWidth="1"/>
    <col min="13" max="16384" width="12" style="260"/>
  </cols>
  <sheetData>
    <row r="2" spans="1:13" s="263" customFormat="1" ht="16.5" thickBot="1" x14ac:dyDescent="0.3">
      <c r="A2" s="2177" t="str">
        <f>'TRAD-Children YEAR(2)'!B4</f>
        <v>Répartition prévue au début de la 3ème année pour les ENFANTS déjà pris en charge</v>
      </c>
      <c r="B2" s="2177"/>
      <c r="C2" s="2177"/>
      <c r="D2" s="2177"/>
      <c r="E2" s="2177"/>
      <c r="F2" s="2177"/>
      <c r="G2" s="2177"/>
      <c r="H2" s="2177"/>
      <c r="I2" s="2177"/>
      <c r="J2" s="2177"/>
      <c r="K2" s="2177"/>
      <c r="L2" s="2177"/>
      <c r="M2" s="262"/>
    </row>
    <row r="3" spans="1:13" ht="13.5" thickBot="1" x14ac:dyDescent="0.25">
      <c r="A3" s="260"/>
    </row>
    <row r="4" spans="1:13" s="524" customFormat="1" ht="16.5" thickBot="1" x14ac:dyDescent="0.3">
      <c r="B4" s="525" t="str">
        <f>'General Data'!D15</f>
        <v>Année 3</v>
      </c>
      <c r="C4" s="526">
        <f>'General Data'!E15</f>
        <v>0</v>
      </c>
      <c r="D4" s="527"/>
    </row>
    <row r="5" spans="1:13" ht="13.5" thickBot="1" x14ac:dyDescent="0.25"/>
    <row r="6" spans="1:13" s="524" customFormat="1" ht="16.5" thickBot="1" x14ac:dyDescent="0.3">
      <c r="B6" s="898" t="str">
        <f>'TRAD-Children YEAR(1)'!B2</f>
        <v>Période réellement quantifiée :</v>
      </c>
      <c r="C6" s="899"/>
      <c r="D6" s="900" t="str">
        <f>IF('General Data'!G25="NA", "0", 'General Data'!G25)</f>
        <v>0</v>
      </c>
      <c r="E6" s="901" t="s">
        <v>220</v>
      </c>
      <c r="G6" s="524" t="str">
        <f>'TRAD-Children YEAR(1)'!B4</f>
        <v>Facteur multiplicateur</v>
      </c>
      <c r="I6" s="524">
        <f>D6*(D6+1)/2</f>
        <v>0</v>
      </c>
    </row>
    <row r="7" spans="1:13" s="524" customFormat="1" ht="16.5" thickBot="1" x14ac:dyDescent="0.3">
      <c r="B7" s="898" t="str">
        <f>'TRAD-Children YEAR(1)'!B5</f>
        <v>Période quantifiée + tampon</v>
      </c>
      <c r="C7" s="899"/>
      <c r="D7" s="900">
        <f>D6+'General Data'!$E$30</f>
        <v>3</v>
      </c>
      <c r="E7" s="901" t="s">
        <v>220</v>
      </c>
      <c r="G7" s="524" t="str">
        <f>'TRAD-Children YEAR(1)'!B4</f>
        <v>Facteur multiplicateur</v>
      </c>
      <c r="I7" s="524">
        <f>D7*(D7+1)/2</f>
        <v>6</v>
      </c>
    </row>
    <row r="8" spans="1:13" ht="13.5" thickBot="1" x14ac:dyDescent="0.25"/>
    <row r="9" spans="1:13" ht="26.25" thickBot="1" x14ac:dyDescent="0.25">
      <c r="A9" s="260"/>
      <c r="B9" s="529" t="str">
        <f>'TRAD-Children YEAR(1)'!B6</f>
        <v>Schéma thérapeutique</v>
      </c>
      <c r="C9" s="529" t="str">
        <f>'TRAD-Children YEAR(2)'!B41</f>
        <v>Nb de patients prévus au début de la 3ème année</v>
      </c>
      <c r="D9" s="529" t="s">
        <v>278</v>
      </c>
    </row>
    <row r="10" spans="1:13" x14ac:dyDescent="0.2">
      <c r="A10" s="260"/>
      <c r="B10" s="155" t="str">
        <f t="array" ref="B10:B19">'Data &amp; hypothesis Children'!$C$26:$C$35</f>
        <v>D4T+3TC+NVP</v>
      </c>
      <c r="C10" s="2062" t="e">
        <f>'Children YEAR2'!F473+'Data &amp; hypothesis Children'!D$11*'Children YEAR3'!D10</f>
        <v>#DIV/0!</v>
      </c>
      <c r="D10" s="530" t="e">
        <f>'Children YEAR2'!G473</f>
        <v>#DIV/0!</v>
      </c>
      <c r="F10" s="266" t="str">
        <f>'TRAD-Children YEAR(1)'!B10</f>
        <v>Total Premières lignes</v>
      </c>
      <c r="G10" s="531"/>
      <c r="H10" s="532" t="e">
        <f>SUM(C10:C15)</f>
        <v>#DIV/0!</v>
      </c>
    </row>
    <row r="11" spans="1:13" ht="13.5" thickBot="1" x14ac:dyDescent="0.25">
      <c r="A11" s="260"/>
      <c r="B11" s="156" t="str">
        <v>AZT+3TC+NVP</v>
      </c>
      <c r="C11" s="2063" t="e">
        <f>'Children YEAR2'!F474+'Data &amp; hypothesis Children'!D$11*'Children YEAR3'!D11</f>
        <v>#DIV/0!</v>
      </c>
      <c r="D11" s="534" t="e">
        <f>'Children YEAR2'!G474</f>
        <v>#DIV/0!</v>
      </c>
      <c r="F11" s="535"/>
      <c r="G11" s="536" t="s">
        <v>51</v>
      </c>
      <c r="H11" s="537" t="e">
        <f>H10/C20</f>
        <v>#DIV/0!</v>
      </c>
    </row>
    <row r="12" spans="1:13" x14ac:dyDescent="0.2">
      <c r="A12" s="260"/>
      <c r="B12" s="156" t="str">
        <v>AZT+3TC+EFV</v>
      </c>
      <c r="C12" s="2063" t="e">
        <f>'Children YEAR2'!F475+'Data &amp; hypothesis Children'!D$11*'Children YEAR3'!D12</f>
        <v>#DIV/0!</v>
      </c>
      <c r="D12" s="534" t="e">
        <f>'Children YEAR2'!G475</f>
        <v>#DIV/0!</v>
      </c>
      <c r="F12" s="266" t="str">
        <f>'TRAD-Children YEAR(1)'!B11</f>
        <v>Total Deuxièmes lignes</v>
      </c>
      <c r="G12" s="531"/>
      <c r="H12" s="532" t="e">
        <f>C16+C19</f>
        <v>#DIV/0!</v>
      </c>
    </row>
    <row r="13" spans="1:13" ht="13.5" thickBot="1" x14ac:dyDescent="0.25">
      <c r="A13" s="260"/>
      <c r="B13" s="156" t="str">
        <v>LPV/r+3TC+ABC</v>
      </c>
      <c r="C13" s="2063" t="e">
        <f>'Children YEAR2'!F476+'Data &amp; hypothesis Children'!D$11*'Children YEAR3'!D13</f>
        <v>#DIV/0!</v>
      </c>
      <c r="D13" s="534" t="e">
        <f>'Children YEAR2'!G476</f>
        <v>#DIV/0!</v>
      </c>
      <c r="F13" s="535"/>
      <c r="G13" s="536" t="s">
        <v>51</v>
      </c>
      <c r="H13" s="537" t="e">
        <f>H12/C20</f>
        <v>#DIV/0!</v>
      </c>
    </row>
    <row r="14" spans="1:13" x14ac:dyDescent="0.2">
      <c r="A14" s="260"/>
      <c r="B14" s="156" t="str">
        <v>ABC+3TC+NVP</v>
      </c>
      <c r="C14" s="2063" t="e">
        <f>'Children YEAR2'!F477+'Data &amp; hypothesis Children'!D$11*'Children YEAR3'!D14</f>
        <v>#DIV/0!</v>
      </c>
      <c r="D14" s="534" t="e">
        <f>'Children YEAR2'!G477</f>
        <v>#DIV/0!</v>
      </c>
      <c r="F14" s="497"/>
      <c r="G14" s="522"/>
      <c r="H14" s="1270"/>
    </row>
    <row r="15" spans="1:13" x14ac:dyDescent="0.2">
      <c r="A15" s="260"/>
      <c r="B15" s="1253" t="str">
        <v>AZT+3TC+LPV/r</v>
      </c>
      <c r="C15" s="2064" t="e">
        <f>'Children YEAR2'!F478+'Data &amp; hypothesis Children'!D$11*'Children YEAR3'!D15</f>
        <v>#DIV/0!</v>
      </c>
      <c r="D15" s="1947" t="e">
        <f>'Children YEAR2'!G478</f>
        <v>#DIV/0!</v>
      </c>
    </row>
    <row r="16" spans="1:13" x14ac:dyDescent="0.2">
      <c r="A16" s="260"/>
      <c r="B16" s="1948" t="str">
        <v>ABC+3TC+EFV</v>
      </c>
      <c r="C16" s="2065" t="e">
        <f>'Children YEAR2'!F479+'Data &amp; hypothesis Children'!D$11*'Children YEAR3'!D16</f>
        <v>#DIV/0!</v>
      </c>
      <c r="D16" s="1949" t="e">
        <f>'Children YEAR2'!G479</f>
        <v>#DIV/0!</v>
      </c>
    </row>
    <row r="17" spans="1:16" x14ac:dyDescent="0.2">
      <c r="A17" s="260"/>
      <c r="B17" s="156" t="str">
        <v>TDF+3TC+LPV/r</v>
      </c>
      <c r="C17" s="2063" t="e">
        <f>'Children YEAR2'!F480+'Data &amp; hypothesis Children'!D$11*'Children YEAR3'!D17</f>
        <v>#DIV/0!</v>
      </c>
      <c r="D17" s="534" t="e">
        <f>'Children YEAR2'!G480</f>
        <v>#DIV/0!</v>
      </c>
    </row>
    <row r="18" spans="1:16" x14ac:dyDescent="0.2">
      <c r="A18" s="260"/>
      <c r="B18" s="156" t="str">
        <v>AZT+3TC+EFV</v>
      </c>
      <c r="C18" s="2063" t="e">
        <f>'Children YEAR2'!F481+'Data &amp; hypothesis Children'!D$11*'Children YEAR3'!D18</f>
        <v>#DIV/0!</v>
      </c>
      <c r="D18" s="534" t="e">
        <f>'Children YEAR2'!G481</f>
        <v>#DIV/0!</v>
      </c>
    </row>
    <row r="19" spans="1:16" ht="13.5" thickBot="1" x14ac:dyDescent="0.25">
      <c r="A19" s="260"/>
      <c r="B19" s="157">
        <v>0</v>
      </c>
      <c r="C19" s="2066" t="e">
        <f>'Children YEAR2'!F482+'Data &amp; hypothesis Children'!D$11*'Children YEAR3'!D19</f>
        <v>#DIV/0!</v>
      </c>
      <c r="D19" s="539" t="e">
        <f>'Children YEAR2'!G482</f>
        <v>#DIV/0!</v>
      </c>
    </row>
    <row r="20" spans="1:16" ht="14.25" thickTop="1" thickBot="1" x14ac:dyDescent="0.25">
      <c r="B20" s="540" t="s">
        <v>6</v>
      </c>
      <c r="C20" s="541" t="e">
        <f>SUM(C10:C19)</f>
        <v>#DIV/0!</v>
      </c>
      <c r="D20" s="542" t="e">
        <f>SUM(D10:D19)</f>
        <v>#DIV/0!</v>
      </c>
    </row>
    <row r="21" spans="1:16" x14ac:dyDescent="0.2">
      <c r="A21" s="260"/>
    </row>
    <row r="22" spans="1:16" s="263" customFormat="1" ht="16.5" thickBot="1" x14ac:dyDescent="0.3">
      <c r="A22" s="2177" t="str">
        <f>'TRAD-Children YEAR(2)'!B9</f>
        <v>Evolution de la file active sous traitement ARV à prévoir pour la 3ème année</v>
      </c>
      <c r="B22" s="2177"/>
      <c r="C22" s="2177"/>
      <c r="D22" s="2177"/>
      <c r="E22" s="2177"/>
      <c r="F22" s="2177"/>
      <c r="G22" s="2177"/>
      <c r="H22" s="2177"/>
      <c r="I22" s="2177"/>
      <c r="J22" s="2177"/>
      <c r="K22" s="2177"/>
      <c r="L22" s="2177"/>
      <c r="M22" s="262"/>
      <c r="N22" s="262"/>
      <c r="O22" s="262"/>
      <c r="P22" s="262"/>
    </row>
    <row r="23" spans="1:16" x14ac:dyDescent="0.2">
      <c r="A23" s="260"/>
    </row>
    <row r="24" spans="1:16" ht="15" x14ac:dyDescent="0.2">
      <c r="A24" s="260"/>
      <c r="B24" s="2143" t="str">
        <f>'TRAD-Children YEAR(1)'!B14</f>
        <v>Répartition des Initiations</v>
      </c>
      <c r="C24" s="2143"/>
      <c r="D24" s="2143"/>
      <c r="E24" s="2143"/>
      <c r="F24" s="2143"/>
      <c r="G24" s="2143"/>
      <c r="H24" s="2143"/>
      <c r="I24" s="2143"/>
      <c r="J24" s="2143"/>
      <c r="K24" s="2143"/>
      <c r="L24" s="2143"/>
      <c r="M24" s="2143"/>
      <c r="N24" s="497"/>
      <c r="O24" s="497"/>
      <c r="P24" s="497"/>
    </row>
    <row r="25" spans="1:16" ht="13.5" thickBot="1" x14ac:dyDescent="0.25"/>
    <row r="26" spans="1:16" s="545" customFormat="1" ht="64.5" thickBot="1" x14ac:dyDescent="0.25">
      <c r="A26" s="543"/>
      <c r="B26" s="544" t="str">
        <f>'TRAD-Children YEAR(1)'!B6</f>
        <v>Schéma thérapeutique</v>
      </c>
      <c r="C26" s="544" t="str">
        <f>'TRAD-Children YEAR(1)'!B15</f>
        <v>critères / schémas</v>
      </c>
      <c r="D26" s="544" t="s">
        <v>51</v>
      </c>
      <c r="E26" s="544" t="str">
        <f>'TRAD-Children YEAR(1)'!B16</f>
        <v>Nb de patients mensuels</v>
      </c>
      <c r="F26" s="894" t="str">
        <f>'TRAD-Children YEAR(1)'!B17</f>
        <v>Nb de nvx patients total sur la période</v>
      </c>
      <c r="G26" s="544" t="str">
        <f>'TRAD-Children YEAR(1)'!B18</f>
        <v>Nb de nvx patients total sur la période AVEC la marge de sécu</v>
      </c>
    </row>
    <row r="27" spans="1:16" x14ac:dyDescent="0.2">
      <c r="B27" s="155" t="str">
        <f t="array" ref="B27:B32">'Data &amp; hypothesis Children'!$C$26:$C$31</f>
        <v>D4T+3TC+NVP</v>
      </c>
      <c r="C27" s="546"/>
      <c r="D27" s="547">
        <f>'Data &amp; hypothesis Children'!F55</f>
        <v>0</v>
      </c>
      <c r="E27" s="548">
        <f t="shared" ref="E27:E32" si="0">D27*E$33</f>
        <v>0</v>
      </c>
      <c r="F27" s="548">
        <f t="shared" ref="F27:F32" si="1">E27*$D$6</f>
        <v>0</v>
      </c>
      <c r="G27" s="548">
        <f>E27*$D$7</f>
        <v>0</v>
      </c>
    </row>
    <row r="28" spans="1:16" x14ac:dyDescent="0.2">
      <c r="B28" s="156" t="str">
        <v>AZT+3TC+NVP</v>
      </c>
      <c r="C28" s="323"/>
      <c r="D28" s="550">
        <f>'Data &amp; hypothesis Children'!F56</f>
        <v>0</v>
      </c>
      <c r="E28" s="324">
        <f t="shared" si="0"/>
        <v>0</v>
      </c>
      <c r="F28" s="324">
        <f t="shared" si="1"/>
        <v>0</v>
      </c>
      <c r="G28" s="324">
        <f t="shared" ref="G28:G32" si="2">E28*$D$7</f>
        <v>0</v>
      </c>
    </row>
    <row r="29" spans="1:16" x14ac:dyDescent="0.2">
      <c r="B29" s="156" t="str">
        <v>AZT+3TC+EFV</v>
      </c>
      <c r="C29" s="323"/>
      <c r="D29" s="550">
        <f>'Data &amp; hypothesis Children'!F57</f>
        <v>0</v>
      </c>
      <c r="E29" s="324">
        <f t="shared" si="0"/>
        <v>0</v>
      </c>
      <c r="F29" s="324">
        <f t="shared" si="1"/>
        <v>0</v>
      </c>
      <c r="G29" s="324">
        <f t="shared" si="2"/>
        <v>0</v>
      </c>
    </row>
    <row r="30" spans="1:16" x14ac:dyDescent="0.2">
      <c r="B30" s="156" t="str">
        <v>LPV/r+3TC+ABC</v>
      </c>
      <c r="C30" s="323"/>
      <c r="D30" s="550">
        <f>'Data &amp; hypothesis Children'!F58</f>
        <v>0</v>
      </c>
      <c r="E30" s="324">
        <f t="shared" si="0"/>
        <v>0</v>
      </c>
      <c r="F30" s="324">
        <f t="shared" si="1"/>
        <v>0</v>
      </c>
      <c r="G30" s="324">
        <f t="shared" si="2"/>
        <v>0</v>
      </c>
    </row>
    <row r="31" spans="1:16" x14ac:dyDescent="0.2">
      <c r="B31" s="156" t="str">
        <v>ABC+3TC+NVP</v>
      </c>
      <c r="C31" s="323"/>
      <c r="D31" s="550">
        <f>'Data &amp; hypothesis Children'!F59</f>
        <v>0</v>
      </c>
      <c r="E31" s="324">
        <f t="shared" si="0"/>
        <v>0</v>
      </c>
      <c r="F31" s="324">
        <f t="shared" si="1"/>
        <v>0</v>
      </c>
      <c r="G31" s="324">
        <f t="shared" si="2"/>
        <v>0</v>
      </c>
    </row>
    <row r="32" spans="1:16" ht="13.5" thickBot="1" x14ac:dyDescent="0.25">
      <c r="B32" s="157" t="str">
        <v>AZT+3TC+LPV/r</v>
      </c>
      <c r="C32" s="538" t="s">
        <v>199</v>
      </c>
      <c r="D32" s="1271">
        <f>'Data &amp; hypothesis Children'!F60</f>
        <v>0</v>
      </c>
      <c r="E32" s="589">
        <f t="shared" si="0"/>
        <v>0</v>
      </c>
      <c r="F32" s="589">
        <f t="shared" si="1"/>
        <v>0</v>
      </c>
      <c r="G32" s="589">
        <f t="shared" si="2"/>
        <v>0</v>
      </c>
    </row>
    <row r="33" spans="1:17" ht="13.5" thickTop="1" x14ac:dyDescent="0.2">
      <c r="B33" s="260" t="s">
        <v>6</v>
      </c>
      <c r="C33" s="497"/>
      <c r="D33" s="347"/>
      <c r="E33" s="553">
        <f>'Data &amp; hypothesis Children'!E11</f>
        <v>0</v>
      </c>
      <c r="F33" s="347">
        <f>SUM(F27:F32)</f>
        <v>0</v>
      </c>
      <c r="G33" s="347">
        <f>SUM(G27:G32)</f>
        <v>0</v>
      </c>
    </row>
    <row r="34" spans="1:17" ht="13.5" thickBot="1" x14ac:dyDescent="0.25"/>
    <row r="35" spans="1:17" ht="64.5" thickBot="1" x14ac:dyDescent="0.25">
      <c r="A35" s="260"/>
      <c r="B35" s="554" t="str">
        <f>'TRAD-Children YEAR(1)'!B6</f>
        <v>Schéma thérapeutique</v>
      </c>
      <c r="C35" s="554"/>
      <c r="D35" s="544" t="str">
        <f>'TRAD-Children YEAR(1)'!B16</f>
        <v>Nb de patients mensuels</v>
      </c>
      <c r="E35" s="544" t="str">
        <f>'TRAD-Children YEAR(1)'!B19</f>
        <v>Total 
patients-mois</v>
      </c>
      <c r="F35" s="2189" t="str">
        <f>'TRAD-Children YEAR(1)'!B20</f>
        <v>Médicaments nécessaires</v>
      </c>
      <c r="G35" s="2189"/>
      <c r="H35" s="544" t="str">
        <f>'TRAD-Children YEAR(1)'!B21</f>
        <v>Total patients-mois AVEC Marge de sécurité</v>
      </c>
      <c r="I35" s="544" t="str">
        <f>'TRAD-Children YEAR(1)'!B22</f>
        <v>Nb de patients-mois Marge de sécurité</v>
      </c>
    </row>
    <row r="36" spans="1:17" x14ac:dyDescent="0.2">
      <c r="A36" s="260"/>
      <c r="B36" s="155" t="str">
        <f t="array" ref="B36:B41">'Data &amp; hypothesis Children'!$C$26:$C$31</f>
        <v>D4T+3TC+NVP</v>
      </c>
      <c r="C36" s="546"/>
      <c r="D36" s="548">
        <f t="shared" ref="D36:D41" si="3">$E27</f>
        <v>0</v>
      </c>
      <c r="E36" s="555">
        <f t="shared" ref="E36:E41" si="4">$I$6*D36</f>
        <v>0</v>
      </c>
      <c r="F36" s="546" t="s">
        <v>59</v>
      </c>
      <c r="G36" s="546"/>
      <c r="H36" s="555">
        <f t="shared" ref="H36:H41" si="5">D36*$I$7</f>
        <v>0</v>
      </c>
      <c r="I36" s="555">
        <f t="shared" ref="I36:I41" si="6">H36-E36</f>
        <v>0</v>
      </c>
    </row>
    <row r="37" spans="1:17" x14ac:dyDescent="0.2">
      <c r="A37" s="260"/>
      <c r="B37" s="156" t="str">
        <v>AZT+3TC+NVP</v>
      </c>
      <c r="C37" s="323"/>
      <c r="D37" s="324">
        <f t="shared" si="3"/>
        <v>0</v>
      </c>
      <c r="E37" s="1272">
        <f t="shared" si="4"/>
        <v>0</v>
      </c>
      <c r="F37" s="323" t="s">
        <v>57</v>
      </c>
      <c r="G37" s="323"/>
      <c r="H37" s="1272">
        <f t="shared" si="5"/>
        <v>0</v>
      </c>
      <c r="I37" s="1272">
        <f t="shared" si="6"/>
        <v>0</v>
      </c>
    </row>
    <row r="38" spans="1:17" x14ac:dyDescent="0.2">
      <c r="A38" s="260"/>
      <c r="B38" s="156" t="str">
        <v>AZT+3TC+EFV</v>
      </c>
      <c r="C38" s="323"/>
      <c r="D38" s="324">
        <f t="shared" si="3"/>
        <v>0</v>
      </c>
      <c r="E38" s="1272">
        <f t="shared" si="4"/>
        <v>0</v>
      </c>
      <c r="F38" s="323" t="s">
        <v>58</v>
      </c>
      <c r="G38" s="323" t="s">
        <v>17</v>
      </c>
      <c r="H38" s="1272">
        <f t="shared" si="5"/>
        <v>0</v>
      </c>
      <c r="I38" s="1272">
        <f t="shared" si="6"/>
        <v>0</v>
      </c>
    </row>
    <row r="39" spans="1:17" x14ac:dyDescent="0.2">
      <c r="A39" s="260"/>
      <c r="B39" s="156" t="str">
        <v>LPV/r+3TC+ABC</v>
      </c>
      <c r="C39" s="323" t="s">
        <v>53</v>
      </c>
      <c r="D39" s="324">
        <f t="shared" si="3"/>
        <v>0</v>
      </c>
      <c r="E39" s="1272">
        <f t="shared" si="4"/>
        <v>0</v>
      </c>
      <c r="F39" s="323" t="s">
        <v>58</v>
      </c>
      <c r="G39" s="323" t="s">
        <v>25</v>
      </c>
      <c r="H39" s="1272">
        <f t="shared" si="5"/>
        <v>0</v>
      </c>
      <c r="I39" s="1272">
        <f t="shared" si="6"/>
        <v>0</v>
      </c>
    </row>
    <row r="40" spans="1:17" x14ac:dyDescent="0.2">
      <c r="A40" s="260"/>
      <c r="B40" s="156" t="str">
        <v>ABC+3TC+NVP</v>
      </c>
      <c r="C40" s="323"/>
      <c r="D40" s="324">
        <f t="shared" si="3"/>
        <v>0</v>
      </c>
      <c r="E40" s="1272">
        <f t="shared" si="4"/>
        <v>0</v>
      </c>
      <c r="F40" s="323"/>
      <c r="G40" s="323"/>
      <c r="H40" s="1272">
        <f t="shared" si="5"/>
        <v>0</v>
      </c>
      <c r="I40" s="1272">
        <f t="shared" si="6"/>
        <v>0</v>
      </c>
    </row>
    <row r="41" spans="1:17" ht="13.5" thickBot="1" x14ac:dyDescent="0.25">
      <c r="A41" s="260"/>
      <c r="B41" s="157" t="str">
        <v>AZT+3TC+LPV/r</v>
      </c>
      <c r="C41" s="538" t="s">
        <v>199</v>
      </c>
      <c r="D41" s="589">
        <f t="shared" si="3"/>
        <v>0</v>
      </c>
      <c r="E41" s="557">
        <f t="shared" si="4"/>
        <v>0</v>
      </c>
      <c r="F41" s="538" t="s">
        <v>58</v>
      </c>
      <c r="G41" s="538" t="s">
        <v>33</v>
      </c>
      <c r="H41" s="557">
        <f t="shared" si="5"/>
        <v>0</v>
      </c>
      <c r="I41" s="557">
        <f t="shared" si="6"/>
        <v>0</v>
      </c>
    </row>
    <row r="42" spans="1:17" ht="14.25" thickTop="1" thickBot="1" x14ac:dyDescent="0.25">
      <c r="A42" s="260"/>
      <c r="B42" s="558" t="s">
        <v>288</v>
      </c>
      <c r="C42" s="559"/>
      <c r="D42" s="560">
        <f>SUM(D36:D41)</f>
        <v>0</v>
      </c>
      <c r="E42" s="561">
        <f>SUM(E36:E41)</f>
        <v>0</v>
      </c>
      <c r="F42" s="559"/>
      <c r="H42" s="562">
        <f>SUM(H36:H41)</f>
        <v>0</v>
      </c>
      <c r="I42" s="562">
        <f>SUM(I36:I41)</f>
        <v>0</v>
      </c>
    </row>
    <row r="43" spans="1:17" s="292" customFormat="1" x14ac:dyDescent="0.2">
      <c r="F43" s="522"/>
      <c r="G43" s="563"/>
    </row>
    <row r="44" spans="1:17" x14ac:dyDescent="0.2">
      <c r="A44" s="260"/>
      <c r="Q44" s="292"/>
    </row>
    <row r="45" spans="1:17" x14ac:dyDescent="0.2">
      <c r="A45" s="260"/>
      <c r="Q45" s="292"/>
    </row>
    <row r="46" spans="1:17" ht="15" x14ac:dyDescent="0.2">
      <c r="A46" s="260"/>
      <c r="B46" s="2143" t="str">
        <f>'TRAD-Children YEAR(1)'!B26</f>
        <v>Répartition des passages en 2ème ligne</v>
      </c>
      <c r="C46" s="2143"/>
      <c r="D46" s="2143"/>
      <c r="E46" s="2143"/>
      <c r="F46" s="2143"/>
      <c r="G46" s="2143"/>
      <c r="H46" s="2143"/>
      <c r="I46" s="2143"/>
      <c r="J46" s="2143"/>
      <c r="K46" s="2143"/>
      <c r="L46" s="2143"/>
      <c r="M46" s="2143"/>
      <c r="Q46" s="292"/>
    </row>
    <row r="47" spans="1:17" x14ac:dyDescent="0.2">
      <c r="A47" s="260"/>
      <c r="Q47" s="292"/>
    </row>
    <row r="48" spans="1:17" x14ac:dyDescent="0.2">
      <c r="A48" s="260"/>
      <c r="B48" s="528" t="str">
        <f>'TRAD-Children YEAR(1)'!B28</f>
        <v>Taux de passage en 2ème ligne</v>
      </c>
      <c r="C48" s="528"/>
      <c r="D48" s="564">
        <f>'Data &amp; hypothesis Children'!D69</f>
        <v>0</v>
      </c>
      <c r="E48" s="528"/>
      <c r="F48" s="528"/>
      <c r="G48" s="565" t="str">
        <f>'TRAD-Children YEAR(1)'!B29</f>
        <v>des patients à la fin de l'année, soit :</v>
      </c>
      <c r="H48" s="566" t="e">
        <f>ROUNDUP(D48*(C20+F33), 0)</f>
        <v>#DIV/0!</v>
      </c>
      <c r="I48" s="528" t="str">
        <f>'TRAD-Children YEAR(1)'!B32</f>
        <v>patients au total à la fin de l'année</v>
      </c>
    </row>
    <row r="49" spans="1:17" s="523" customFormat="1" ht="13.5" thickBot="1" x14ac:dyDescent="0.25">
      <c r="E49" s="567"/>
      <c r="G49" s="565" t="str">
        <f>'TRAD-Children YEAR(1)'!B30</f>
        <v>Actuellement en 2ème ligne :</v>
      </c>
      <c r="H49" s="568" t="e">
        <f>H12</f>
        <v>#DIV/0!</v>
      </c>
    </row>
    <row r="50" spans="1:17" ht="13.5" thickBot="1" x14ac:dyDescent="0.25">
      <c r="A50" s="260"/>
      <c r="C50" s="528"/>
      <c r="D50" s="569"/>
      <c r="E50" s="570"/>
      <c r="F50" s="571"/>
      <c r="G50" s="572" t="str">
        <f>'TRAD-Children YEAR(1)'!B31</f>
        <v>Nb de patients ayant switché dans l'année :</v>
      </c>
      <c r="H50" s="573" t="e">
        <f>IF(H48-H12&gt;0, H48-H12, 0)</f>
        <v>#DIV/0!</v>
      </c>
      <c r="J50" s="574" t="s">
        <v>283</v>
      </c>
      <c r="K50" s="575"/>
      <c r="L50" s="576" t="e">
        <f>H50/$D$6</f>
        <v>#DIV/0!</v>
      </c>
    </row>
    <row r="51" spans="1:17" ht="13.5" thickBot="1" x14ac:dyDescent="0.25">
      <c r="A51" s="260"/>
    </row>
    <row r="52" spans="1:17" ht="64.5" thickBot="1" x14ac:dyDescent="0.25">
      <c r="A52" s="260"/>
      <c r="B52" s="554" t="str">
        <f>'TRAD-Children YEAR(1)'!B34</f>
        <v>2èmes lignes</v>
      </c>
      <c r="C52" s="554" t="s">
        <v>51</v>
      </c>
      <c r="D52" s="544" t="str">
        <f>'TRAD-Children YEAR(1)'!B16</f>
        <v>Nb de patients mensuels</v>
      </c>
      <c r="E52" s="544" t="str">
        <f>'TRAD-Children YEAR(1)'!B35</f>
        <v>Nb de patients annuels / schéma</v>
      </c>
      <c r="F52" s="2189" t="str">
        <f>'TRAD-Children YEAR(1)'!B20</f>
        <v>Médicaments nécessaires</v>
      </c>
      <c r="G52" s="2189"/>
      <c r="H52" s="2189"/>
      <c r="I52" s="544" t="str">
        <f>'TRAD-Children YEAR(1)'!B39</f>
        <v>Nb de patients -mois</v>
      </c>
      <c r="J52" s="544" t="str">
        <f>'TRAD-Children YEAR(1)'!B21</f>
        <v>Total patients-mois AVEC Marge de sécurité</v>
      </c>
      <c r="K52" s="544" t="str">
        <f>'TRAD-Children YEAR(1)'!B23</f>
        <v>Nb de patients-mois Marge de sécurité SEULE</v>
      </c>
    </row>
    <row r="53" spans="1:17" x14ac:dyDescent="0.2">
      <c r="A53" s="260"/>
      <c r="B53" s="1950" t="str">
        <f t="array" ref="B53:B56">'Data &amp; hypothesis Children'!$C$32:$C$35</f>
        <v>ABC+3TC+EFV</v>
      </c>
      <c r="C53" s="1951">
        <f>'Data &amp; hypothesis Children'!E79</f>
        <v>0</v>
      </c>
      <c r="D53" s="1952" t="e">
        <f>$C53*$L$50</f>
        <v>#DIV/0!</v>
      </c>
      <c r="E53" s="1952" t="e">
        <f>D53*$D$6</f>
        <v>#DIV/0!</v>
      </c>
      <c r="F53" s="1952"/>
      <c r="G53" s="1952"/>
      <c r="H53" s="1952"/>
      <c r="I53" s="1953" t="e">
        <f>$I$6*D53</f>
        <v>#DIV/0!</v>
      </c>
      <c r="J53" s="1953" t="e">
        <f>D53*$I$7</f>
        <v>#DIV/0!</v>
      </c>
      <c r="K53" s="1954" t="e">
        <f>J53-I53</f>
        <v>#DIV/0!</v>
      </c>
    </row>
    <row r="54" spans="1:17" x14ac:dyDescent="0.2">
      <c r="A54" s="260"/>
      <c r="B54" s="1955" t="str">
        <v>TDF+3TC+LPV/r</v>
      </c>
      <c r="C54" s="1956">
        <f>'Data &amp; hypothesis Children'!E80</f>
        <v>0</v>
      </c>
      <c r="D54" s="734" t="e">
        <f t="shared" ref="D54:D55" si="7">$C54*$L$50</f>
        <v>#DIV/0!</v>
      </c>
      <c r="E54" s="734" t="e">
        <f t="shared" ref="E54:E55" si="8">D54*$D$6</f>
        <v>#DIV/0!</v>
      </c>
      <c r="F54" s="734"/>
      <c r="G54" s="734"/>
      <c r="H54" s="734"/>
      <c r="I54" s="1272" t="e">
        <f t="shared" ref="I54:I55" si="9">$I$6*D54</f>
        <v>#DIV/0!</v>
      </c>
      <c r="J54" s="1272" t="e">
        <f t="shared" ref="J54:J55" si="10">D54*$I$7</f>
        <v>#DIV/0!</v>
      </c>
      <c r="K54" s="1957" t="e">
        <f t="shared" ref="K54:K55" si="11">J54-I54</f>
        <v>#DIV/0!</v>
      </c>
    </row>
    <row r="55" spans="1:17" x14ac:dyDescent="0.2">
      <c r="A55" s="260"/>
      <c r="B55" s="1955" t="str">
        <v>AZT+3TC+EFV</v>
      </c>
      <c r="C55" s="1956">
        <f>'Data &amp; hypothesis Children'!E81</f>
        <v>0</v>
      </c>
      <c r="D55" s="734" t="e">
        <f t="shared" si="7"/>
        <v>#DIV/0!</v>
      </c>
      <c r="E55" s="734" t="e">
        <f t="shared" si="8"/>
        <v>#DIV/0!</v>
      </c>
      <c r="F55" s="734"/>
      <c r="G55" s="734"/>
      <c r="H55" s="734"/>
      <c r="I55" s="1272" t="e">
        <f t="shared" si="9"/>
        <v>#DIV/0!</v>
      </c>
      <c r="J55" s="1272" t="e">
        <f t="shared" si="10"/>
        <v>#DIV/0!</v>
      </c>
      <c r="K55" s="1957" t="e">
        <f t="shared" si="11"/>
        <v>#DIV/0!</v>
      </c>
    </row>
    <row r="56" spans="1:17" ht="13.5" thickBot="1" x14ac:dyDescent="0.25">
      <c r="A56" s="260"/>
      <c r="B56" s="1958">
        <v>0</v>
      </c>
      <c r="C56" s="1273">
        <f>'Data &amp; hypothesis Children'!E82</f>
        <v>0</v>
      </c>
      <c r="D56" s="1197" t="e">
        <f>$C56*$L$50</f>
        <v>#DIV/0!</v>
      </c>
      <c r="E56" s="1197" t="e">
        <f>D56*$D$6</f>
        <v>#DIV/0!</v>
      </c>
      <c r="F56" s="1197"/>
      <c r="G56" s="1197"/>
      <c r="H56" s="1197"/>
      <c r="I56" s="557" t="e">
        <f>$I$6*D56</f>
        <v>#DIV/0!</v>
      </c>
      <c r="J56" s="557" t="e">
        <f>D56*$I$7</f>
        <v>#DIV/0!</v>
      </c>
      <c r="K56" s="1959" t="e">
        <f>J56-I56</f>
        <v>#DIV/0!</v>
      </c>
    </row>
    <row r="57" spans="1:17" ht="14.25" thickTop="1" thickBot="1" x14ac:dyDescent="0.25">
      <c r="A57" s="260"/>
      <c r="B57" s="528" t="s">
        <v>6</v>
      </c>
      <c r="C57" s="528"/>
      <c r="D57" s="577" t="e">
        <f>SUM(D53:D56)</f>
        <v>#DIV/0!</v>
      </c>
      <c r="E57" s="577" t="e">
        <f>SUM(E53:E56)</f>
        <v>#DIV/0!</v>
      </c>
      <c r="F57" s="577"/>
      <c r="G57" s="577"/>
      <c r="H57" s="577"/>
      <c r="I57" s="562" t="e">
        <f>SUM(I53:I56)</f>
        <v>#DIV/0!</v>
      </c>
      <c r="J57" s="562" t="e">
        <f>SUM(J53:J56)</f>
        <v>#DIV/0!</v>
      </c>
      <c r="K57" s="562" t="e">
        <f>SUM(K53:K56)</f>
        <v>#DIV/0!</v>
      </c>
    </row>
    <row r="58" spans="1:17" x14ac:dyDescent="0.2">
      <c r="A58" s="260"/>
      <c r="I58" s="292"/>
    </row>
    <row r="59" spans="1:17" x14ac:dyDescent="0.2">
      <c r="A59" s="260"/>
      <c r="Q59" s="292"/>
    </row>
    <row r="60" spans="1:17" s="263" customFormat="1" ht="16.5" thickBot="1" x14ac:dyDescent="0.3">
      <c r="A60" s="2177" t="str">
        <f>'TRAD-Children YEAR(1)'!B24</f>
        <v>Répartition de la FA sous traitement en nb de patients - mois / poids / schéma</v>
      </c>
      <c r="B60" s="2177"/>
      <c r="C60" s="2177"/>
      <c r="D60" s="2177"/>
      <c r="E60" s="2177"/>
      <c r="F60" s="2177"/>
      <c r="G60" s="2177"/>
      <c r="H60" s="2177"/>
      <c r="I60" s="2177"/>
      <c r="J60" s="2177"/>
      <c r="K60" s="2177"/>
      <c r="L60" s="2177"/>
      <c r="M60" s="2177"/>
      <c r="N60" s="2177"/>
    </row>
    <row r="61" spans="1:17" ht="13.5" thickBot="1" x14ac:dyDescent="0.25">
      <c r="A61" s="260"/>
      <c r="Q61" s="292"/>
    </row>
    <row r="62" spans="1:17" ht="13.5" thickBot="1" x14ac:dyDescent="0.25">
      <c r="A62" s="260"/>
      <c r="B62" s="554" t="str">
        <f>'TRAD-Children YEAR(1)'!B36</f>
        <v>Poids (kg)</v>
      </c>
      <c r="C62" s="544" t="s">
        <v>206</v>
      </c>
      <c r="D62" s="544" t="s">
        <v>207</v>
      </c>
      <c r="E62" s="544" t="s">
        <v>208</v>
      </c>
      <c r="F62" s="544" t="s">
        <v>112</v>
      </c>
      <c r="Q62" s="292"/>
    </row>
    <row r="63" spans="1:17" ht="13.5" thickBot="1" x14ac:dyDescent="0.25">
      <c r="A63" s="260"/>
      <c r="B63" s="554" t="str">
        <f>'TRAD-Children YEAR(1)'!B37</f>
        <v>Pourcentage</v>
      </c>
      <c r="C63" s="579">
        <f>'Data &amp; hypothesis Children'!C44</f>
        <v>0.25</v>
      </c>
      <c r="D63" s="579">
        <f>'Data &amp; hypothesis Children'!D44</f>
        <v>0.5</v>
      </c>
      <c r="E63" s="580">
        <f>'Data &amp; hypothesis Children'!E44</f>
        <v>0.13</v>
      </c>
      <c r="F63" s="580">
        <f>'Data &amp; hypothesis Children'!F44</f>
        <v>0.12</v>
      </c>
      <c r="Q63" s="292"/>
    </row>
    <row r="64" spans="1:17" x14ac:dyDescent="0.2">
      <c r="A64" s="260"/>
      <c r="Q64" s="292"/>
    </row>
    <row r="65" spans="1:17" ht="15" x14ac:dyDescent="0.2">
      <c r="A65" s="260"/>
      <c r="B65" s="2191" t="str">
        <f>'TRAD-Children YEAR(1)'!B38</f>
        <v>SANS marge de sécurité</v>
      </c>
      <c r="C65" s="2191"/>
      <c r="D65" s="2191"/>
      <c r="E65" s="2191"/>
      <c r="F65" s="2191"/>
      <c r="Q65" s="292"/>
    </row>
    <row r="66" spans="1:17" x14ac:dyDescent="0.2">
      <c r="A66" s="260"/>
      <c r="C66" s="291"/>
      <c r="D66" s="291"/>
      <c r="E66" s="291"/>
      <c r="F66" s="291"/>
      <c r="G66" s="291"/>
      <c r="H66" s="291"/>
      <c r="I66" s="291"/>
      <c r="Q66" s="292"/>
    </row>
    <row r="67" spans="1:17" ht="13.5" thickBot="1" x14ac:dyDescent="0.25">
      <c r="A67" s="260"/>
      <c r="C67" s="2168" t="str">
        <f>'TRAD-Children YEAR(1)'!B39</f>
        <v>Nb de patients -mois</v>
      </c>
      <c r="D67" s="2168"/>
      <c r="E67" s="2190"/>
      <c r="F67" s="2168" t="str">
        <f>'TRAD-Children YEAR(1)'!B40</f>
        <v>Répartition des patients mois / tranches de poids</v>
      </c>
      <c r="G67" s="2168"/>
      <c r="H67" s="2168"/>
      <c r="I67" s="2168"/>
      <c r="Q67" s="292"/>
    </row>
    <row r="68" spans="1:17" ht="39" thickBot="1" x14ac:dyDescent="0.25">
      <c r="A68" s="260"/>
      <c r="B68" s="529" t="s">
        <v>180</v>
      </c>
      <c r="C68" s="529" t="s">
        <v>210</v>
      </c>
      <c r="D68" s="529" t="s">
        <v>289</v>
      </c>
      <c r="E68" s="581" t="s">
        <v>260</v>
      </c>
      <c r="F68" s="544" t="s">
        <v>206</v>
      </c>
      <c r="G68" s="544" t="s">
        <v>207</v>
      </c>
      <c r="H68" s="544" t="s">
        <v>208</v>
      </c>
      <c r="I68" s="544" t="s">
        <v>112</v>
      </c>
      <c r="O68" s="292"/>
    </row>
    <row r="69" spans="1:17" x14ac:dyDescent="0.2">
      <c r="A69" s="260"/>
      <c r="B69" s="155" t="str">
        <f t="array" ref="B69:B78">'Data &amp; hypothesis Children'!$C$26:$C$35</f>
        <v>D4T+3TC+NVP</v>
      </c>
      <c r="C69" s="582" t="e">
        <f t="shared" ref="C69:C74" si="12">$D$6*C10</f>
        <v>#DIV/0!</v>
      </c>
      <c r="D69" s="582">
        <f t="shared" ref="D69:D74" si="13">E36</f>
        <v>0</v>
      </c>
      <c r="E69" s="583" t="e">
        <f>SUM(C69:D69)</f>
        <v>#DIV/0!</v>
      </c>
      <c r="F69" s="584" t="e">
        <f t="shared" ref="F69:I70" si="14">C$63*$E69</f>
        <v>#DIV/0!</v>
      </c>
      <c r="G69" s="584" t="e">
        <f t="shared" si="14"/>
        <v>#DIV/0!</v>
      </c>
      <c r="H69" s="584" t="e">
        <f t="shared" si="14"/>
        <v>#DIV/0!</v>
      </c>
      <c r="I69" s="584" t="e">
        <f t="shared" si="14"/>
        <v>#DIV/0!</v>
      </c>
      <c r="O69" s="292"/>
    </row>
    <row r="70" spans="1:17" x14ac:dyDescent="0.2">
      <c r="A70" s="260"/>
      <c r="B70" s="156" t="str">
        <v>AZT+3TC+NVP</v>
      </c>
      <c r="C70" s="585" t="e">
        <f t="shared" si="12"/>
        <v>#DIV/0!</v>
      </c>
      <c r="D70" s="585">
        <f t="shared" si="13"/>
        <v>0</v>
      </c>
      <c r="E70" s="586" t="e">
        <f t="shared" ref="E70:E78" si="15">SUM(C70:D70)</f>
        <v>#DIV/0!</v>
      </c>
      <c r="F70" s="587" t="e">
        <f t="shared" si="14"/>
        <v>#DIV/0!</v>
      </c>
      <c r="G70" s="587" t="e">
        <f t="shared" si="14"/>
        <v>#DIV/0!</v>
      </c>
      <c r="H70" s="587" t="e">
        <f t="shared" si="14"/>
        <v>#DIV/0!</v>
      </c>
      <c r="I70" s="587" t="e">
        <f t="shared" si="14"/>
        <v>#DIV/0!</v>
      </c>
      <c r="O70" s="292"/>
    </row>
    <row r="71" spans="1:17" x14ac:dyDescent="0.2">
      <c r="A71" s="260"/>
      <c r="B71" s="156" t="str">
        <v>AZT+3TC+EFV</v>
      </c>
      <c r="C71" s="585" t="e">
        <f t="shared" si="12"/>
        <v>#DIV/0!</v>
      </c>
      <c r="D71" s="585">
        <f t="shared" si="13"/>
        <v>0</v>
      </c>
      <c r="E71" s="586" t="e">
        <f t="shared" si="15"/>
        <v>#DIV/0!</v>
      </c>
      <c r="F71" s="588"/>
      <c r="G71" s="587" t="e">
        <f>(C$63+D$63)*$E71</f>
        <v>#DIV/0!</v>
      </c>
      <c r="H71" s="587" t="e">
        <f t="shared" ref="H71:I78" si="16">E$63*$E71</f>
        <v>#DIV/0!</v>
      </c>
      <c r="I71" s="587" t="e">
        <f t="shared" si="16"/>
        <v>#DIV/0!</v>
      </c>
      <c r="O71" s="292"/>
    </row>
    <row r="72" spans="1:17" x14ac:dyDescent="0.2">
      <c r="A72" s="260"/>
      <c r="B72" s="156" t="str">
        <v>LPV/r+3TC+ABC</v>
      </c>
      <c r="C72" s="585" t="e">
        <f t="shared" si="12"/>
        <v>#DIV/0!</v>
      </c>
      <c r="D72" s="585">
        <f t="shared" si="13"/>
        <v>0</v>
      </c>
      <c r="E72" s="586" t="e">
        <f t="shared" si="15"/>
        <v>#DIV/0!</v>
      </c>
      <c r="F72" s="587" t="e">
        <f t="shared" ref="F72:G78" si="17">C$63*$E72</f>
        <v>#DIV/0!</v>
      </c>
      <c r="G72" s="587" t="e">
        <f t="shared" si="17"/>
        <v>#DIV/0!</v>
      </c>
      <c r="H72" s="587" t="e">
        <f t="shared" si="16"/>
        <v>#DIV/0!</v>
      </c>
      <c r="I72" s="587" t="e">
        <f t="shared" si="16"/>
        <v>#DIV/0!</v>
      </c>
      <c r="O72" s="292"/>
    </row>
    <row r="73" spans="1:17" x14ac:dyDescent="0.2">
      <c r="A73" s="260"/>
      <c r="B73" s="156" t="str">
        <v>ABC+3TC+NVP</v>
      </c>
      <c r="C73" s="585" t="e">
        <f t="shared" si="12"/>
        <v>#DIV/0!</v>
      </c>
      <c r="D73" s="585">
        <f t="shared" si="13"/>
        <v>0</v>
      </c>
      <c r="E73" s="586" t="e">
        <f t="shared" si="15"/>
        <v>#DIV/0!</v>
      </c>
      <c r="F73" s="587" t="e">
        <f t="shared" si="17"/>
        <v>#DIV/0!</v>
      </c>
      <c r="G73" s="587" t="e">
        <f t="shared" si="17"/>
        <v>#DIV/0!</v>
      </c>
      <c r="H73" s="587" t="e">
        <f t="shared" si="16"/>
        <v>#DIV/0!</v>
      </c>
      <c r="I73" s="587" t="e">
        <f t="shared" si="16"/>
        <v>#DIV/0!</v>
      </c>
      <c r="O73" s="292"/>
    </row>
    <row r="74" spans="1:17" x14ac:dyDescent="0.2">
      <c r="A74" s="260"/>
      <c r="B74" s="1253" t="str">
        <v>AZT+3TC+LPV/r</v>
      </c>
      <c r="C74" s="772" t="e">
        <f t="shared" si="12"/>
        <v>#DIV/0!</v>
      </c>
      <c r="D74" s="772">
        <f t="shared" si="13"/>
        <v>0</v>
      </c>
      <c r="E74" s="1276" t="e">
        <f t="shared" si="15"/>
        <v>#DIV/0!</v>
      </c>
      <c r="F74" s="777" t="e">
        <f t="shared" si="17"/>
        <v>#DIV/0!</v>
      </c>
      <c r="G74" s="777" t="e">
        <f t="shared" si="17"/>
        <v>#DIV/0!</v>
      </c>
      <c r="H74" s="777" t="e">
        <f t="shared" si="16"/>
        <v>#DIV/0!</v>
      </c>
      <c r="I74" s="777" t="e">
        <f t="shared" si="16"/>
        <v>#DIV/0!</v>
      </c>
      <c r="O74" s="292"/>
    </row>
    <row r="75" spans="1:17" x14ac:dyDescent="0.2">
      <c r="A75" s="260"/>
      <c r="B75" s="1948" t="str">
        <v>ABC+3TC+EFV</v>
      </c>
      <c r="C75" s="771" t="e">
        <f>$D$6*C16</f>
        <v>#DIV/0!</v>
      </c>
      <c r="D75" s="771" t="e">
        <f>I53</f>
        <v>#DIV/0!</v>
      </c>
      <c r="E75" s="1274" t="e">
        <f t="shared" si="15"/>
        <v>#DIV/0!</v>
      </c>
      <c r="F75" s="1275" t="e">
        <f t="shared" si="17"/>
        <v>#DIV/0!</v>
      </c>
      <c r="G75" s="1275" t="e">
        <f t="shared" si="17"/>
        <v>#DIV/0!</v>
      </c>
      <c r="H75" s="1275" t="e">
        <f t="shared" si="16"/>
        <v>#DIV/0!</v>
      </c>
      <c r="I75" s="1275" t="e">
        <f t="shared" si="16"/>
        <v>#DIV/0!</v>
      </c>
      <c r="O75" s="292"/>
    </row>
    <row r="76" spans="1:17" x14ac:dyDescent="0.2">
      <c r="A76" s="260"/>
      <c r="B76" s="156" t="str">
        <v>TDF+3TC+LPV/r</v>
      </c>
      <c r="C76" s="771" t="e">
        <f t="shared" ref="C76:C77" si="18">$D$6*C17</f>
        <v>#DIV/0!</v>
      </c>
      <c r="D76" s="771" t="e">
        <f t="shared" ref="D76:D77" si="19">I54</f>
        <v>#DIV/0!</v>
      </c>
      <c r="E76" s="1274" t="e">
        <f t="shared" ref="E76:E77" si="20">SUM(C76:D76)</f>
        <v>#DIV/0!</v>
      </c>
      <c r="F76" s="1275" t="e">
        <f t="shared" ref="F76:F77" si="21">C$63*$E76</f>
        <v>#DIV/0!</v>
      </c>
      <c r="G76" s="1275" t="e">
        <f t="shared" ref="G76:G77" si="22">D$63*$E76</f>
        <v>#DIV/0!</v>
      </c>
      <c r="H76" s="1275" t="e">
        <f t="shared" ref="H76:H77" si="23">E$63*$E76</f>
        <v>#DIV/0!</v>
      </c>
      <c r="I76" s="1275" t="e">
        <f t="shared" ref="I76:I77" si="24">F$63*$E76</f>
        <v>#DIV/0!</v>
      </c>
      <c r="O76" s="292"/>
    </row>
    <row r="77" spans="1:17" x14ac:dyDescent="0.2">
      <c r="A77" s="260"/>
      <c r="B77" s="156" t="str">
        <v>AZT+3TC+EFV</v>
      </c>
      <c r="C77" s="771" t="e">
        <f t="shared" si="18"/>
        <v>#DIV/0!</v>
      </c>
      <c r="D77" s="771" t="e">
        <f t="shared" si="19"/>
        <v>#DIV/0!</v>
      </c>
      <c r="E77" s="1274" t="e">
        <f t="shared" si="20"/>
        <v>#DIV/0!</v>
      </c>
      <c r="F77" s="1275" t="e">
        <f t="shared" si="21"/>
        <v>#DIV/0!</v>
      </c>
      <c r="G77" s="1275" t="e">
        <f t="shared" si="22"/>
        <v>#DIV/0!</v>
      </c>
      <c r="H77" s="1275" t="e">
        <f t="shared" si="23"/>
        <v>#DIV/0!</v>
      </c>
      <c r="I77" s="1275" t="e">
        <f t="shared" si="24"/>
        <v>#DIV/0!</v>
      </c>
      <c r="O77" s="292"/>
    </row>
    <row r="78" spans="1:17" ht="13.5" thickBot="1" x14ac:dyDescent="0.25">
      <c r="A78" s="260"/>
      <c r="B78" s="157">
        <v>0</v>
      </c>
      <c r="C78" s="589" t="e">
        <f>$D$6*C19</f>
        <v>#DIV/0!</v>
      </c>
      <c r="D78" s="589" t="e">
        <f>I56</f>
        <v>#DIV/0!</v>
      </c>
      <c r="E78" s="590" t="e">
        <f t="shared" si="15"/>
        <v>#DIV/0!</v>
      </c>
      <c r="F78" s="591" t="e">
        <f t="shared" si="17"/>
        <v>#DIV/0!</v>
      </c>
      <c r="G78" s="591" t="e">
        <f t="shared" si="17"/>
        <v>#DIV/0!</v>
      </c>
      <c r="H78" s="591" t="e">
        <f t="shared" si="16"/>
        <v>#DIV/0!</v>
      </c>
      <c r="I78" s="591" t="e">
        <f t="shared" si="16"/>
        <v>#DIV/0!</v>
      </c>
      <c r="O78" s="292"/>
    </row>
    <row r="79" spans="1:17" ht="13.5" thickTop="1" x14ac:dyDescent="0.2">
      <c r="A79" s="260"/>
      <c r="B79" s="592"/>
      <c r="C79" s="592"/>
      <c r="D79" s="592"/>
      <c r="E79" s="592"/>
      <c r="O79" s="292"/>
    </row>
    <row r="80" spans="1:17" x14ac:dyDescent="0.2">
      <c r="A80" s="260"/>
      <c r="B80" s="593"/>
      <c r="C80" s="593"/>
      <c r="D80" s="593"/>
      <c r="E80" s="593"/>
      <c r="O80" s="292"/>
    </row>
    <row r="81" spans="1:17" ht="15" x14ac:dyDescent="0.2">
      <c r="A81" s="260"/>
      <c r="B81" s="2191" t="str">
        <f>'TRAD-Children YEAR(1)'!B44</f>
        <v>AVEC marge de sécurité</v>
      </c>
      <c r="C81" s="2191"/>
      <c r="D81" s="2191"/>
      <c r="E81" s="2191"/>
      <c r="F81" s="2191"/>
      <c r="Q81" s="292"/>
    </row>
    <row r="82" spans="1:17" x14ac:dyDescent="0.2">
      <c r="A82" s="260"/>
      <c r="C82" s="291"/>
      <c r="D82" s="291"/>
      <c r="E82" s="291"/>
      <c r="F82" s="291"/>
      <c r="G82" s="291"/>
      <c r="H82" s="291"/>
      <c r="I82" s="291"/>
      <c r="Q82" s="292"/>
    </row>
    <row r="83" spans="1:17" ht="13.5" thickBot="1" x14ac:dyDescent="0.25">
      <c r="A83" s="260"/>
      <c r="C83" s="2168" t="str">
        <f>'TRAD-Children YEAR(1)'!B39</f>
        <v>Nb de patients -mois</v>
      </c>
      <c r="D83" s="2168"/>
      <c r="E83" s="2190"/>
      <c r="F83" s="2168" t="str">
        <f>'TRAD-Children YEAR(1)'!B40</f>
        <v>Répartition des patients mois / tranches de poids</v>
      </c>
      <c r="G83" s="2168"/>
      <c r="H83" s="2168"/>
      <c r="I83" s="2168"/>
      <c r="Q83" s="292"/>
    </row>
    <row r="84" spans="1:17" ht="39" thickBot="1" x14ac:dyDescent="0.25">
      <c r="A84" s="260"/>
      <c r="B84" s="529" t="str">
        <f>'TRAD-Children YEAR(1)'!B6</f>
        <v>Schéma thérapeutique</v>
      </c>
      <c r="C84" s="529" t="str">
        <f>'TRAD-Children YEAR(1)'!B41</f>
        <v>Enfants présents au début de l'année</v>
      </c>
      <c r="D84" s="529" t="str">
        <f>'TRAD-Children YEAR(1)'!B42</f>
        <v>Initiations et passages en 2ème lignes</v>
      </c>
      <c r="E84" s="581" t="str">
        <f>'TRAD-Children YEAR(1)'!B43</f>
        <v>Total annuel en nb de patients -mois</v>
      </c>
      <c r="F84" s="544" t="s">
        <v>206</v>
      </c>
      <c r="G84" s="544" t="s">
        <v>207</v>
      </c>
      <c r="H84" s="544" t="s">
        <v>208</v>
      </c>
      <c r="I84" s="544" t="s">
        <v>112</v>
      </c>
      <c r="O84" s="292"/>
    </row>
    <row r="85" spans="1:17" x14ac:dyDescent="0.2">
      <c r="A85" s="260"/>
      <c r="B85" s="155" t="str">
        <f t="array" ref="B85:B94">'Data &amp; hypothesis Children'!$C$26:$C$35</f>
        <v>D4T+3TC+NVP</v>
      </c>
      <c r="C85" s="582" t="e">
        <f t="shared" ref="C85:C91" si="25">$D$7*C10</f>
        <v>#DIV/0!</v>
      </c>
      <c r="D85" s="582">
        <f t="shared" ref="D85:D90" si="26">H36</f>
        <v>0</v>
      </c>
      <c r="E85" s="583" t="e">
        <f t="shared" ref="E85:E91" si="27">SUM(C85:D85)</f>
        <v>#DIV/0!</v>
      </c>
      <c r="F85" s="584" t="e">
        <f t="shared" ref="F85:I86" si="28">C$63*$E85</f>
        <v>#DIV/0!</v>
      </c>
      <c r="G85" s="584" t="e">
        <f t="shared" si="28"/>
        <v>#DIV/0!</v>
      </c>
      <c r="H85" s="584" t="e">
        <f t="shared" si="28"/>
        <v>#DIV/0!</v>
      </c>
      <c r="I85" s="584" t="e">
        <f t="shared" si="28"/>
        <v>#DIV/0!</v>
      </c>
      <c r="O85" s="292"/>
    </row>
    <row r="86" spans="1:17" x14ac:dyDescent="0.2">
      <c r="A86" s="260"/>
      <c r="B86" s="156" t="str">
        <v>AZT+3TC+NVP</v>
      </c>
      <c r="C86" s="585" t="e">
        <f t="shared" si="25"/>
        <v>#DIV/0!</v>
      </c>
      <c r="D86" s="585">
        <f t="shared" si="26"/>
        <v>0</v>
      </c>
      <c r="E86" s="586" t="e">
        <f t="shared" si="27"/>
        <v>#DIV/0!</v>
      </c>
      <c r="F86" s="587" t="e">
        <f t="shared" si="28"/>
        <v>#DIV/0!</v>
      </c>
      <c r="G86" s="587" t="e">
        <f t="shared" si="28"/>
        <v>#DIV/0!</v>
      </c>
      <c r="H86" s="587" t="e">
        <f t="shared" si="28"/>
        <v>#DIV/0!</v>
      </c>
      <c r="I86" s="587" t="e">
        <f t="shared" si="28"/>
        <v>#DIV/0!</v>
      </c>
      <c r="O86" s="292"/>
    </row>
    <row r="87" spans="1:17" x14ac:dyDescent="0.2">
      <c r="A87" s="260"/>
      <c r="B87" s="156" t="str">
        <v>AZT+3TC+EFV</v>
      </c>
      <c r="C87" s="585" t="e">
        <f t="shared" si="25"/>
        <v>#DIV/0!</v>
      </c>
      <c r="D87" s="585">
        <f t="shared" si="26"/>
        <v>0</v>
      </c>
      <c r="E87" s="586" t="e">
        <f t="shared" si="27"/>
        <v>#DIV/0!</v>
      </c>
      <c r="F87" s="588"/>
      <c r="G87" s="587" t="e">
        <f>(C$63+D$63)*$E87</f>
        <v>#DIV/0!</v>
      </c>
      <c r="H87" s="587" t="e">
        <f t="shared" ref="H87:I91" si="29">E$63*$E87</f>
        <v>#DIV/0!</v>
      </c>
      <c r="I87" s="587" t="e">
        <f t="shared" si="29"/>
        <v>#DIV/0!</v>
      </c>
      <c r="O87" s="292"/>
    </row>
    <row r="88" spans="1:17" x14ac:dyDescent="0.2">
      <c r="A88" s="260"/>
      <c r="B88" s="156" t="str">
        <v>LPV/r+3TC+ABC</v>
      </c>
      <c r="C88" s="585" t="e">
        <f t="shared" si="25"/>
        <v>#DIV/0!</v>
      </c>
      <c r="D88" s="585">
        <f t="shared" si="26"/>
        <v>0</v>
      </c>
      <c r="E88" s="586" t="e">
        <f t="shared" si="27"/>
        <v>#DIV/0!</v>
      </c>
      <c r="F88" s="587" t="e">
        <f t="shared" ref="F88:G91" si="30">C$63*$E88</f>
        <v>#DIV/0!</v>
      </c>
      <c r="G88" s="587" t="e">
        <f t="shared" si="30"/>
        <v>#DIV/0!</v>
      </c>
      <c r="H88" s="587" t="e">
        <f t="shared" si="29"/>
        <v>#DIV/0!</v>
      </c>
      <c r="I88" s="587" t="e">
        <f t="shared" si="29"/>
        <v>#DIV/0!</v>
      </c>
      <c r="O88" s="292"/>
    </row>
    <row r="89" spans="1:17" x14ac:dyDescent="0.2">
      <c r="A89" s="260"/>
      <c r="B89" s="156" t="str">
        <v>ABC+3TC+NVP</v>
      </c>
      <c r="C89" s="585" t="e">
        <f t="shared" si="25"/>
        <v>#DIV/0!</v>
      </c>
      <c r="D89" s="585">
        <f t="shared" si="26"/>
        <v>0</v>
      </c>
      <c r="E89" s="586" t="e">
        <f t="shared" si="27"/>
        <v>#DIV/0!</v>
      </c>
      <c r="F89" s="587" t="e">
        <f t="shared" si="30"/>
        <v>#DIV/0!</v>
      </c>
      <c r="G89" s="587" t="e">
        <f t="shared" si="30"/>
        <v>#DIV/0!</v>
      </c>
      <c r="H89" s="587" t="e">
        <f t="shared" si="29"/>
        <v>#DIV/0!</v>
      </c>
      <c r="I89" s="587" t="e">
        <f t="shared" si="29"/>
        <v>#DIV/0!</v>
      </c>
      <c r="O89" s="292"/>
    </row>
    <row r="90" spans="1:17" x14ac:dyDescent="0.2">
      <c r="A90" s="260"/>
      <c r="B90" s="1253" t="str">
        <v>AZT+3TC+LPV/r</v>
      </c>
      <c r="C90" s="772" t="e">
        <f t="shared" si="25"/>
        <v>#DIV/0!</v>
      </c>
      <c r="D90" s="772">
        <f t="shared" si="26"/>
        <v>0</v>
      </c>
      <c r="E90" s="1276" t="e">
        <f t="shared" si="27"/>
        <v>#DIV/0!</v>
      </c>
      <c r="F90" s="777" t="e">
        <f t="shared" si="30"/>
        <v>#DIV/0!</v>
      </c>
      <c r="G90" s="777" t="e">
        <f t="shared" si="30"/>
        <v>#DIV/0!</v>
      </c>
      <c r="H90" s="777" t="e">
        <f t="shared" si="29"/>
        <v>#DIV/0!</v>
      </c>
      <c r="I90" s="777" t="e">
        <f t="shared" si="29"/>
        <v>#DIV/0!</v>
      </c>
      <c r="O90" s="292"/>
    </row>
    <row r="91" spans="1:17" x14ac:dyDescent="0.2">
      <c r="A91" s="260"/>
      <c r="B91" s="1948" t="str">
        <v>ABC+3TC+EFV</v>
      </c>
      <c r="C91" s="771" t="e">
        <f t="shared" si="25"/>
        <v>#DIV/0!</v>
      </c>
      <c r="D91" s="771" t="e">
        <f>J53</f>
        <v>#DIV/0!</v>
      </c>
      <c r="E91" s="1274" t="e">
        <f t="shared" si="27"/>
        <v>#DIV/0!</v>
      </c>
      <c r="F91" s="1275" t="e">
        <f t="shared" si="30"/>
        <v>#DIV/0!</v>
      </c>
      <c r="G91" s="1275" t="e">
        <f t="shared" si="30"/>
        <v>#DIV/0!</v>
      </c>
      <c r="H91" s="1275" t="e">
        <f t="shared" si="29"/>
        <v>#DIV/0!</v>
      </c>
      <c r="I91" s="1275" t="e">
        <f t="shared" si="29"/>
        <v>#DIV/0!</v>
      </c>
      <c r="O91" s="292"/>
    </row>
    <row r="92" spans="1:17" x14ac:dyDescent="0.2">
      <c r="A92" s="260"/>
      <c r="B92" s="156" t="str">
        <v>TDF+3TC+LPV/r</v>
      </c>
      <c r="C92" s="771" t="e">
        <f t="shared" ref="C92:C94" si="31">$D$7*C17</f>
        <v>#DIV/0!</v>
      </c>
      <c r="D92" s="771" t="e">
        <f t="shared" ref="D92:D94" si="32">J54</f>
        <v>#DIV/0!</v>
      </c>
      <c r="E92" s="1274" t="e">
        <f t="shared" ref="E92:E94" si="33">SUM(C92:D92)</f>
        <v>#DIV/0!</v>
      </c>
      <c r="F92" s="1275" t="e">
        <f t="shared" ref="F92:F94" si="34">C$63*$E92</f>
        <v>#DIV/0!</v>
      </c>
      <c r="G92" s="1275" t="e">
        <f t="shared" ref="G92:G94" si="35">D$63*$E92</f>
        <v>#DIV/0!</v>
      </c>
      <c r="H92" s="1275" t="e">
        <f t="shared" ref="H92:H94" si="36">E$63*$E92</f>
        <v>#DIV/0!</v>
      </c>
      <c r="I92" s="1275" t="e">
        <f t="shared" ref="I92:I94" si="37">F$63*$E92</f>
        <v>#DIV/0!</v>
      </c>
      <c r="O92" s="292"/>
    </row>
    <row r="93" spans="1:17" x14ac:dyDescent="0.2">
      <c r="A93" s="260"/>
      <c r="B93" s="156" t="str">
        <v>AZT+3TC+EFV</v>
      </c>
      <c r="C93" s="771" t="e">
        <f t="shared" si="31"/>
        <v>#DIV/0!</v>
      </c>
      <c r="D93" s="771" t="e">
        <f t="shared" si="32"/>
        <v>#DIV/0!</v>
      </c>
      <c r="E93" s="1274" t="e">
        <f t="shared" si="33"/>
        <v>#DIV/0!</v>
      </c>
      <c r="F93" s="1275" t="e">
        <f t="shared" si="34"/>
        <v>#DIV/0!</v>
      </c>
      <c r="G93" s="1275" t="e">
        <f t="shared" si="35"/>
        <v>#DIV/0!</v>
      </c>
      <c r="H93" s="1275" t="e">
        <f t="shared" si="36"/>
        <v>#DIV/0!</v>
      </c>
      <c r="I93" s="1275" t="e">
        <f t="shared" si="37"/>
        <v>#DIV/0!</v>
      </c>
      <c r="O93" s="292"/>
    </row>
    <row r="94" spans="1:17" ht="13.5" thickBot="1" x14ac:dyDescent="0.25">
      <c r="A94" s="260"/>
      <c r="B94" s="157">
        <v>0</v>
      </c>
      <c r="C94" s="589" t="e">
        <f t="shared" si="31"/>
        <v>#DIV/0!</v>
      </c>
      <c r="D94" s="589" t="e">
        <f t="shared" si="32"/>
        <v>#DIV/0!</v>
      </c>
      <c r="E94" s="590" t="e">
        <f t="shared" si="33"/>
        <v>#DIV/0!</v>
      </c>
      <c r="F94" s="591" t="e">
        <f t="shared" si="34"/>
        <v>#DIV/0!</v>
      </c>
      <c r="G94" s="591" t="e">
        <f t="shared" si="35"/>
        <v>#DIV/0!</v>
      </c>
      <c r="H94" s="591" t="e">
        <f t="shared" si="36"/>
        <v>#DIV/0!</v>
      </c>
      <c r="I94" s="591" t="e">
        <f t="shared" si="37"/>
        <v>#DIV/0!</v>
      </c>
      <c r="O94" s="292"/>
    </row>
    <row r="95" spans="1:17" ht="13.5" thickTop="1" x14ac:dyDescent="0.2">
      <c r="A95" s="260"/>
      <c r="B95" s="592"/>
      <c r="C95" s="592"/>
      <c r="D95" s="592"/>
      <c r="E95" s="592"/>
      <c r="O95" s="292"/>
    </row>
    <row r="97" spans="1:17" s="263" customFormat="1" ht="16.5" thickBot="1" x14ac:dyDescent="0.3">
      <c r="A97" s="2177" t="str">
        <f>'TRAD-Children YEAR(1)'!B45</f>
        <v>Calculs des quantités</v>
      </c>
      <c r="B97" s="2177"/>
      <c r="C97" s="2177"/>
      <c r="D97" s="2177"/>
      <c r="E97" s="2177"/>
      <c r="F97" s="2177"/>
      <c r="G97" s="2177"/>
      <c r="H97" s="2177"/>
      <c r="I97" s="2177"/>
      <c r="J97" s="2177"/>
      <c r="K97" s="2177"/>
      <c r="L97" s="2177"/>
      <c r="M97" s="2177"/>
      <c r="N97" s="2177"/>
    </row>
    <row r="99" spans="1:17" ht="15" x14ac:dyDescent="0.2">
      <c r="A99" s="260"/>
      <c r="B99" s="2143" t="str">
        <f>'TRAD-Children YEAR(1)'!B47</f>
        <v xml:space="preserve">TRIOMUNE bébé </v>
      </c>
      <c r="C99" s="2143"/>
      <c r="D99" s="2143"/>
      <c r="E99" s="2143"/>
      <c r="F99" s="2143"/>
      <c r="G99" s="2143"/>
      <c r="H99" s="2143"/>
      <c r="I99" s="2143"/>
      <c r="J99" s="2143"/>
      <c r="K99" s="2143"/>
      <c r="L99" s="2143"/>
      <c r="M99" s="2143"/>
      <c r="Q99" s="292"/>
    </row>
    <row r="100" spans="1:17" ht="13.5" thickBot="1" x14ac:dyDescent="0.25"/>
    <row r="101" spans="1:17" ht="40.5" customHeight="1" thickBot="1" x14ac:dyDescent="0.25">
      <c r="A101" s="594"/>
      <c r="C101" s="595" t="s">
        <v>75</v>
      </c>
      <c r="D101" s="2175" t="s">
        <v>91</v>
      </c>
      <c r="E101" s="2176"/>
      <c r="F101" s="2178" t="str">
        <f>'TRAD-Children YEAR(1)'!B48</f>
        <v>Qtés mensuelles</v>
      </c>
      <c r="G101" s="2179"/>
    </row>
    <row r="102" spans="1:17" ht="13.5" thickBot="1" x14ac:dyDescent="0.25">
      <c r="C102" s="596" t="str">
        <f>'TRAD-Children YEAR(1)'!B49</f>
        <v>Posologies</v>
      </c>
      <c r="D102" s="2175" t="str">
        <f>'TRAD-Children YEAR(1)'!B50</f>
        <v>Voir les formes simples</v>
      </c>
      <c r="E102" s="2176"/>
      <c r="F102" s="597" t="str">
        <f>'TRAD-Children YEAR(1)'!B52</f>
        <v>cp</v>
      </c>
      <c r="G102" s="597" t="str">
        <f>'TRAD-Children YEAR(1)'!B57</f>
        <v>boites</v>
      </c>
    </row>
    <row r="103" spans="1:17" ht="12.75" customHeight="1" x14ac:dyDescent="0.2">
      <c r="C103" s="598" t="str">
        <f>'TRAD-Children YEAR(1)'!B54</f>
        <v xml:space="preserve">Forme galénique </v>
      </c>
      <c r="D103" s="2205" t="str">
        <f>'TRAD-Children YEAR(1)'!B51</f>
        <v>Cpr, 6 mg d4T,</v>
      </c>
      <c r="E103" s="2206"/>
      <c r="F103" s="2199"/>
      <c r="G103" s="2199"/>
    </row>
    <row r="104" spans="1:17" ht="12.75" customHeight="1" x14ac:dyDescent="0.2">
      <c r="C104" s="598"/>
      <c r="D104" s="2207" t="s">
        <v>97</v>
      </c>
      <c r="E104" s="2208"/>
      <c r="F104" s="2200"/>
      <c r="G104" s="2200"/>
    </row>
    <row r="105" spans="1:17" ht="13.5" thickBot="1" x14ac:dyDescent="0.25">
      <c r="C105" s="599"/>
      <c r="D105" s="2197" t="s">
        <v>98</v>
      </c>
      <c r="E105" s="2198"/>
      <c r="F105" s="2201"/>
      <c r="G105" s="2201"/>
    </row>
    <row r="106" spans="1:17" ht="13.5" thickBot="1" x14ac:dyDescent="0.25">
      <c r="C106" s="600" t="str">
        <f>'TRAD-Children YEAR(1)'!B36</f>
        <v>Poids (kg)</v>
      </c>
      <c r="D106" s="601" t="s">
        <v>99</v>
      </c>
      <c r="E106" s="601" t="s">
        <v>100</v>
      </c>
      <c r="F106" s="602"/>
      <c r="G106" s="602"/>
    </row>
    <row r="107" spans="1:17" x14ac:dyDescent="0.2">
      <c r="C107" s="848" t="s">
        <v>388</v>
      </c>
      <c r="D107" s="844">
        <v>1</v>
      </c>
      <c r="E107" s="844">
        <v>1</v>
      </c>
      <c r="F107" s="845">
        <v>60</v>
      </c>
      <c r="G107" s="845">
        <v>1</v>
      </c>
    </row>
    <row r="108" spans="1:17" x14ac:dyDescent="0.2">
      <c r="C108" s="848" t="s">
        <v>389</v>
      </c>
      <c r="D108" s="844">
        <v>1</v>
      </c>
      <c r="E108" s="844">
        <v>1</v>
      </c>
      <c r="F108" s="845">
        <v>60</v>
      </c>
      <c r="G108" s="845">
        <v>1</v>
      </c>
    </row>
    <row r="109" spans="1:17" x14ac:dyDescent="0.2">
      <c r="C109" s="603" t="s">
        <v>101</v>
      </c>
      <c r="D109" s="844">
        <v>1</v>
      </c>
      <c r="E109" s="844">
        <v>1</v>
      </c>
      <c r="F109" s="845">
        <v>60</v>
      </c>
      <c r="G109" s="845">
        <v>1</v>
      </c>
    </row>
    <row r="110" spans="1:17" x14ac:dyDescent="0.2">
      <c r="C110" s="604" t="s">
        <v>102</v>
      </c>
      <c r="D110" s="844">
        <v>1.5</v>
      </c>
      <c r="E110" s="844">
        <v>1.5</v>
      </c>
      <c r="F110" s="845">
        <v>90</v>
      </c>
      <c r="G110" s="845">
        <v>1.5</v>
      </c>
    </row>
    <row r="111" spans="1:17" x14ac:dyDescent="0.2">
      <c r="C111" s="604" t="s">
        <v>103</v>
      </c>
      <c r="D111" s="844">
        <v>1.5</v>
      </c>
      <c r="E111" s="844">
        <v>1.5</v>
      </c>
      <c r="F111" s="845">
        <v>90</v>
      </c>
      <c r="G111" s="845">
        <v>1.5</v>
      </c>
    </row>
    <row r="112" spans="1:17" x14ac:dyDescent="0.2">
      <c r="C112" s="604" t="s">
        <v>104</v>
      </c>
      <c r="D112" s="844">
        <v>1.5</v>
      </c>
      <c r="E112" s="844">
        <v>1.5</v>
      </c>
      <c r="F112" s="845">
        <v>90</v>
      </c>
      <c r="G112" s="845">
        <v>1.5</v>
      </c>
    </row>
    <row r="113" spans="1:8" x14ac:dyDescent="0.2">
      <c r="C113" s="604" t="s">
        <v>105</v>
      </c>
      <c r="D113" s="845">
        <v>1.5</v>
      </c>
      <c r="E113" s="845">
        <v>1.5</v>
      </c>
      <c r="F113" s="845">
        <v>90</v>
      </c>
      <c r="G113" s="845">
        <v>1.5</v>
      </c>
    </row>
    <row r="114" spans="1:8" x14ac:dyDescent="0.2">
      <c r="C114" s="604" t="s">
        <v>106</v>
      </c>
      <c r="D114" s="844" t="s">
        <v>107</v>
      </c>
      <c r="E114" s="844">
        <v>2</v>
      </c>
      <c r="F114" s="845">
        <v>120</v>
      </c>
      <c r="G114" s="845">
        <v>2</v>
      </c>
    </row>
    <row r="115" spans="1:8" x14ac:dyDescent="0.2">
      <c r="C115" s="604" t="s">
        <v>108</v>
      </c>
      <c r="D115" s="844" t="s">
        <v>107</v>
      </c>
      <c r="E115" s="844">
        <v>2</v>
      </c>
      <c r="F115" s="845">
        <v>120</v>
      </c>
      <c r="G115" s="845">
        <v>2</v>
      </c>
    </row>
    <row r="116" spans="1:8" x14ac:dyDescent="0.2">
      <c r="C116" s="604" t="s">
        <v>109</v>
      </c>
      <c r="D116" s="844" t="s">
        <v>107</v>
      </c>
      <c r="E116" s="844">
        <v>2</v>
      </c>
      <c r="F116" s="845">
        <v>120</v>
      </c>
      <c r="G116" s="845">
        <v>2</v>
      </c>
    </row>
    <row r="117" spans="1:8" x14ac:dyDescent="0.2">
      <c r="C117" s="604" t="s">
        <v>110</v>
      </c>
      <c r="D117" s="844">
        <v>2.5</v>
      </c>
      <c r="E117" s="844">
        <v>2.5</v>
      </c>
      <c r="F117" s="845">
        <v>150</v>
      </c>
      <c r="G117" s="845">
        <v>2.5</v>
      </c>
    </row>
    <row r="118" spans="1:8" x14ac:dyDescent="0.2">
      <c r="C118" s="604" t="s">
        <v>111</v>
      </c>
      <c r="D118" s="844">
        <v>2.5</v>
      </c>
      <c r="E118" s="844">
        <v>2.5</v>
      </c>
      <c r="F118" s="845">
        <v>150</v>
      </c>
      <c r="G118" s="845">
        <v>2.5</v>
      </c>
    </row>
    <row r="119" spans="1:8" x14ac:dyDescent="0.2">
      <c r="C119" s="604" t="s">
        <v>112</v>
      </c>
      <c r="D119" s="844">
        <v>3</v>
      </c>
      <c r="E119" s="844">
        <v>3</v>
      </c>
      <c r="F119" s="845">
        <v>180</v>
      </c>
      <c r="G119" s="845">
        <v>3</v>
      </c>
    </row>
    <row r="120" spans="1:8" x14ac:dyDescent="0.2">
      <c r="C120" s="604" t="s">
        <v>113</v>
      </c>
      <c r="D120" s="844"/>
      <c r="E120" s="844"/>
      <c r="F120" s="845"/>
      <c r="G120" s="845"/>
    </row>
    <row r="121" spans="1:8" ht="13.5" thickBot="1" x14ac:dyDescent="0.25">
      <c r="C121" s="605" t="s">
        <v>114</v>
      </c>
      <c r="D121" s="846"/>
      <c r="E121" s="846"/>
      <c r="F121" s="847"/>
      <c r="G121" s="847"/>
    </row>
    <row r="123" spans="1:8" s="4" customFormat="1" x14ac:dyDescent="0.2">
      <c r="A123" s="3"/>
      <c r="B123" s="3" t="str">
        <f>'TRAD-Children YEAR(1)'!B58</f>
        <v>Si enfants &gt; 15 kg : formes adultes à prendre en compte</v>
      </c>
    </row>
    <row r="125" spans="1:8" ht="13.5" thickBot="1" x14ac:dyDescent="0.25"/>
    <row r="126" spans="1:8" ht="13.5" thickBot="1" x14ac:dyDescent="0.25">
      <c r="A126" s="260"/>
      <c r="B126" s="2202" t="str">
        <f>'TRAD-Children YEAR(1)'!B59</f>
        <v>Initiation du traitement NVP pour les enfants recevant la TRIOMUNE bébé</v>
      </c>
      <c r="C126" s="2203"/>
      <c r="D126" s="2203"/>
      <c r="E126" s="2203"/>
      <c r="F126" s="2204"/>
    </row>
    <row r="127" spans="1:8" ht="13.5" thickBot="1" x14ac:dyDescent="0.25">
      <c r="A127" s="260"/>
      <c r="B127" s="606"/>
      <c r="C127" s="606"/>
      <c r="D127" s="606"/>
      <c r="E127" s="606"/>
      <c r="F127" s="606"/>
    </row>
    <row r="128" spans="1:8" s="1560" customFormat="1" ht="102.75" thickBot="1" x14ac:dyDescent="0.25">
      <c r="A128" s="543"/>
      <c r="E128" s="368"/>
      <c r="F128" s="369" t="str">
        <f>'TRAD-Children YEAR(1)'!B60</f>
        <v>Qté / enfant</v>
      </c>
      <c r="G128" s="498" t="str">
        <f>'TRAD-Children YEAR(1)'!B61</f>
        <v>Nb total de flacon pour les nouveaux enfants de l'année</v>
      </c>
      <c r="H128" s="498" t="str">
        <f>'TRAD-Children YEAR(1)'!B62</f>
        <v>Nb total de flacon pour les nouveaux enfants sur période AVEC marge sécu</v>
      </c>
    </row>
    <row r="129" spans="1:17" x14ac:dyDescent="0.2">
      <c r="C129" s="260" t="str">
        <f>'TRAD-Children YEAR(1)'!B63</f>
        <v>15 premiers jours</v>
      </c>
      <c r="E129" s="607" t="s">
        <v>61</v>
      </c>
      <c r="F129" s="374" t="str">
        <f>'TRAD-Children YEAR(1)'!B64</f>
        <v>1 flacon</v>
      </c>
      <c r="G129" s="1568">
        <f>IF('Data &amp; hypothesis Children'!$G$111="X", ROUNDUP(F27, 0), 0)</f>
        <v>0</v>
      </c>
      <c r="H129" s="1568">
        <f>IF('Data &amp; hypothesis Children'!$G$111="X", ROUNDUP(G27, 0), 0)</f>
        <v>0</v>
      </c>
    </row>
    <row r="130" spans="1:17" x14ac:dyDescent="0.2">
      <c r="E130" s="608" t="s">
        <v>39</v>
      </c>
      <c r="F130" s="382" t="str">
        <f>'TRAD-Children YEAR(1)'!B64</f>
        <v>1 flacon</v>
      </c>
      <c r="G130" s="1569">
        <f>IF('Data &amp; hypothesis Children'!$G$108="X", ROUNDUP(F28, 0), 0)</f>
        <v>0</v>
      </c>
      <c r="H130" s="1569">
        <f>IF('Data &amp; hypothesis Children'!$G$108="X", ROUNDUP(G28, 0), 0)</f>
        <v>0</v>
      </c>
    </row>
    <row r="131" spans="1:17" x14ac:dyDescent="0.2">
      <c r="B131" s="528"/>
      <c r="E131" s="608" t="s">
        <v>15</v>
      </c>
      <c r="F131" s="382" t="str">
        <f>'TRAD-Children YEAR(1)'!B64</f>
        <v>1 flacon</v>
      </c>
      <c r="G131" s="1569">
        <f>IF('Data &amp; hypothesis Children'!$G$108="X", ROUNDUP(F28, 0), 0)+IF('Data &amp; hypothesis Children'!$G$111="X", ROUNDUP(F27, 0), 0)</f>
        <v>0</v>
      </c>
      <c r="H131" s="1569">
        <f>IF('Data &amp; hypothesis Children'!$G$108="X", ROUNDUP(G28, 0), 0)+IF('Data &amp; hypothesis Children'!$G$111="X", ROUNDUP(G27, 0), 0)</f>
        <v>0</v>
      </c>
    </row>
    <row r="132" spans="1:17" ht="13.5" thickBot="1" x14ac:dyDescent="0.25">
      <c r="B132" s="528"/>
      <c r="E132" s="609" t="s">
        <v>19</v>
      </c>
      <c r="F132" s="424" t="str">
        <f>'TRAD-Children YEAR(1)'!B64</f>
        <v>1 flacon</v>
      </c>
      <c r="G132" s="1570">
        <f>IF(OR('Data &amp; hypothesis Children'!$G$107="X", 'Data &amp; hypothesis Children'!$G$108="X"), ROUNDUP(F28, 0), 0)+IF(OR('Data &amp; hypothesis Children'!$G$110="X", 'Data &amp; hypothesis Children'!$G$111="X"), ROUNDUP(F27, 0), 0)</f>
        <v>0</v>
      </c>
      <c r="H132" s="1570">
        <f>IF(OR('Data &amp; hypothesis Children'!$G$107="X", 'Data &amp; hypothesis Children'!$G$108="X"), ROUNDUP(G28, 0), 0)+IF(OR('Data &amp; hypothesis Children'!$G$110="X", 'Data &amp; hypothesis Children'!$G$111="X"), ROUNDUP(G27, 0), 0)</f>
        <v>0</v>
      </c>
    </row>
    <row r="133" spans="1:17" x14ac:dyDescent="0.2">
      <c r="B133" s="528"/>
      <c r="E133" s="608" t="s">
        <v>50</v>
      </c>
      <c r="F133" s="382" t="str">
        <f>'TRAD-Children YEAR(1)'!B65</f>
        <v>15 cp</v>
      </c>
      <c r="G133" s="1569">
        <f>IF('Data &amp; hypothesis Children'!$G$109="X", ROUNDUP(F27*0.25, 0), 0)</f>
        <v>0</v>
      </c>
      <c r="H133" s="1569">
        <f>IF('Data &amp; hypothesis Children'!$G$109="X", ROUNDUP(G27*0.25, 0), 0)</f>
        <v>0</v>
      </c>
    </row>
    <row r="134" spans="1:17" x14ac:dyDescent="0.2">
      <c r="B134" s="528"/>
      <c r="E134" s="608" t="s">
        <v>81</v>
      </c>
      <c r="F134" s="382" t="str">
        <f>'TRAD-Children YEAR(1)'!B65</f>
        <v>15 cp</v>
      </c>
      <c r="G134" s="1569">
        <f>IF('Data &amp; hypothesis Children'!$G$109="X", ROUNDUP(F27*0.25, 0), 0)+IF('Data &amp; hypothesis Children'!$G$110="X", ROUNDUP(F27*0.5, 0), 0)</f>
        <v>0</v>
      </c>
      <c r="H134" s="1569">
        <f>IF('Data &amp; hypothesis Children'!$G$109="X", ROUNDUP(G27*0.25, 0), 0)+IF('Data &amp; hypothesis Children'!$G$110="X", ROUNDUP(G27*0.5, 0), 0)</f>
        <v>0</v>
      </c>
    </row>
    <row r="135" spans="1:17" x14ac:dyDescent="0.2">
      <c r="B135" s="528"/>
      <c r="E135" s="608" t="s">
        <v>7</v>
      </c>
      <c r="F135" s="382" t="str">
        <f>'TRAD-Children YEAR(1)'!B65</f>
        <v>15 cp</v>
      </c>
      <c r="G135" s="1569">
        <f>IF('Data &amp; hypothesis Children'!$G$106="X", ROUNDUP(F28*0.25, 0), 0)</f>
        <v>0</v>
      </c>
      <c r="H135" s="1569">
        <f>IF('Data &amp; hypothesis Children'!$G$106="X", ROUNDUP(G28*0.25, 0), 0)</f>
        <v>0</v>
      </c>
    </row>
    <row r="136" spans="1:17" ht="13.5" thickBot="1" x14ac:dyDescent="0.25">
      <c r="B136" s="528"/>
      <c r="E136" s="609" t="s">
        <v>11</v>
      </c>
      <c r="F136" s="424" t="str">
        <f>'TRAD-Children YEAR(1)'!B65</f>
        <v>15 cp</v>
      </c>
      <c r="G136" s="1570">
        <f>IF('Data &amp; hypothesis Children'!$G$106="X", ROUNDUP(F28*0.25, 0), 0)+IF('Data &amp; hypothesis Children'!$G$107="X", ROUNDUP(F28*0.5, 0), 0)</f>
        <v>0</v>
      </c>
      <c r="H136" s="1570">
        <f>IF('Data &amp; hypothesis Children'!$G$106="X", ROUNDUP(G28*0.25, 0), 0)+IF('Data &amp; hypothesis Children'!$G$107="X", ROUNDUP(G28*0.5, 0), 0)</f>
        <v>0</v>
      </c>
    </row>
    <row r="138" spans="1:17" ht="15" x14ac:dyDescent="0.2">
      <c r="A138" s="260"/>
      <c r="B138" s="2143" t="str">
        <f>'TRAD-Children YEAR(1)'!B66</f>
        <v>Autres schémas (1ères et 2èmes lignes)</v>
      </c>
      <c r="C138" s="2143"/>
      <c r="D138" s="2143"/>
      <c r="E138" s="2143"/>
      <c r="F138" s="2143"/>
      <c r="G138" s="2143"/>
      <c r="H138" s="2143"/>
      <c r="I138" s="2143"/>
      <c r="J138" s="2143"/>
      <c r="K138" s="2143"/>
      <c r="L138" s="2143"/>
      <c r="M138" s="2143"/>
      <c r="Q138" s="292"/>
    </row>
    <row r="139" spans="1:17" ht="13.5" thickBot="1" x14ac:dyDescent="0.25">
      <c r="F139" s="497"/>
      <c r="G139" s="497"/>
    </row>
    <row r="140" spans="1:17" ht="51.75" thickBot="1" x14ac:dyDescent="0.25">
      <c r="C140" s="368" t="str">
        <f>'TRAD-Children YEAR(1)'!B67</f>
        <v>Composition</v>
      </c>
      <c r="D140" s="369" t="str">
        <f>'TRAD-Children YEAR(1)'!B54</f>
        <v xml:space="preserve">Forme galénique </v>
      </c>
      <c r="E140" s="369" t="str">
        <f>'TRAD-Children YEAR(1)'!B68</f>
        <v>Dosage</v>
      </c>
      <c r="F140" s="369" t="str">
        <f>'TRAD-Children YEAR(1)'!B69</f>
        <v>Nom de spécialité</v>
      </c>
      <c r="G140" s="369" t="str">
        <f>'TRAD-Children YEAR(1)'!B70</f>
        <v>Volume conditionnement primaire (mL)</v>
      </c>
      <c r="H140" s="369" t="str">
        <f>'TRAD-Children YEAR(1)'!B71</f>
        <v>Conditionement secondaire</v>
      </c>
      <c r="I140" s="610" t="str">
        <f>'TRAD-Children YEAR(1)'!B72</f>
        <v>Qtés de patients - mois</v>
      </c>
    </row>
    <row r="141" spans="1:17" x14ac:dyDescent="0.2">
      <c r="C141" s="607" t="s">
        <v>39</v>
      </c>
      <c r="D141" s="611" t="str">
        <f>'TRAD-Children YEAR(1)'!B74</f>
        <v>sol buv</v>
      </c>
      <c r="E141" s="611" t="s">
        <v>41</v>
      </c>
      <c r="F141" s="374" t="s">
        <v>42</v>
      </c>
      <c r="G141" s="1428">
        <f>'Available Stocks'!$K$55</f>
        <v>240</v>
      </c>
      <c r="H141" s="374">
        <f>'Available Stocks'!L55</f>
        <v>1</v>
      </c>
      <c r="I141" s="612"/>
    </row>
    <row r="142" spans="1:17" x14ac:dyDescent="0.2">
      <c r="C142" s="608" t="s">
        <v>61</v>
      </c>
      <c r="D142" s="613" t="str">
        <f>'TRAD-Children YEAR(1)'!B74</f>
        <v>sol buv</v>
      </c>
      <c r="E142" s="613" t="s">
        <v>41</v>
      </c>
      <c r="F142" s="382"/>
      <c r="G142" s="1429">
        <f>'Available Stocks'!$K$56</f>
        <v>240</v>
      </c>
      <c r="H142" s="382">
        <f>'Available Stocks'!L56</f>
        <v>1</v>
      </c>
      <c r="I142" s="614"/>
    </row>
    <row r="143" spans="1:17" x14ac:dyDescent="0.2">
      <c r="C143" s="615" t="s">
        <v>15</v>
      </c>
      <c r="D143" s="616" t="str">
        <f>'TRAD-Children YEAR(1)'!B74</f>
        <v>sol buv</v>
      </c>
      <c r="E143" s="616" t="s">
        <v>41</v>
      </c>
      <c r="F143" s="391" t="s">
        <v>43</v>
      </c>
      <c r="G143" s="1430">
        <f>'Available Stocks'!$K$57</f>
        <v>240</v>
      </c>
      <c r="H143" s="391">
        <f>'Available Stocks'!L57</f>
        <v>1</v>
      </c>
      <c r="I143" s="617"/>
    </row>
    <row r="144" spans="1:17" x14ac:dyDescent="0.2">
      <c r="C144" s="615" t="s">
        <v>25</v>
      </c>
      <c r="D144" s="616" t="str">
        <f>'TRAD-Children YEAR(1)'!B74</f>
        <v>sol buv</v>
      </c>
      <c r="E144" s="616" t="s">
        <v>44</v>
      </c>
      <c r="F144" s="391" t="s">
        <v>26</v>
      </c>
      <c r="G144" s="1430">
        <f>'Available Stocks'!$K$58</f>
        <v>240</v>
      </c>
      <c r="H144" s="391">
        <f>'Available Stocks'!L58</f>
        <v>1</v>
      </c>
      <c r="I144" s="617"/>
    </row>
    <row r="145" spans="2:9" x14ac:dyDescent="0.2">
      <c r="C145" s="615" t="s">
        <v>28</v>
      </c>
      <c r="D145" s="616" t="str">
        <f>'TRAD-Children YEAR(1)'!B74</f>
        <v>sol buv</v>
      </c>
      <c r="E145" s="616" t="s">
        <v>46</v>
      </c>
      <c r="F145" s="391" t="s">
        <v>30</v>
      </c>
      <c r="G145" s="1430">
        <f>'Available Stocks'!$K$59</f>
        <v>200</v>
      </c>
      <c r="H145" s="391">
        <f>'Available Stocks'!L59</f>
        <v>1</v>
      </c>
      <c r="I145" s="617"/>
    </row>
    <row r="146" spans="2:9" x14ac:dyDescent="0.2">
      <c r="C146" s="615" t="s">
        <v>19</v>
      </c>
      <c r="D146" s="616" t="str">
        <f>'TRAD-Children YEAR(1)'!B74</f>
        <v>sol buv</v>
      </c>
      <c r="E146" s="616" t="s">
        <v>41</v>
      </c>
      <c r="F146" s="391" t="s">
        <v>21</v>
      </c>
      <c r="G146" s="1430">
        <f>'Available Stocks'!$K$60</f>
        <v>240</v>
      </c>
      <c r="H146" s="391">
        <f>'Available Stocks'!L60</f>
        <v>1</v>
      </c>
      <c r="I146" s="617"/>
    </row>
    <row r="147" spans="2:9" x14ac:dyDescent="0.2">
      <c r="C147" s="618" t="s">
        <v>17</v>
      </c>
      <c r="D147" s="619" t="str">
        <f>'TRAD-Children YEAR(1)'!B74</f>
        <v>sol buv</v>
      </c>
      <c r="E147" s="619" t="s">
        <v>259</v>
      </c>
      <c r="F147" s="400" t="s">
        <v>249</v>
      </c>
      <c r="G147" s="1431">
        <f>'Available Stocks'!$K$61</f>
        <v>180</v>
      </c>
      <c r="H147" s="400">
        <f>'Available Stocks'!L61</f>
        <v>1</v>
      </c>
      <c r="I147" s="620"/>
    </row>
    <row r="148" spans="2:9" ht="13.5" thickBot="1" x14ac:dyDescent="0.25">
      <c r="C148" s="609" t="s">
        <v>33</v>
      </c>
      <c r="D148" s="621" t="str">
        <f>'TRAD-Children YEAR(1)'!B74</f>
        <v>sol buv</v>
      </c>
      <c r="E148" s="621" t="s">
        <v>47</v>
      </c>
      <c r="F148" s="424" t="s">
        <v>48</v>
      </c>
      <c r="G148" s="1432">
        <f>'Available Stocks'!$K$62</f>
        <v>60</v>
      </c>
      <c r="H148" s="424">
        <f>'Available Stocks'!L62</f>
        <v>4</v>
      </c>
      <c r="I148" s="622"/>
    </row>
    <row r="149" spans="2:9" ht="13.5" thickBot="1" x14ac:dyDescent="0.25">
      <c r="B149" s="623"/>
      <c r="C149" s="624"/>
      <c r="D149" s="624"/>
      <c r="E149" s="623"/>
      <c r="F149" s="623"/>
      <c r="G149" s="623"/>
      <c r="H149" s="623"/>
    </row>
    <row r="150" spans="2:9" ht="13.5" thickBot="1" x14ac:dyDescent="0.25">
      <c r="B150" s="2165" t="str">
        <f>'TRAD-Children YEAR(1)'!B75</f>
        <v>Si enfant de 6 - 7 kg (pris en compte pour la tranche 3 - 9,9 kg)</v>
      </c>
      <c r="C150" s="2166"/>
      <c r="D150" s="2166"/>
      <c r="E150" s="2166"/>
      <c r="F150" s="2166"/>
      <c r="G150" s="2166"/>
      <c r="H150" s="2167"/>
    </row>
    <row r="151" spans="2:9" ht="13.5" thickBot="1" x14ac:dyDescent="0.25">
      <c r="B151" s="625"/>
      <c r="C151" s="624"/>
      <c r="D151" s="624"/>
      <c r="E151" s="623"/>
      <c r="F151" s="623"/>
      <c r="G151" s="623"/>
      <c r="H151" s="623"/>
    </row>
    <row r="152" spans="2:9" ht="51.75" thickBot="1" x14ac:dyDescent="0.25">
      <c r="C152" s="368"/>
      <c r="D152" s="369" t="str">
        <f>'TRAD-Children YEAR(1)'!B76</f>
        <v>volume (mL) / jour</v>
      </c>
      <c r="E152" s="369" t="str">
        <f>'TRAD-Children YEAR(1)'!B77</f>
        <v>volume (mL) / mois</v>
      </c>
      <c r="F152" s="369" t="str">
        <f>'TRAD-Children YEAR(1)'!B78</f>
        <v>volume flacon (mL)</v>
      </c>
      <c r="G152" s="369" t="str">
        <f>'TRAD-Children YEAR(1)'!B79</f>
        <v>nb de flacons / mois</v>
      </c>
      <c r="H152" s="369" t="str">
        <f>'TRAD-Children YEAR(1)'!B80</f>
        <v>nb de flacons / mois arrondi</v>
      </c>
      <c r="I152" s="369" t="str">
        <f>'TRAD-Children YEAR(1)'!B81</f>
        <v>reste (mL)</v>
      </c>
    </row>
    <row r="153" spans="2:9" x14ac:dyDescent="0.2">
      <c r="C153" s="607" t="s">
        <v>39</v>
      </c>
      <c r="D153" s="1434">
        <f>'Data &amp; hypothesis Children'!D195</f>
        <v>18</v>
      </c>
      <c r="E153" s="626">
        <f t="shared" ref="E153:E160" si="38">D153*30</f>
        <v>540</v>
      </c>
      <c r="F153" s="1428">
        <f>'Available Stocks'!$K$55</f>
        <v>240</v>
      </c>
      <c r="G153" s="627">
        <f t="shared" ref="G153:G160" si="39">E153/F153</f>
        <v>2.25</v>
      </c>
      <c r="H153" s="627">
        <f t="shared" ref="H153:H160" si="40">ROUNDUP(E153/F153, 0)</f>
        <v>3</v>
      </c>
      <c r="I153" s="628">
        <f t="shared" ref="I153:I160" si="41">H153*F153-E153</f>
        <v>180</v>
      </c>
    </row>
    <row r="154" spans="2:9" x14ac:dyDescent="0.2">
      <c r="C154" s="615" t="s">
        <v>61</v>
      </c>
      <c r="D154" s="1435">
        <f>'Data &amp; hypothesis Children'!D196</f>
        <v>14</v>
      </c>
      <c r="E154" s="629">
        <f t="shared" si="38"/>
        <v>420</v>
      </c>
      <c r="F154" s="1429">
        <f>'Available Stocks'!$K$56</f>
        <v>240</v>
      </c>
      <c r="G154" s="630">
        <f t="shared" si="39"/>
        <v>1.75</v>
      </c>
      <c r="H154" s="630">
        <f t="shared" si="40"/>
        <v>2</v>
      </c>
      <c r="I154" s="631">
        <f t="shared" si="41"/>
        <v>60</v>
      </c>
    </row>
    <row r="155" spans="2:9" x14ac:dyDescent="0.2">
      <c r="C155" s="615" t="s">
        <v>15</v>
      </c>
      <c r="D155" s="1435">
        <f>'Data &amp; hypothesis Children'!D197</f>
        <v>8</v>
      </c>
      <c r="E155" s="629">
        <f t="shared" si="38"/>
        <v>240</v>
      </c>
      <c r="F155" s="1430">
        <f>'Available Stocks'!$K$57</f>
        <v>240</v>
      </c>
      <c r="G155" s="630">
        <f t="shared" si="39"/>
        <v>1</v>
      </c>
      <c r="H155" s="630">
        <f t="shared" si="40"/>
        <v>1</v>
      </c>
      <c r="I155" s="631">
        <f t="shared" si="41"/>
        <v>0</v>
      </c>
    </row>
    <row r="156" spans="2:9" x14ac:dyDescent="0.2">
      <c r="C156" s="615" t="s">
        <v>25</v>
      </c>
      <c r="D156" s="1435">
        <f>'Data &amp; hypothesis Children'!D198</f>
        <v>6</v>
      </c>
      <c r="E156" s="629">
        <f t="shared" si="38"/>
        <v>180</v>
      </c>
      <c r="F156" s="1430">
        <f>'Available Stocks'!$K$58</f>
        <v>240</v>
      </c>
      <c r="G156" s="630">
        <f t="shared" si="39"/>
        <v>0.75</v>
      </c>
      <c r="H156" s="630">
        <f t="shared" si="40"/>
        <v>1</v>
      </c>
      <c r="I156" s="631">
        <f t="shared" si="41"/>
        <v>60</v>
      </c>
    </row>
    <row r="157" spans="2:9" x14ac:dyDescent="0.2">
      <c r="C157" s="615" t="s">
        <v>28</v>
      </c>
      <c r="D157" s="1435">
        <f>'Data &amp; hypothesis Children'!D199</f>
        <v>10</v>
      </c>
      <c r="E157" s="629">
        <f t="shared" si="38"/>
        <v>300</v>
      </c>
      <c r="F157" s="1430">
        <f>'Available Stocks'!$K$59</f>
        <v>200</v>
      </c>
      <c r="G157" s="632">
        <f t="shared" si="39"/>
        <v>1.5</v>
      </c>
      <c r="H157" s="632">
        <f t="shared" si="40"/>
        <v>2</v>
      </c>
      <c r="I157" s="633">
        <f t="shared" si="41"/>
        <v>100</v>
      </c>
    </row>
    <row r="158" spans="2:9" x14ac:dyDescent="0.2">
      <c r="C158" s="634" t="s">
        <v>19</v>
      </c>
      <c r="D158" s="1435">
        <f>'Data &amp; hypothesis Children'!D200</f>
        <v>14</v>
      </c>
      <c r="E158" s="629">
        <f t="shared" si="38"/>
        <v>420</v>
      </c>
      <c r="F158" s="1430">
        <f>'Available Stocks'!$K$60</f>
        <v>240</v>
      </c>
      <c r="G158" s="630">
        <f t="shared" si="39"/>
        <v>1.75</v>
      </c>
      <c r="H158" s="630">
        <f t="shared" si="40"/>
        <v>2</v>
      </c>
      <c r="I158" s="631">
        <f t="shared" si="41"/>
        <v>60</v>
      </c>
    </row>
    <row r="159" spans="2:9" x14ac:dyDescent="0.2">
      <c r="C159" s="634" t="s">
        <v>17</v>
      </c>
      <c r="D159" s="1435">
        <f>'Data &amp; hypothesis Children'!D201</f>
        <v>0</v>
      </c>
      <c r="E159" s="629">
        <f t="shared" si="38"/>
        <v>0</v>
      </c>
      <c r="F159" s="1431">
        <f>'Available Stocks'!$K$61</f>
        <v>180</v>
      </c>
      <c r="G159" s="630">
        <f t="shared" si="39"/>
        <v>0</v>
      </c>
      <c r="H159" s="630">
        <f t="shared" si="40"/>
        <v>0</v>
      </c>
      <c r="I159" s="631">
        <f t="shared" si="41"/>
        <v>0</v>
      </c>
    </row>
    <row r="160" spans="2:9" ht="13.5" thickBot="1" x14ac:dyDescent="0.25">
      <c r="C160" s="609" t="s">
        <v>33</v>
      </c>
      <c r="D160" s="1436">
        <f>'Data &amp; hypothesis Children'!D202</f>
        <v>3</v>
      </c>
      <c r="E160" s="635">
        <f t="shared" si="38"/>
        <v>90</v>
      </c>
      <c r="F160" s="1432">
        <f>'Available Stocks'!$K$62</f>
        <v>60</v>
      </c>
      <c r="G160" s="636">
        <f t="shared" si="39"/>
        <v>1.5</v>
      </c>
      <c r="H160" s="636">
        <f t="shared" si="40"/>
        <v>2</v>
      </c>
      <c r="I160" s="637">
        <f t="shared" si="41"/>
        <v>30</v>
      </c>
    </row>
    <row r="161" spans="2:9" x14ac:dyDescent="0.2">
      <c r="B161" s="623"/>
      <c r="C161" s="624"/>
      <c r="D161" s="624"/>
      <c r="E161" s="623"/>
      <c r="F161" s="623"/>
      <c r="G161" s="623"/>
      <c r="H161" s="623"/>
    </row>
    <row r="162" spans="2:9" ht="13.5" thickBot="1" x14ac:dyDescent="0.25">
      <c r="B162" s="623"/>
      <c r="C162" s="624"/>
      <c r="D162" s="624"/>
      <c r="E162" s="623"/>
      <c r="F162" s="623"/>
      <c r="G162" s="623"/>
      <c r="H162" s="623"/>
    </row>
    <row r="163" spans="2:9" ht="13.5" thickBot="1" x14ac:dyDescent="0.25">
      <c r="B163" s="2165" t="str">
        <f>'TRAD-Children YEAR(1)'!B82</f>
        <v>Si enfant de 12 - 14 kg (pris en compte pour la tranche 10 - 14,9 kg)</v>
      </c>
      <c r="C163" s="2166"/>
      <c r="D163" s="2166"/>
      <c r="E163" s="2166"/>
      <c r="F163" s="2166"/>
      <c r="G163" s="2166"/>
      <c r="H163" s="2167"/>
    </row>
    <row r="164" spans="2:9" ht="13.5" thickBot="1" x14ac:dyDescent="0.25">
      <c r="B164" s="623"/>
      <c r="C164" s="624"/>
      <c r="D164" s="624"/>
      <c r="E164" s="623"/>
      <c r="F164" s="623"/>
      <c r="G164" s="623"/>
      <c r="H164" s="623"/>
    </row>
    <row r="165" spans="2:9" ht="51.75" thickBot="1" x14ac:dyDescent="0.25">
      <c r="C165" s="368"/>
      <c r="D165" s="369" t="str">
        <f>'TRAD-Children YEAR(1)'!B76</f>
        <v>volume (mL) / jour</v>
      </c>
      <c r="E165" s="369" t="str">
        <f>'TRAD-Children YEAR(1)'!B77</f>
        <v>volume (mL) / mois</v>
      </c>
      <c r="F165" s="369" t="str">
        <f>'TRAD-Children YEAR(1)'!B78</f>
        <v>volume flacon (mL)</v>
      </c>
      <c r="G165" s="369" t="str">
        <f>'TRAD-Children YEAR(1)'!B79</f>
        <v>nb de flacons / mois</v>
      </c>
      <c r="H165" s="369" t="str">
        <f>'TRAD-Children YEAR(1)'!B80</f>
        <v>nb de flacons / mois arrondi</v>
      </c>
      <c r="I165" s="369" t="str">
        <f>'TRAD-Children YEAR(1)'!B81</f>
        <v>reste (mL)</v>
      </c>
    </row>
    <row r="166" spans="2:9" x14ac:dyDescent="0.2">
      <c r="C166" s="607" t="s">
        <v>39</v>
      </c>
      <c r="D166" s="1434">
        <f>'Data &amp; hypothesis Children'!D210</f>
        <v>24</v>
      </c>
      <c r="E166" s="626">
        <f t="shared" ref="E166:E173" si="42">D166*30</f>
        <v>720</v>
      </c>
      <c r="F166" s="1428">
        <f>'Available Stocks'!$K$55</f>
        <v>240</v>
      </c>
      <c r="G166" s="627">
        <f t="shared" ref="G166:G173" si="43">E166/F166</f>
        <v>3</v>
      </c>
      <c r="H166" s="627">
        <f t="shared" ref="H166:H173" si="44">ROUNDUP(E166/F166, 0)</f>
        <v>3</v>
      </c>
      <c r="I166" s="628">
        <f t="shared" ref="I166:I173" si="45">H166*F166-E166</f>
        <v>0</v>
      </c>
    </row>
    <row r="167" spans="2:9" x14ac:dyDescent="0.2">
      <c r="C167" s="615" t="s">
        <v>61</v>
      </c>
      <c r="D167" s="1435">
        <f>'Data &amp; hypothesis Children'!D211</f>
        <v>24</v>
      </c>
      <c r="E167" s="629">
        <f t="shared" si="42"/>
        <v>720</v>
      </c>
      <c r="F167" s="1429">
        <f>'Available Stocks'!$K$56</f>
        <v>240</v>
      </c>
      <c r="G167" s="630">
        <f t="shared" si="43"/>
        <v>3</v>
      </c>
      <c r="H167" s="630">
        <f t="shared" si="44"/>
        <v>3</v>
      </c>
      <c r="I167" s="631">
        <f t="shared" si="45"/>
        <v>0</v>
      </c>
    </row>
    <row r="168" spans="2:9" x14ac:dyDescent="0.2">
      <c r="C168" s="615" t="s">
        <v>15</v>
      </c>
      <c r="D168" s="1435">
        <f>'Data &amp; hypothesis Children'!D212</f>
        <v>12</v>
      </c>
      <c r="E168" s="629">
        <f t="shared" si="42"/>
        <v>360</v>
      </c>
      <c r="F168" s="1430">
        <f>'Available Stocks'!$K$57</f>
        <v>240</v>
      </c>
      <c r="G168" s="630">
        <f t="shared" si="43"/>
        <v>1.5</v>
      </c>
      <c r="H168" s="630">
        <f t="shared" si="44"/>
        <v>2</v>
      </c>
      <c r="I168" s="631">
        <f t="shared" si="45"/>
        <v>120</v>
      </c>
    </row>
    <row r="169" spans="2:9" x14ac:dyDescent="0.2">
      <c r="C169" s="615" t="s">
        <v>25</v>
      </c>
      <c r="D169" s="1435">
        <f>'Data &amp; hypothesis Children'!D213</f>
        <v>12</v>
      </c>
      <c r="E169" s="629">
        <f t="shared" si="42"/>
        <v>360</v>
      </c>
      <c r="F169" s="1430">
        <f>'Available Stocks'!$K$58</f>
        <v>240</v>
      </c>
      <c r="G169" s="630">
        <f t="shared" si="43"/>
        <v>1.5</v>
      </c>
      <c r="H169" s="630">
        <f t="shared" si="44"/>
        <v>2</v>
      </c>
      <c r="I169" s="631">
        <f t="shared" si="45"/>
        <v>120</v>
      </c>
    </row>
    <row r="170" spans="2:9" x14ac:dyDescent="0.2">
      <c r="C170" s="615" t="s">
        <v>28</v>
      </c>
      <c r="D170" s="1435">
        <f>'Data &amp; hypothesis Children'!D214</f>
        <v>14</v>
      </c>
      <c r="E170" s="629">
        <f t="shared" si="42"/>
        <v>420</v>
      </c>
      <c r="F170" s="1430">
        <f>'Available Stocks'!$K$59</f>
        <v>200</v>
      </c>
      <c r="G170" s="632">
        <f t="shared" si="43"/>
        <v>2.1</v>
      </c>
      <c r="H170" s="632">
        <f t="shared" si="44"/>
        <v>3</v>
      </c>
      <c r="I170" s="633">
        <f t="shared" si="45"/>
        <v>180</v>
      </c>
    </row>
    <row r="171" spans="2:9" x14ac:dyDescent="0.2">
      <c r="C171" s="634" t="s">
        <v>19</v>
      </c>
      <c r="D171" s="1435">
        <f>'Data &amp; hypothesis Children'!D215</f>
        <v>20</v>
      </c>
      <c r="E171" s="629">
        <f t="shared" si="42"/>
        <v>600</v>
      </c>
      <c r="F171" s="1430">
        <f>'Available Stocks'!$K$60</f>
        <v>240</v>
      </c>
      <c r="G171" s="630">
        <f t="shared" si="43"/>
        <v>2.5</v>
      </c>
      <c r="H171" s="630">
        <f t="shared" si="44"/>
        <v>3</v>
      </c>
      <c r="I171" s="631">
        <f t="shared" si="45"/>
        <v>120</v>
      </c>
    </row>
    <row r="172" spans="2:9" x14ac:dyDescent="0.2">
      <c r="C172" s="634" t="s">
        <v>17</v>
      </c>
      <c r="D172" s="1435">
        <f>'Data &amp; hypothesis Children'!D216</f>
        <v>7</v>
      </c>
      <c r="E172" s="629">
        <f t="shared" si="42"/>
        <v>210</v>
      </c>
      <c r="F172" s="1431">
        <f>'Available Stocks'!$K$61</f>
        <v>180</v>
      </c>
      <c r="G172" s="630">
        <f>E172/F172</f>
        <v>1.1666666666666667</v>
      </c>
      <c r="H172" s="630">
        <f>ROUNDUP(E172/F172, 0)</f>
        <v>2</v>
      </c>
      <c r="I172" s="631">
        <f t="shared" si="45"/>
        <v>150</v>
      </c>
    </row>
    <row r="173" spans="2:9" ht="13.5" thickBot="1" x14ac:dyDescent="0.25">
      <c r="C173" s="609" t="s">
        <v>33</v>
      </c>
      <c r="D173" s="1436">
        <f>'Data &amp; hypothesis Children'!D217</f>
        <v>4</v>
      </c>
      <c r="E173" s="635">
        <f t="shared" si="42"/>
        <v>120</v>
      </c>
      <c r="F173" s="1432">
        <f>'Available Stocks'!$K$62</f>
        <v>60</v>
      </c>
      <c r="G173" s="636">
        <f t="shared" si="43"/>
        <v>2</v>
      </c>
      <c r="H173" s="636">
        <f t="shared" si="44"/>
        <v>2</v>
      </c>
      <c r="I173" s="637">
        <f t="shared" si="45"/>
        <v>0</v>
      </c>
    </row>
    <row r="174" spans="2:9" x14ac:dyDescent="0.2">
      <c r="B174" s="623"/>
      <c r="C174" s="624"/>
      <c r="D174" s="624"/>
      <c r="E174" s="623"/>
      <c r="F174" s="623"/>
      <c r="G174" s="623"/>
      <c r="H174" s="623"/>
    </row>
    <row r="175" spans="2:9" ht="13.5" thickBot="1" x14ac:dyDescent="0.25"/>
    <row r="176" spans="2:9" ht="13.5" thickBot="1" x14ac:dyDescent="0.25">
      <c r="B176" s="2165" t="str">
        <f>'TRAD-Children YEAR(1)'!B83</f>
        <v>Si enfant de 15 - 19,9 kg (pris en compte pour la tranche 17 - 19,9 kg)</v>
      </c>
      <c r="C176" s="2166"/>
      <c r="D176" s="2166"/>
      <c r="E176" s="2166"/>
      <c r="F176" s="2166"/>
      <c r="G176" s="2166"/>
      <c r="H176" s="2167"/>
    </row>
    <row r="177" spans="2:9" ht="13.5" thickBot="1" x14ac:dyDescent="0.25">
      <c r="B177" s="623"/>
      <c r="C177" s="624"/>
      <c r="D177" s="624"/>
      <c r="E177" s="623"/>
      <c r="F177" s="623"/>
      <c r="G177" s="623"/>
      <c r="H177" s="623"/>
    </row>
    <row r="178" spans="2:9" ht="51.75" thickBot="1" x14ac:dyDescent="0.25">
      <c r="C178" s="368"/>
      <c r="D178" s="369" t="str">
        <f>'TRAD-Children YEAR(1)'!B76</f>
        <v>volume (mL) / jour</v>
      </c>
      <c r="E178" s="369" t="str">
        <f>'TRAD-Children YEAR(1)'!B77</f>
        <v>volume (mL) / mois</v>
      </c>
      <c r="F178" s="369" t="str">
        <f>'TRAD-Children YEAR(1)'!B78</f>
        <v>volume flacon (mL)</v>
      </c>
      <c r="G178" s="369" t="str">
        <f>'TRAD-Children YEAR(1)'!B79</f>
        <v>nb de flacons / mois</v>
      </c>
      <c r="H178" s="369" t="str">
        <f>'TRAD-Children YEAR(1)'!B80</f>
        <v>nb de flacons / mois arrondi</v>
      </c>
      <c r="I178" s="369" t="str">
        <f>'TRAD-Children YEAR(1)'!B81</f>
        <v>reste (mL)</v>
      </c>
    </row>
    <row r="179" spans="2:9" x14ac:dyDescent="0.2">
      <c r="C179" s="607" t="s">
        <v>39</v>
      </c>
      <c r="D179" s="1434">
        <f>'Data &amp; hypothesis Children'!D223</f>
        <v>30</v>
      </c>
      <c r="E179" s="626">
        <f t="shared" ref="E179:E186" si="46">D179*30</f>
        <v>900</v>
      </c>
      <c r="F179" s="1428">
        <f>'Available Stocks'!$K$55</f>
        <v>240</v>
      </c>
      <c r="G179" s="627">
        <f t="shared" ref="G179:G184" si="47">E179/F179</f>
        <v>3.75</v>
      </c>
      <c r="H179" s="627">
        <f t="shared" ref="H179:H184" si="48">ROUNDUP(E179/F179, 0)</f>
        <v>4</v>
      </c>
      <c r="I179" s="628">
        <f t="shared" ref="I179:I186" si="49">H179*F179-E179</f>
        <v>60</v>
      </c>
    </row>
    <row r="180" spans="2:9" x14ac:dyDescent="0.2">
      <c r="C180" s="615" t="s">
        <v>61</v>
      </c>
      <c r="D180" s="1435">
        <f>'Data &amp; hypothesis Children'!D224</f>
        <v>30</v>
      </c>
      <c r="E180" s="629">
        <f t="shared" si="46"/>
        <v>900</v>
      </c>
      <c r="F180" s="1429">
        <f>'Available Stocks'!$K$56</f>
        <v>240</v>
      </c>
      <c r="G180" s="630">
        <f t="shared" si="47"/>
        <v>3.75</v>
      </c>
      <c r="H180" s="630">
        <f t="shared" si="48"/>
        <v>4</v>
      </c>
      <c r="I180" s="631">
        <f t="shared" si="49"/>
        <v>60</v>
      </c>
    </row>
    <row r="181" spans="2:9" x14ac:dyDescent="0.2">
      <c r="C181" s="615" t="s">
        <v>15</v>
      </c>
      <c r="D181" s="1435">
        <f>'Data &amp; hypothesis Children'!D225</f>
        <v>15</v>
      </c>
      <c r="E181" s="629">
        <f t="shared" si="46"/>
        <v>450</v>
      </c>
      <c r="F181" s="1430">
        <f>'Available Stocks'!$K$57</f>
        <v>240</v>
      </c>
      <c r="G181" s="630">
        <f t="shared" si="47"/>
        <v>1.875</v>
      </c>
      <c r="H181" s="630">
        <f t="shared" si="48"/>
        <v>2</v>
      </c>
      <c r="I181" s="631">
        <f t="shared" si="49"/>
        <v>30</v>
      </c>
    </row>
    <row r="182" spans="2:9" x14ac:dyDescent="0.2">
      <c r="C182" s="615" t="s">
        <v>25</v>
      </c>
      <c r="D182" s="1435">
        <f>'Data &amp; hypothesis Children'!D226</f>
        <v>15</v>
      </c>
      <c r="E182" s="629">
        <f t="shared" si="46"/>
        <v>450</v>
      </c>
      <c r="F182" s="1430">
        <f>'Available Stocks'!$K$58</f>
        <v>240</v>
      </c>
      <c r="G182" s="630">
        <f t="shared" si="47"/>
        <v>1.875</v>
      </c>
      <c r="H182" s="630">
        <f t="shared" si="48"/>
        <v>2</v>
      </c>
      <c r="I182" s="631">
        <f t="shared" si="49"/>
        <v>30</v>
      </c>
    </row>
    <row r="183" spans="2:9" x14ac:dyDescent="0.2">
      <c r="C183" s="615" t="s">
        <v>28</v>
      </c>
      <c r="D183" s="1435">
        <f>'Data &amp; hypothesis Children'!D227</f>
        <v>20</v>
      </c>
      <c r="E183" s="629">
        <f t="shared" si="46"/>
        <v>600</v>
      </c>
      <c r="F183" s="1430">
        <f>'Available Stocks'!$K$59</f>
        <v>200</v>
      </c>
      <c r="G183" s="632">
        <f t="shared" si="47"/>
        <v>3</v>
      </c>
      <c r="H183" s="632">
        <f t="shared" si="48"/>
        <v>3</v>
      </c>
      <c r="I183" s="633">
        <f t="shared" si="49"/>
        <v>0</v>
      </c>
    </row>
    <row r="184" spans="2:9" x14ac:dyDescent="0.2">
      <c r="C184" s="634" t="s">
        <v>19</v>
      </c>
      <c r="D184" s="1435">
        <f>'Data &amp; hypothesis Children'!D228</f>
        <v>24</v>
      </c>
      <c r="E184" s="629">
        <f t="shared" si="46"/>
        <v>720</v>
      </c>
      <c r="F184" s="1430">
        <f>'Available Stocks'!$K$60</f>
        <v>240</v>
      </c>
      <c r="G184" s="630">
        <f t="shared" si="47"/>
        <v>3</v>
      </c>
      <c r="H184" s="630">
        <f t="shared" si="48"/>
        <v>3</v>
      </c>
      <c r="I184" s="631">
        <f t="shared" si="49"/>
        <v>0</v>
      </c>
    </row>
    <row r="185" spans="2:9" x14ac:dyDescent="0.2">
      <c r="C185" s="634" t="s">
        <v>17</v>
      </c>
      <c r="D185" s="1435">
        <f>'Data &amp; hypothesis Children'!D229</f>
        <v>13</v>
      </c>
      <c r="E185" s="629">
        <f t="shared" si="46"/>
        <v>390</v>
      </c>
      <c r="F185" s="1431">
        <f>'Available Stocks'!$K$61</f>
        <v>180</v>
      </c>
      <c r="G185" s="630">
        <f>E185/F185</f>
        <v>2.1666666666666665</v>
      </c>
      <c r="H185" s="630">
        <f>ROUNDUP(E185/F185, 0)</f>
        <v>3</v>
      </c>
      <c r="I185" s="631">
        <f t="shared" si="49"/>
        <v>150</v>
      </c>
    </row>
    <row r="186" spans="2:9" ht="13.5" thickBot="1" x14ac:dyDescent="0.25">
      <c r="C186" s="609" t="s">
        <v>33</v>
      </c>
      <c r="D186" s="1436">
        <f>'Data &amp; hypothesis Children'!D230</f>
        <v>5</v>
      </c>
      <c r="E186" s="635">
        <f t="shared" si="46"/>
        <v>150</v>
      </c>
      <c r="F186" s="1432">
        <f>'Available Stocks'!$K$62</f>
        <v>60</v>
      </c>
      <c r="G186" s="636">
        <f t="shared" ref="G186" si="50">E186/F186</f>
        <v>2.5</v>
      </c>
      <c r="H186" s="636">
        <f t="shared" ref="H186" si="51">ROUNDUP(E186/F186, 0)</f>
        <v>3</v>
      </c>
      <c r="I186" s="637">
        <f t="shared" si="49"/>
        <v>30</v>
      </c>
    </row>
    <row r="188" spans="2:9" ht="13.5" thickBot="1" x14ac:dyDescent="0.25"/>
    <row r="189" spans="2:9" ht="13.5" thickBot="1" x14ac:dyDescent="0.25">
      <c r="B189" s="2184" t="str">
        <f>'TRAD-Children YEAR(1)'!B84</f>
        <v>Si enfant &gt; 15 kg pouvant recevoir des formes adultes</v>
      </c>
      <c r="C189" s="2185"/>
      <c r="D189" s="2185"/>
      <c r="E189" s="2185"/>
      <c r="F189" s="2185"/>
      <c r="G189" s="2185"/>
      <c r="H189" s="2186"/>
    </row>
    <row r="191" spans="2:9" ht="13.5" thickBot="1" x14ac:dyDescent="0.25">
      <c r="D191" s="2168" t="str">
        <f>'TRAD-Children YEAR(1)'!B86</f>
        <v>Poids envisagés</v>
      </c>
      <c r="E191" s="2168"/>
      <c r="F191" s="2168"/>
      <c r="G191" s="2168"/>
    </row>
    <row r="192" spans="2:9" ht="13.5" thickBot="1" x14ac:dyDescent="0.25">
      <c r="C192" s="368" t="str">
        <f>'TRAD-Children YEAR(1)'!B85</f>
        <v>Formes adultes</v>
      </c>
      <c r="E192" s="838" t="s">
        <v>206</v>
      </c>
      <c r="F192" s="838" t="s">
        <v>207</v>
      </c>
      <c r="G192" s="838" t="s">
        <v>208</v>
      </c>
      <c r="H192" s="838" t="s">
        <v>112</v>
      </c>
    </row>
    <row r="193" spans="3:10" ht="13.5" customHeight="1" thickBot="1" x14ac:dyDescent="0.25">
      <c r="C193" s="2181" t="str">
        <f>'TRAD-Children YEAR(1)'!B87</f>
        <v>Nb de boites / mois / patient</v>
      </c>
      <c r="D193" s="2182"/>
      <c r="E193" s="2182"/>
      <c r="F193" s="2182"/>
      <c r="G193" s="2183"/>
    </row>
    <row r="194" spans="3:10" x14ac:dyDescent="0.2">
      <c r="C194" s="849" t="str">
        <f t="array" ref="C194:H216">'Data &amp; hypothesis Children'!$C$238:$H$260</f>
        <v>AZT+ 3TC+ NVP adulte</v>
      </c>
      <c r="D194" s="1172" t="str">
        <v>300/150/200 mg</v>
      </c>
      <c r="E194" s="1433">
        <v>0</v>
      </c>
      <c r="F194" s="1433">
        <v>0</v>
      </c>
      <c r="G194" s="1433">
        <v>1</v>
      </c>
      <c r="H194" s="1433">
        <v>1</v>
      </c>
      <c r="I194" s="849"/>
      <c r="J194" s="1172"/>
    </row>
    <row r="195" spans="3:10" x14ac:dyDescent="0.2">
      <c r="C195" s="849" t="str">
        <v>AZT+ 3TC+ NVP bébé</v>
      </c>
      <c r="D195" s="1172" t="str">
        <v>60/30/50 mg</v>
      </c>
      <c r="E195" s="1433">
        <v>1.5</v>
      </c>
      <c r="F195" s="1433">
        <v>2</v>
      </c>
      <c r="G195" s="1433">
        <v>2.5</v>
      </c>
      <c r="H195" s="1433">
        <v>3</v>
      </c>
      <c r="I195" s="639"/>
      <c r="J195" s="1172"/>
    </row>
    <row r="196" spans="3:10" x14ac:dyDescent="0.2">
      <c r="C196" s="849" t="str">
        <v>AZT+ 3TC adulte</v>
      </c>
      <c r="D196" s="1172" t="str">
        <v>300/150 mg</v>
      </c>
      <c r="E196" s="1433">
        <v>0</v>
      </c>
      <c r="F196" s="1433">
        <v>0</v>
      </c>
      <c r="G196" s="1433">
        <v>1</v>
      </c>
      <c r="H196" s="1433">
        <v>1</v>
      </c>
      <c r="I196" s="849"/>
      <c r="J196" s="1172"/>
    </row>
    <row r="197" spans="3:10" x14ac:dyDescent="0.2">
      <c r="C197" s="849" t="str">
        <v>AZT+ 3TC bébé</v>
      </c>
      <c r="D197" s="1172" t="str">
        <v>60/30 mg</v>
      </c>
      <c r="E197" s="1433">
        <v>1.5</v>
      </c>
      <c r="F197" s="1433">
        <v>2</v>
      </c>
      <c r="G197" s="1433">
        <v>2.5</v>
      </c>
      <c r="H197" s="1433">
        <v>3</v>
      </c>
      <c r="I197" s="849"/>
      <c r="J197" s="1172"/>
    </row>
    <row r="198" spans="3:10" x14ac:dyDescent="0.2">
      <c r="C198" s="849" t="str">
        <v>D4T+ 3TC+ NVP adulte</v>
      </c>
      <c r="D198" s="1172" t="str">
        <v>30/150/200 mg</v>
      </c>
      <c r="E198" s="1433">
        <v>0</v>
      </c>
      <c r="F198" s="1433">
        <v>0</v>
      </c>
      <c r="G198" s="1433">
        <v>1</v>
      </c>
      <c r="H198" s="1433">
        <v>1</v>
      </c>
      <c r="I198" s="639"/>
      <c r="J198" s="1172"/>
    </row>
    <row r="199" spans="3:10" x14ac:dyDescent="0.2">
      <c r="C199" s="849" t="str">
        <v>D4T+ 3TC+ NVP bébé</v>
      </c>
      <c r="D199" s="1172" t="str">
        <v>6/30/50 mg</v>
      </c>
      <c r="E199" s="1433">
        <v>1.5</v>
      </c>
      <c r="F199" s="1433">
        <v>2</v>
      </c>
      <c r="G199" s="1433">
        <v>2.5</v>
      </c>
      <c r="H199" s="1433">
        <v>3</v>
      </c>
      <c r="I199" s="638"/>
      <c r="J199" s="1172"/>
    </row>
    <row r="200" spans="3:10" x14ac:dyDescent="0.2">
      <c r="C200" s="849" t="str">
        <v>D4T+ 3TC bébé</v>
      </c>
      <c r="D200" s="1172" t="str">
        <v>6/30 mg</v>
      </c>
      <c r="E200" s="1433">
        <v>1.5</v>
      </c>
      <c r="F200" s="1433">
        <v>2</v>
      </c>
      <c r="G200" s="1433">
        <v>2.5</v>
      </c>
      <c r="H200" s="1433">
        <v>3</v>
      </c>
      <c r="I200" s="638"/>
      <c r="J200" s="1172"/>
    </row>
    <row r="201" spans="3:10" x14ac:dyDescent="0.2">
      <c r="C201" s="849" t="str">
        <v>AZT+ 3TC+ ABC adulte</v>
      </c>
      <c r="D201" s="1172" t="str">
        <v>300/150/300 mg</v>
      </c>
      <c r="E201" s="1433">
        <v>0</v>
      </c>
      <c r="F201" s="1433">
        <v>0</v>
      </c>
      <c r="G201" s="1433">
        <v>1</v>
      </c>
      <c r="H201" s="1433">
        <v>1</v>
      </c>
      <c r="I201" s="849"/>
      <c r="J201" s="1172"/>
    </row>
    <row r="202" spans="3:10" x14ac:dyDescent="0.2">
      <c r="C202" s="849" t="str">
        <v>AZT+ 3TC+ ABC bébé</v>
      </c>
      <c r="D202" s="1172" t="str">
        <v>60/30/60 mg</v>
      </c>
      <c r="E202" s="1433">
        <v>1.5</v>
      </c>
      <c r="F202" s="1433">
        <v>2</v>
      </c>
      <c r="G202" s="1433">
        <v>2.5</v>
      </c>
      <c r="H202" s="1433">
        <v>3</v>
      </c>
      <c r="I202" s="849"/>
      <c r="J202" s="1172"/>
    </row>
    <row r="203" spans="3:10" x14ac:dyDescent="0.2">
      <c r="C203" s="849" t="str">
        <v>ABC+ 3TC adulte</v>
      </c>
      <c r="D203" s="1172" t="str">
        <v>600/300 mg</v>
      </c>
      <c r="E203" s="1433">
        <v>0</v>
      </c>
      <c r="F203" s="1433">
        <v>0</v>
      </c>
      <c r="G203" s="1433">
        <v>1</v>
      </c>
      <c r="H203" s="1433">
        <v>1</v>
      </c>
      <c r="I203" s="849"/>
      <c r="J203" s="1172"/>
    </row>
    <row r="204" spans="3:10" x14ac:dyDescent="0.2">
      <c r="C204" s="849" t="str">
        <v>ABC+ 3TC bébé</v>
      </c>
      <c r="D204" s="1172" t="str">
        <v>60/30 mg</v>
      </c>
      <c r="E204" s="1433">
        <v>1.5</v>
      </c>
      <c r="F204" s="1433">
        <v>2</v>
      </c>
      <c r="G204" s="1433">
        <v>2.5</v>
      </c>
      <c r="H204" s="1433">
        <v>3</v>
      </c>
      <c r="I204" s="849"/>
      <c r="J204" s="1172"/>
    </row>
    <row r="205" spans="3:10" x14ac:dyDescent="0.2">
      <c r="C205" s="849" t="str">
        <v>TDF+ FTC/3TC+ EFV adulte</v>
      </c>
      <c r="D205" s="1172" t="str">
        <v>300/200/600 mg</v>
      </c>
      <c r="E205" s="1433">
        <v>0</v>
      </c>
      <c r="F205" s="1433">
        <v>0</v>
      </c>
      <c r="G205" s="1433">
        <v>0</v>
      </c>
      <c r="H205" s="1433">
        <v>1</v>
      </c>
      <c r="I205" s="849"/>
      <c r="J205" s="1172"/>
    </row>
    <row r="206" spans="3:10" x14ac:dyDescent="0.2">
      <c r="C206" s="849" t="str">
        <v>TDF+ FTC/3TC adulte</v>
      </c>
      <c r="D206" s="1172" t="str">
        <v>300/200 mg</v>
      </c>
      <c r="E206" s="1433">
        <v>0</v>
      </c>
      <c r="F206" s="1433">
        <v>0</v>
      </c>
      <c r="G206" s="1433">
        <v>0</v>
      </c>
      <c r="H206" s="1433">
        <v>1</v>
      </c>
      <c r="I206" s="849"/>
      <c r="J206" s="1172"/>
    </row>
    <row r="207" spans="3:10" x14ac:dyDescent="0.2">
      <c r="C207" s="849" t="str">
        <v>TDF adulte</v>
      </c>
      <c r="D207" s="1172" t="str">
        <v>300 mg</v>
      </c>
      <c r="E207" s="1433">
        <v>0</v>
      </c>
      <c r="F207" s="1433">
        <v>0</v>
      </c>
      <c r="G207" s="1433">
        <v>0</v>
      </c>
      <c r="H207" s="1433">
        <v>1</v>
      </c>
      <c r="I207" s="849"/>
      <c r="J207" s="1172"/>
    </row>
    <row r="208" spans="3:10" x14ac:dyDescent="0.2">
      <c r="C208" s="849" t="str">
        <v>3TC adulte</v>
      </c>
      <c r="D208" s="1172" t="str">
        <v>150 mg</v>
      </c>
      <c r="E208" s="1433">
        <v>0</v>
      </c>
      <c r="F208" s="1433">
        <v>0</v>
      </c>
      <c r="G208" s="1433">
        <v>0.5</v>
      </c>
      <c r="H208" s="1433">
        <v>1</v>
      </c>
      <c r="I208" s="849"/>
      <c r="J208" s="1172"/>
    </row>
    <row r="209" spans="1:17" x14ac:dyDescent="0.2">
      <c r="C209" s="849" t="str">
        <v>ABC adulte</v>
      </c>
      <c r="D209" s="1172" t="str">
        <v>300 mg</v>
      </c>
      <c r="E209" s="1433">
        <v>0</v>
      </c>
      <c r="F209" s="1433">
        <v>0</v>
      </c>
      <c r="G209" s="1433">
        <v>0.5</v>
      </c>
      <c r="H209" s="1433">
        <v>1</v>
      </c>
      <c r="I209" s="849"/>
      <c r="J209" s="1172"/>
    </row>
    <row r="210" spans="1:17" x14ac:dyDescent="0.2">
      <c r="C210" s="849" t="str">
        <v>ABC bébé</v>
      </c>
      <c r="D210" s="1172" t="str">
        <v>60 mg</v>
      </c>
      <c r="E210" s="1433">
        <v>1.5</v>
      </c>
      <c r="F210" s="1433">
        <v>2</v>
      </c>
      <c r="G210" s="1433">
        <v>2.5</v>
      </c>
      <c r="H210" s="1433">
        <v>3</v>
      </c>
      <c r="I210" s="849"/>
      <c r="J210" s="1172"/>
    </row>
    <row r="211" spans="1:17" x14ac:dyDescent="0.2">
      <c r="C211" s="849" t="str">
        <v>DDI adulte</v>
      </c>
      <c r="D211" s="1172" t="str">
        <v>250 mg</v>
      </c>
      <c r="E211" s="1433">
        <v>0</v>
      </c>
      <c r="F211" s="1433">
        <v>0</v>
      </c>
      <c r="G211" s="1433">
        <v>0</v>
      </c>
      <c r="H211" s="1433">
        <v>1</v>
      </c>
      <c r="I211" s="849"/>
      <c r="J211" s="1172"/>
    </row>
    <row r="212" spans="1:17" x14ac:dyDescent="0.2">
      <c r="C212" s="850" t="str">
        <v>NVP adulte</v>
      </c>
      <c r="D212" s="1172" t="str">
        <v>200 mg</v>
      </c>
      <c r="E212" s="1433">
        <v>0</v>
      </c>
      <c r="F212" s="1433">
        <v>0</v>
      </c>
      <c r="G212" s="1433">
        <v>0.75</v>
      </c>
      <c r="H212" s="1433">
        <v>1</v>
      </c>
      <c r="I212" s="850"/>
      <c r="J212" s="1172"/>
    </row>
    <row r="213" spans="1:17" x14ac:dyDescent="0.2">
      <c r="C213" s="850" t="str">
        <v>NVP bébé</v>
      </c>
      <c r="D213" s="1172" t="str">
        <v>50 mg</v>
      </c>
      <c r="E213" s="1433">
        <v>1.5</v>
      </c>
      <c r="F213" s="1433">
        <v>2</v>
      </c>
      <c r="G213" s="1433">
        <v>2.5</v>
      </c>
      <c r="H213" s="1433">
        <v>3</v>
      </c>
      <c r="I213" s="850"/>
      <c r="J213" s="1172"/>
    </row>
    <row r="214" spans="1:17" x14ac:dyDescent="0.2">
      <c r="C214" s="850" t="str">
        <v>EFV enfant</v>
      </c>
      <c r="D214" s="1172" t="str">
        <v>200 mg</v>
      </c>
      <c r="E214" s="1433">
        <v>0</v>
      </c>
      <c r="F214" s="1433">
        <v>1</v>
      </c>
      <c r="G214" s="1433">
        <v>1.5</v>
      </c>
      <c r="H214" s="1433">
        <v>1.5</v>
      </c>
      <c r="I214" s="850"/>
      <c r="J214" s="1172"/>
    </row>
    <row r="215" spans="1:17" x14ac:dyDescent="0.2">
      <c r="C215" s="849" t="str">
        <v>LPV/r adulte</v>
      </c>
      <c r="D215" s="1172" t="str">
        <v>200/50 mg</v>
      </c>
      <c r="E215" s="1433">
        <v>0</v>
      </c>
      <c r="F215" s="1433">
        <v>0</v>
      </c>
      <c r="G215" s="1433">
        <v>0.5</v>
      </c>
      <c r="H215" s="1433">
        <v>0.5</v>
      </c>
      <c r="I215" s="849"/>
      <c r="J215" s="1172"/>
    </row>
    <row r="216" spans="1:17" ht="13.5" thickBot="1" x14ac:dyDescent="0.25">
      <c r="C216" s="849" t="str">
        <v>LPV/r enfant</v>
      </c>
      <c r="D216" s="1190" t="str">
        <v>100/25 mg</v>
      </c>
      <c r="E216" s="1433">
        <v>0</v>
      </c>
      <c r="F216" s="1433">
        <v>1.5</v>
      </c>
      <c r="G216" s="1433">
        <v>2</v>
      </c>
      <c r="H216" s="1433">
        <v>2</v>
      </c>
      <c r="I216" s="851"/>
      <c r="J216" s="1190"/>
    </row>
    <row r="217" spans="1:17" x14ac:dyDescent="0.2">
      <c r="C217" s="1356"/>
      <c r="D217" s="1357"/>
      <c r="E217" s="1357"/>
      <c r="F217" s="1357"/>
      <c r="G217" s="1357"/>
    </row>
    <row r="219" spans="1:17" s="1279" customFormat="1" ht="14.25" x14ac:dyDescent="0.2">
      <c r="B219" s="1343" t="str">
        <f>'TRAD-Children YEAR(1)'!B110</f>
        <v>Récapitulatif</v>
      </c>
      <c r="C219" s="1343"/>
      <c r="D219" s="1343"/>
      <c r="E219" s="1343"/>
      <c r="F219" s="1343"/>
      <c r="G219" s="1344"/>
      <c r="H219" s="1344"/>
      <c r="I219" s="1344"/>
      <c r="J219" s="1344"/>
      <c r="K219" s="1344"/>
      <c r="L219" s="1344"/>
      <c r="M219" s="1344"/>
      <c r="Q219" s="1345"/>
    </row>
    <row r="220" spans="1:17" s="1281" customFormat="1" x14ac:dyDescent="0.2">
      <c r="A220" s="1280"/>
    </row>
    <row r="221" spans="1:17" s="1281" customFormat="1" ht="13.5" thickBot="1" x14ac:dyDescent="0.25">
      <c r="A221" s="1280"/>
      <c r="D221" s="2180" t="str">
        <f>'TRAD-Children YEAR(1)'!B86</f>
        <v>Poids envisagés</v>
      </c>
      <c r="E221" s="2180"/>
      <c r="F221" s="2180"/>
      <c r="G221" s="2180"/>
    </row>
    <row r="222" spans="1:17" s="1281" customFormat="1" ht="13.5" thickBot="1" x14ac:dyDescent="0.25">
      <c r="A222" s="1280"/>
      <c r="C222" s="1346" t="str">
        <f>'TRAD-Children YEAR(1)'!B85</f>
        <v>Formes adultes</v>
      </c>
      <c r="D222" s="1347" t="s">
        <v>654</v>
      </c>
      <c r="E222" s="1347" t="s">
        <v>207</v>
      </c>
      <c r="F222" s="1347" t="s">
        <v>208</v>
      </c>
      <c r="G222" s="1348" t="s">
        <v>112</v>
      </c>
    </row>
    <row r="223" spans="1:17" s="1281" customFormat="1" ht="13.5" thickBot="1" x14ac:dyDescent="0.25">
      <c r="A223" s="1280"/>
      <c r="C223" s="2193" t="s">
        <v>127</v>
      </c>
      <c r="D223" s="2194"/>
      <c r="E223" s="2194"/>
      <c r="F223" s="2194"/>
      <c r="G223" s="2195"/>
    </row>
    <row r="224" spans="1:17" s="1281" customFormat="1" ht="13.5" thickBot="1" x14ac:dyDescent="0.25">
      <c r="A224" s="1280"/>
      <c r="B224" s="1396" t="str">
        <f>'TRAD-Children YEAR(1)'!B90</f>
        <v>Solutions buvables</v>
      </c>
      <c r="C224" s="1349" t="s">
        <v>39</v>
      </c>
      <c r="D224" s="1350">
        <f>G153</f>
        <v>2.25</v>
      </c>
      <c r="E224" s="1294">
        <f>G166</f>
        <v>3</v>
      </c>
      <c r="F224" s="1350">
        <f>G179</f>
        <v>3.75</v>
      </c>
      <c r="G224" s="1351"/>
    </row>
    <row r="225" spans="1:9" s="1281" customFormat="1" x14ac:dyDescent="0.2">
      <c r="A225" s="1280"/>
      <c r="C225" s="1352" t="s">
        <v>61</v>
      </c>
      <c r="D225" s="1350">
        <f t="shared" ref="D225:D231" si="52">G154</f>
        <v>1.75</v>
      </c>
      <c r="E225" s="1294">
        <f t="shared" ref="E225:E231" si="53">G167</f>
        <v>3</v>
      </c>
      <c r="F225" s="1350">
        <f t="shared" ref="F225:F231" si="54">G180</f>
        <v>3.75</v>
      </c>
      <c r="G225" s="1295"/>
    </row>
    <row r="226" spans="1:9" s="1281" customFormat="1" x14ac:dyDescent="0.2">
      <c r="A226" s="1280"/>
      <c r="C226" s="1349" t="s">
        <v>15</v>
      </c>
      <c r="D226" s="1350">
        <f t="shared" si="52"/>
        <v>1</v>
      </c>
      <c r="E226" s="1294">
        <f t="shared" si="53"/>
        <v>1.5</v>
      </c>
      <c r="F226" s="1350">
        <f t="shared" si="54"/>
        <v>1.875</v>
      </c>
      <c r="G226" s="1351"/>
    </row>
    <row r="227" spans="1:9" s="1281" customFormat="1" x14ac:dyDescent="0.2">
      <c r="A227" s="1280"/>
      <c r="C227" s="1349" t="s">
        <v>25</v>
      </c>
      <c r="D227" s="1350">
        <f t="shared" si="52"/>
        <v>0.75</v>
      </c>
      <c r="E227" s="1294">
        <f t="shared" si="53"/>
        <v>1.5</v>
      </c>
      <c r="F227" s="1350">
        <f t="shared" si="54"/>
        <v>1.875</v>
      </c>
      <c r="G227" s="1351"/>
    </row>
    <row r="228" spans="1:9" s="1281" customFormat="1" x14ac:dyDescent="0.2">
      <c r="A228" s="1280"/>
      <c r="C228" s="1349" t="s">
        <v>28</v>
      </c>
      <c r="D228" s="1350">
        <f t="shared" si="52"/>
        <v>1.5</v>
      </c>
      <c r="E228" s="1294">
        <f t="shared" si="53"/>
        <v>2.1</v>
      </c>
      <c r="F228" s="1350">
        <f t="shared" si="54"/>
        <v>3</v>
      </c>
      <c r="G228" s="1351"/>
    </row>
    <row r="229" spans="1:9" s="1281" customFormat="1" x14ac:dyDescent="0.2">
      <c r="A229" s="1280"/>
      <c r="C229" s="1349" t="s">
        <v>19</v>
      </c>
      <c r="D229" s="1350">
        <f t="shared" si="52"/>
        <v>1.75</v>
      </c>
      <c r="E229" s="1294">
        <f t="shared" si="53"/>
        <v>2.5</v>
      </c>
      <c r="F229" s="1350">
        <f t="shared" si="54"/>
        <v>3</v>
      </c>
      <c r="G229" s="1351"/>
    </row>
    <row r="230" spans="1:9" s="1281" customFormat="1" x14ac:dyDescent="0.2">
      <c r="A230" s="1280"/>
      <c r="C230" s="1349" t="s">
        <v>17</v>
      </c>
      <c r="D230" s="1353"/>
      <c r="E230" s="1294">
        <f t="shared" si="53"/>
        <v>1.1666666666666667</v>
      </c>
      <c r="F230" s="1350">
        <f t="shared" si="54"/>
        <v>2.1666666666666665</v>
      </c>
      <c r="G230" s="1351">
        <v>2.5</v>
      </c>
    </row>
    <row r="231" spans="1:9" s="1281" customFormat="1" ht="13.5" thickBot="1" x14ac:dyDescent="0.25">
      <c r="A231" s="1280"/>
      <c r="C231" s="1402" t="s">
        <v>33</v>
      </c>
      <c r="D231" s="1403">
        <f t="shared" si="52"/>
        <v>1.5</v>
      </c>
      <c r="E231" s="1354">
        <f t="shared" si="53"/>
        <v>2</v>
      </c>
      <c r="F231" s="1350">
        <f t="shared" si="54"/>
        <v>2.5</v>
      </c>
      <c r="G231" s="1355">
        <v>3</v>
      </c>
    </row>
    <row r="232" spans="1:9" s="1281" customFormat="1" ht="13.5" thickBot="1" x14ac:dyDescent="0.25">
      <c r="A232" s="1280"/>
      <c r="B232" s="1396" t="str">
        <f>'TRAD-Children YEAR(1)'!B91</f>
        <v>Comprimés</v>
      </c>
      <c r="C232" s="849" t="str">
        <f t="array" ref="C232:C254">C194:C216</f>
        <v>AZT+ 3TC+ NVP adulte</v>
      </c>
      <c r="D232" s="1294">
        <f t="array" ref="D232:G254">E194:H216</f>
        <v>0</v>
      </c>
      <c r="E232" s="1294">
        <v>0</v>
      </c>
      <c r="F232" s="1294">
        <v>1</v>
      </c>
      <c r="G232" s="1294">
        <v>1</v>
      </c>
      <c r="H232" s="849"/>
      <c r="I232" s="1172"/>
    </row>
    <row r="233" spans="1:9" s="1281" customFormat="1" x14ac:dyDescent="0.2">
      <c r="A233" s="1280"/>
      <c r="C233" s="849" t="str">
        <v>AZT+ 3TC+ NVP bébé</v>
      </c>
      <c r="D233" s="1294">
        <v>1.5</v>
      </c>
      <c r="E233" s="1294">
        <v>2</v>
      </c>
      <c r="F233" s="1294">
        <v>2.5</v>
      </c>
      <c r="G233" s="1294">
        <v>3</v>
      </c>
      <c r="H233" s="639"/>
      <c r="I233" s="1172"/>
    </row>
    <row r="234" spans="1:9" s="1281" customFormat="1" x14ac:dyDescent="0.2">
      <c r="A234" s="1280"/>
      <c r="C234" s="849" t="str">
        <v>AZT+ 3TC adulte</v>
      </c>
      <c r="D234" s="1294">
        <v>0</v>
      </c>
      <c r="E234" s="1294">
        <v>0</v>
      </c>
      <c r="F234" s="1294">
        <v>1</v>
      </c>
      <c r="G234" s="1294">
        <v>1</v>
      </c>
      <c r="H234" s="849"/>
      <c r="I234" s="1172"/>
    </row>
    <row r="235" spans="1:9" s="1281" customFormat="1" x14ac:dyDescent="0.2">
      <c r="A235" s="1280"/>
      <c r="C235" s="849" t="str">
        <v>AZT+ 3TC bébé</v>
      </c>
      <c r="D235" s="1294">
        <v>1.5</v>
      </c>
      <c r="E235" s="1294">
        <v>2</v>
      </c>
      <c r="F235" s="1294">
        <v>2.5</v>
      </c>
      <c r="G235" s="1294">
        <v>3</v>
      </c>
      <c r="H235" s="849"/>
      <c r="I235" s="1172"/>
    </row>
    <row r="236" spans="1:9" s="1281" customFormat="1" x14ac:dyDescent="0.2">
      <c r="A236" s="1280"/>
      <c r="C236" s="849" t="str">
        <v>D4T+ 3TC+ NVP adulte</v>
      </c>
      <c r="D236" s="1294">
        <v>0</v>
      </c>
      <c r="E236" s="1294">
        <v>0</v>
      </c>
      <c r="F236" s="1294">
        <v>1</v>
      </c>
      <c r="G236" s="1294">
        <v>1</v>
      </c>
      <c r="H236" s="639"/>
      <c r="I236" s="1172"/>
    </row>
    <row r="237" spans="1:9" s="1281" customFormat="1" x14ac:dyDescent="0.2">
      <c r="A237" s="1280"/>
      <c r="C237" s="849" t="str">
        <v>D4T+ 3TC+ NVP bébé</v>
      </c>
      <c r="D237" s="1294">
        <v>1.5</v>
      </c>
      <c r="E237" s="1294">
        <v>2</v>
      </c>
      <c r="F237" s="1294">
        <v>2.5</v>
      </c>
      <c r="G237" s="1294">
        <v>3</v>
      </c>
      <c r="H237" s="638"/>
      <c r="I237" s="1172"/>
    </row>
    <row r="238" spans="1:9" s="1281" customFormat="1" x14ac:dyDescent="0.2">
      <c r="A238" s="1280"/>
      <c r="C238" s="849" t="str">
        <v>D4T+ 3TC bébé</v>
      </c>
      <c r="D238" s="1294">
        <v>1.5</v>
      </c>
      <c r="E238" s="1294">
        <v>2</v>
      </c>
      <c r="F238" s="1294">
        <v>2.5</v>
      </c>
      <c r="G238" s="1294">
        <v>3</v>
      </c>
      <c r="H238" s="638"/>
      <c r="I238" s="1172"/>
    </row>
    <row r="239" spans="1:9" s="1281" customFormat="1" x14ac:dyDescent="0.2">
      <c r="A239" s="1280"/>
      <c r="C239" s="849" t="str">
        <v>AZT+ 3TC+ ABC adulte</v>
      </c>
      <c r="D239" s="1294">
        <v>0</v>
      </c>
      <c r="E239" s="1294">
        <v>0</v>
      </c>
      <c r="F239" s="1294">
        <v>1</v>
      </c>
      <c r="G239" s="1294">
        <v>1</v>
      </c>
      <c r="H239" s="849"/>
      <c r="I239" s="1172"/>
    </row>
    <row r="240" spans="1:9" s="1281" customFormat="1" x14ac:dyDescent="0.2">
      <c r="A240" s="1280"/>
      <c r="C240" s="849" t="str">
        <v>AZT+ 3TC+ ABC bébé</v>
      </c>
      <c r="D240" s="1294">
        <v>1.5</v>
      </c>
      <c r="E240" s="1294">
        <v>2</v>
      </c>
      <c r="F240" s="1294">
        <v>2.5</v>
      </c>
      <c r="G240" s="1294">
        <v>3</v>
      </c>
      <c r="H240" s="849"/>
      <c r="I240" s="1172"/>
    </row>
    <row r="241" spans="1:9" s="1281" customFormat="1" x14ac:dyDescent="0.2">
      <c r="A241" s="1280"/>
      <c r="C241" s="849" t="str">
        <v>ABC+ 3TC adulte</v>
      </c>
      <c r="D241" s="1294">
        <v>0</v>
      </c>
      <c r="E241" s="1294">
        <v>0</v>
      </c>
      <c r="F241" s="1294">
        <v>1</v>
      </c>
      <c r="G241" s="1294">
        <v>1</v>
      </c>
      <c r="H241" s="849"/>
      <c r="I241" s="1172"/>
    </row>
    <row r="242" spans="1:9" s="1281" customFormat="1" x14ac:dyDescent="0.2">
      <c r="A242" s="1280"/>
      <c r="C242" s="849" t="str">
        <v>ABC+ 3TC bébé</v>
      </c>
      <c r="D242" s="1294">
        <v>1.5</v>
      </c>
      <c r="E242" s="1294">
        <v>2</v>
      </c>
      <c r="F242" s="1294">
        <v>2.5</v>
      </c>
      <c r="G242" s="1294">
        <v>3</v>
      </c>
      <c r="H242" s="849"/>
      <c r="I242" s="1172"/>
    </row>
    <row r="243" spans="1:9" s="1281" customFormat="1" x14ac:dyDescent="0.2">
      <c r="A243" s="1280"/>
      <c r="C243" s="849" t="str">
        <v>TDF+ FTC/3TC+ EFV adulte</v>
      </c>
      <c r="D243" s="1294">
        <v>0</v>
      </c>
      <c r="E243" s="1294">
        <v>0</v>
      </c>
      <c r="F243" s="1294">
        <v>0</v>
      </c>
      <c r="G243" s="1294">
        <v>1</v>
      </c>
      <c r="H243" s="849"/>
      <c r="I243" s="1172"/>
    </row>
    <row r="244" spans="1:9" s="1281" customFormat="1" x14ac:dyDescent="0.2">
      <c r="A244" s="1280"/>
      <c r="C244" s="849" t="str">
        <v>TDF+ FTC/3TC adulte</v>
      </c>
      <c r="D244" s="1294">
        <v>0</v>
      </c>
      <c r="E244" s="1294">
        <v>0</v>
      </c>
      <c r="F244" s="1294">
        <v>0</v>
      </c>
      <c r="G244" s="1294">
        <v>1</v>
      </c>
      <c r="H244" s="849"/>
      <c r="I244" s="1172"/>
    </row>
    <row r="245" spans="1:9" s="1281" customFormat="1" x14ac:dyDescent="0.2">
      <c r="A245" s="1280"/>
      <c r="C245" s="849" t="str">
        <v>TDF adulte</v>
      </c>
      <c r="D245" s="1294">
        <v>0</v>
      </c>
      <c r="E245" s="1294">
        <v>0</v>
      </c>
      <c r="F245" s="1294">
        <v>0</v>
      </c>
      <c r="G245" s="1294">
        <v>1</v>
      </c>
      <c r="H245" s="849"/>
      <c r="I245" s="1172"/>
    </row>
    <row r="246" spans="1:9" s="1281" customFormat="1" x14ac:dyDescent="0.2">
      <c r="A246" s="1280"/>
      <c r="C246" s="849" t="str">
        <v>3TC adulte</v>
      </c>
      <c r="D246" s="1294">
        <v>0</v>
      </c>
      <c r="E246" s="1294">
        <v>0</v>
      </c>
      <c r="F246" s="1294">
        <v>0.5</v>
      </c>
      <c r="G246" s="1294">
        <v>1</v>
      </c>
      <c r="H246" s="849"/>
      <c r="I246" s="1172"/>
    </row>
    <row r="247" spans="1:9" s="1281" customFormat="1" x14ac:dyDescent="0.2">
      <c r="A247" s="1280"/>
      <c r="C247" s="849" t="str">
        <v>ABC adulte</v>
      </c>
      <c r="D247" s="1294">
        <v>0</v>
      </c>
      <c r="E247" s="1294">
        <v>0</v>
      </c>
      <c r="F247" s="1294">
        <v>0.5</v>
      </c>
      <c r="G247" s="1294">
        <v>1</v>
      </c>
      <c r="H247" s="849"/>
      <c r="I247" s="1172"/>
    </row>
    <row r="248" spans="1:9" s="1281" customFormat="1" x14ac:dyDescent="0.2">
      <c r="A248" s="1280"/>
      <c r="C248" s="849" t="str">
        <v>ABC bébé</v>
      </c>
      <c r="D248" s="1294">
        <v>1.5</v>
      </c>
      <c r="E248" s="1294">
        <v>2</v>
      </c>
      <c r="F248" s="1294">
        <v>2.5</v>
      </c>
      <c r="G248" s="1294">
        <v>3</v>
      </c>
      <c r="H248" s="849"/>
      <c r="I248" s="1172"/>
    </row>
    <row r="249" spans="1:9" s="1281" customFormat="1" x14ac:dyDescent="0.2">
      <c r="A249" s="1280"/>
      <c r="C249" s="849" t="str">
        <v>DDI adulte</v>
      </c>
      <c r="D249" s="1294">
        <v>0</v>
      </c>
      <c r="E249" s="1294">
        <v>0</v>
      </c>
      <c r="F249" s="1294">
        <v>0</v>
      </c>
      <c r="G249" s="1294">
        <v>1</v>
      </c>
      <c r="H249" s="849"/>
      <c r="I249" s="1172"/>
    </row>
    <row r="250" spans="1:9" s="1281" customFormat="1" x14ac:dyDescent="0.2">
      <c r="A250" s="1280"/>
      <c r="C250" s="850" t="str">
        <v>NVP adulte</v>
      </c>
      <c r="D250" s="1294">
        <v>0</v>
      </c>
      <c r="E250" s="1294">
        <v>0</v>
      </c>
      <c r="F250" s="1294">
        <v>0.75</v>
      </c>
      <c r="G250" s="1294">
        <v>1</v>
      </c>
      <c r="H250" s="850"/>
      <c r="I250" s="1172"/>
    </row>
    <row r="251" spans="1:9" s="1281" customFormat="1" x14ac:dyDescent="0.2">
      <c r="A251" s="1280"/>
      <c r="C251" s="850" t="str">
        <v>NVP bébé</v>
      </c>
      <c r="D251" s="1294">
        <v>1.5</v>
      </c>
      <c r="E251" s="1294">
        <v>2</v>
      </c>
      <c r="F251" s="1294">
        <v>2.5</v>
      </c>
      <c r="G251" s="1294">
        <v>3</v>
      </c>
      <c r="H251" s="850"/>
      <c r="I251" s="1172"/>
    </row>
    <row r="252" spans="1:9" s="1281" customFormat="1" x14ac:dyDescent="0.2">
      <c r="A252" s="1280"/>
      <c r="C252" s="850" t="str">
        <v>EFV enfant</v>
      </c>
      <c r="D252" s="1294">
        <v>0</v>
      </c>
      <c r="E252" s="1294">
        <v>1</v>
      </c>
      <c r="F252" s="1294">
        <v>1.5</v>
      </c>
      <c r="G252" s="1294">
        <v>1.5</v>
      </c>
      <c r="H252" s="850"/>
      <c r="I252" s="1172"/>
    </row>
    <row r="253" spans="1:9" s="1281" customFormat="1" x14ac:dyDescent="0.2">
      <c r="A253" s="1280"/>
      <c r="C253" s="849" t="str">
        <v>LPV/r adulte</v>
      </c>
      <c r="D253" s="1294">
        <v>0</v>
      </c>
      <c r="E253" s="1294">
        <v>0</v>
      </c>
      <c r="F253" s="1294">
        <v>0.5</v>
      </c>
      <c r="G253" s="1294">
        <v>0.5</v>
      </c>
      <c r="H253" s="849"/>
      <c r="I253" s="1172"/>
    </row>
    <row r="254" spans="1:9" s="1281" customFormat="1" ht="13.5" thickBot="1" x14ac:dyDescent="0.25">
      <c r="A254" s="1280"/>
      <c r="C254" s="849" t="str">
        <v>LPV/r enfant</v>
      </c>
      <c r="D254" s="1294">
        <v>0</v>
      </c>
      <c r="E254" s="1294">
        <v>1.5</v>
      </c>
      <c r="F254" s="1294">
        <v>2</v>
      </c>
      <c r="G254" s="1294">
        <v>2</v>
      </c>
      <c r="H254" s="851"/>
      <c r="I254" s="1190"/>
    </row>
    <row r="255" spans="1:9" s="1281" customFormat="1" x14ac:dyDescent="0.2">
      <c r="A255" s="1280"/>
      <c r="C255" s="1280"/>
      <c r="F255" s="1321"/>
      <c r="G255" s="1321"/>
    </row>
    <row r="256" spans="1:9" s="1279" customFormat="1" x14ac:dyDescent="0.2">
      <c r="A256" s="1282"/>
    </row>
    <row r="257" spans="1:36" s="1279" customFormat="1" ht="15.75" thickBot="1" x14ac:dyDescent="0.25">
      <c r="A257" s="1277" t="str">
        <f>'TRAD-Children YEAR(1)'!B111</f>
        <v>Détails des calculs Quantification</v>
      </c>
      <c r="B257" s="1278"/>
      <c r="C257" s="1278"/>
      <c r="D257" s="1278"/>
      <c r="E257" s="1278"/>
      <c r="F257" s="1278"/>
      <c r="G257" s="1278"/>
      <c r="H257" s="1278"/>
      <c r="I257" s="1278"/>
      <c r="J257" s="1278"/>
      <c r="K257" s="1278"/>
      <c r="L257" s="1278"/>
    </row>
    <row r="258" spans="1:36" s="1281" customFormat="1" ht="13.5" thickBot="1" x14ac:dyDescent="0.25">
      <c r="A258" s="1280"/>
    </row>
    <row r="259" spans="1:36" s="1279" customFormat="1" ht="13.5" thickBot="1" x14ac:dyDescent="0.25">
      <c r="A259" s="1282"/>
      <c r="B259" s="1283" t="str">
        <f>'TRAD-Children YEAR(1)'!B112</f>
        <v>Tranche 3 - 9,9 kg</v>
      </c>
      <c r="C259" s="1284"/>
      <c r="D259" s="1285"/>
      <c r="E259" s="1285"/>
      <c r="F259" s="1285"/>
      <c r="G259" s="1285"/>
      <c r="H259" s="1285"/>
      <c r="I259" s="1286"/>
    </row>
    <row r="260" spans="1:36" s="1279" customFormat="1" ht="13.5" thickBot="1" x14ac:dyDescent="0.25">
      <c r="A260" s="1282"/>
      <c r="B260" s="1323"/>
      <c r="C260" s="1324"/>
      <c r="D260" s="1323"/>
      <c r="E260" s="1323"/>
      <c r="F260" s="1323"/>
      <c r="G260" s="1323"/>
      <c r="H260" s="1323"/>
      <c r="I260" s="1323"/>
    </row>
    <row r="261" spans="1:36" s="1279" customFormat="1" ht="26.25" thickBot="1" x14ac:dyDescent="0.25">
      <c r="A261" s="1282"/>
      <c r="D261" s="1322" t="str">
        <f>'TRAD-Children YEAR(1)'!B90</f>
        <v>Solutions buvables</v>
      </c>
      <c r="E261" s="1284"/>
      <c r="F261" s="1284"/>
      <c r="G261" s="1284"/>
      <c r="H261" s="1284"/>
      <c r="I261" s="1284"/>
      <c r="J261" s="1284"/>
      <c r="K261" s="1290"/>
      <c r="L261" s="1289" t="str">
        <f>'TRAD-Children YEAR(1)'!B91</f>
        <v>Comprimés</v>
      </c>
      <c r="M261" s="1284"/>
      <c r="N261" s="1284"/>
      <c r="O261" s="1284"/>
      <c r="P261" s="1284"/>
      <c r="Q261" s="1284"/>
      <c r="R261" s="1284"/>
      <c r="S261" s="1284"/>
      <c r="T261" s="1284"/>
      <c r="U261" s="1284"/>
      <c r="V261" s="1284"/>
      <c r="W261" s="1945"/>
      <c r="X261" s="1945"/>
      <c r="Y261" s="1945"/>
      <c r="Z261" s="1284"/>
      <c r="AA261" s="1284"/>
      <c r="AB261" s="1284"/>
      <c r="AC261" s="1284"/>
      <c r="AD261" s="1284"/>
      <c r="AE261" s="1284"/>
      <c r="AF261" s="1284"/>
      <c r="AG261" s="1284"/>
      <c r="AH261" s="1284"/>
    </row>
    <row r="262" spans="1:36" s="1292" customFormat="1" ht="25.5" x14ac:dyDescent="0.2">
      <c r="A262" s="1291"/>
      <c r="C262" s="1332" t="str">
        <f>'TRAD-Children YEAR(1)'!B113</f>
        <v>Nb de boites / mois pour l'ensemble des patients</v>
      </c>
      <c r="D262" s="1329" t="s">
        <v>39</v>
      </c>
      <c r="E262" s="1329" t="s">
        <v>61</v>
      </c>
      <c r="F262" s="1329" t="s">
        <v>15</v>
      </c>
      <c r="G262" s="1329" t="s">
        <v>25</v>
      </c>
      <c r="H262" s="1329" t="s">
        <v>28</v>
      </c>
      <c r="I262" s="1329" t="s">
        <v>19</v>
      </c>
      <c r="J262" s="1329" t="s">
        <v>17</v>
      </c>
      <c r="K262" s="1333" t="s">
        <v>33</v>
      </c>
      <c r="L262" s="1334" t="s">
        <v>7</v>
      </c>
      <c r="M262" s="1330" t="s">
        <v>386</v>
      </c>
      <c r="N262" s="1330" t="s">
        <v>11</v>
      </c>
      <c r="O262" s="1330" t="s">
        <v>387</v>
      </c>
      <c r="P262" s="1330" t="s">
        <v>50</v>
      </c>
      <c r="Q262" s="1330" t="s">
        <v>392</v>
      </c>
      <c r="R262" s="1330" t="s">
        <v>81</v>
      </c>
      <c r="S262" s="1330" t="s">
        <v>140</v>
      </c>
      <c r="T262" s="1330" t="s">
        <v>635</v>
      </c>
      <c r="U262" s="1330" t="s">
        <v>586</v>
      </c>
      <c r="V262" s="1330" t="s">
        <v>575</v>
      </c>
      <c r="W262" s="1946"/>
      <c r="X262" s="1946"/>
      <c r="Y262" s="1946"/>
      <c r="Z262" s="1422" t="s">
        <v>15</v>
      </c>
      <c r="AA262" s="1330" t="s">
        <v>25</v>
      </c>
      <c r="AB262" s="1330" t="s">
        <v>648</v>
      </c>
      <c r="AC262" s="1330" t="s">
        <v>28</v>
      </c>
      <c r="AD262" s="1422" t="s">
        <v>19</v>
      </c>
      <c r="AE262" s="1586" t="s">
        <v>19</v>
      </c>
      <c r="AF262" s="1422" t="s">
        <v>17</v>
      </c>
      <c r="AG262" s="1330" t="s">
        <v>33</v>
      </c>
      <c r="AH262" s="1335" t="s">
        <v>638</v>
      </c>
    </row>
    <row r="263" spans="1:36" s="1292" customFormat="1" ht="25.5" x14ac:dyDescent="0.2">
      <c r="A263" s="1291"/>
      <c r="C263" s="1332" t="str">
        <f>'TRAD-Children YEAR(1)'!B114</f>
        <v>Dosage</v>
      </c>
      <c r="D263" s="1329" t="s">
        <v>41</v>
      </c>
      <c r="E263" s="1329" t="s">
        <v>41</v>
      </c>
      <c r="F263" s="1329" t="s">
        <v>41</v>
      </c>
      <c r="G263" s="1329" t="s">
        <v>44</v>
      </c>
      <c r="H263" s="1329" t="s">
        <v>46</v>
      </c>
      <c r="I263" s="1329" t="s">
        <v>41</v>
      </c>
      <c r="J263" s="1329" t="s">
        <v>259</v>
      </c>
      <c r="K263" s="1333" t="s">
        <v>47</v>
      </c>
      <c r="L263" s="1336" t="s">
        <v>9</v>
      </c>
      <c r="M263" s="1331" t="s">
        <v>384</v>
      </c>
      <c r="N263" s="1331" t="s">
        <v>12</v>
      </c>
      <c r="O263" s="1331" t="s">
        <v>382</v>
      </c>
      <c r="P263" s="1331" t="s">
        <v>80</v>
      </c>
      <c r="Q263" s="1331" t="s">
        <v>131</v>
      </c>
      <c r="R263" s="1331" t="s">
        <v>733</v>
      </c>
      <c r="S263" s="1331" t="s">
        <v>334</v>
      </c>
      <c r="T263" s="1331" t="s">
        <v>636</v>
      </c>
      <c r="U263" s="1331" t="s">
        <v>649</v>
      </c>
      <c r="V263" s="1331" t="s">
        <v>636</v>
      </c>
      <c r="W263" s="1331"/>
      <c r="X263" s="1331"/>
      <c r="Y263" s="1331"/>
      <c r="Z263" s="1424" t="s">
        <v>16</v>
      </c>
      <c r="AA263" s="1331" t="s">
        <v>23</v>
      </c>
      <c r="AB263" s="1331" t="s">
        <v>639</v>
      </c>
      <c r="AC263" s="1331" t="s">
        <v>29</v>
      </c>
      <c r="AD263" s="1424" t="s">
        <v>20</v>
      </c>
      <c r="AE263" s="1424" t="s">
        <v>248</v>
      </c>
      <c r="AF263" s="1424" t="s">
        <v>20</v>
      </c>
      <c r="AG263" s="1331" t="s">
        <v>34</v>
      </c>
      <c r="AH263" s="1337" t="s">
        <v>637</v>
      </c>
    </row>
    <row r="264" spans="1:36" s="1281" customFormat="1" ht="26.25" thickBot="1" x14ac:dyDescent="0.25">
      <c r="A264" s="1280"/>
      <c r="C264" s="1332" t="str">
        <f>'TRAD-Children YEAR(1)'!B115</f>
        <v>Nb de cdt/mois pour la tranche</v>
      </c>
      <c r="D264" s="1404">
        <f t="array" ref="D264:AH264">TRANSPOSE($D$224:$D$254)</f>
        <v>2.25</v>
      </c>
      <c r="E264" s="1404">
        <v>1.75</v>
      </c>
      <c r="F264" s="1404">
        <v>1</v>
      </c>
      <c r="G264" s="1404">
        <v>0.75</v>
      </c>
      <c r="H264" s="1404">
        <v>1.5</v>
      </c>
      <c r="I264" s="1404">
        <v>1.75</v>
      </c>
      <c r="J264" s="1404">
        <v>0</v>
      </c>
      <c r="K264" s="1405">
        <v>1.5</v>
      </c>
      <c r="L264" s="1406">
        <v>0</v>
      </c>
      <c r="M264" s="1407">
        <v>1.5</v>
      </c>
      <c r="N264" s="1407">
        <v>0</v>
      </c>
      <c r="O264" s="1407">
        <v>1.5</v>
      </c>
      <c r="P264" s="1407">
        <v>0</v>
      </c>
      <c r="Q264" s="1407">
        <v>1.5</v>
      </c>
      <c r="R264" s="1407">
        <v>1.5</v>
      </c>
      <c r="S264" s="1407">
        <v>0</v>
      </c>
      <c r="T264" s="1407">
        <v>1.5</v>
      </c>
      <c r="U264" s="1407">
        <v>0</v>
      </c>
      <c r="V264" s="1407">
        <v>1.5</v>
      </c>
      <c r="W264" s="1407">
        <v>0</v>
      </c>
      <c r="X264" s="1407">
        <v>0</v>
      </c>
      <c r="Y264" s="1407">
        <v>0</v>
      </c>
      <c r="Z264" s="1407">
        <v>0</v>
      </c>
      <c r="AA264" s="1407">
        <v>0</v>
      </c>
      <c r="AB264" s="1407">
        <v>1.5</v>
      </c>
      <c r="AC264" s="1407">
        <v>0</v>
      </c>
      <c r="AD264" s="1407">
        <v>0</v>
      </c>
      <c r="AE264" s="1407">
        <v>1.5</v>
      </c>
      <c r="AF264" s="1407">
        <v>0</v>
      </c>
      <c r="AG264" s="1407">
        <v>0</v>
      </c>
      <c r="AH264" s="1407">
        <v>0</v>
      </c>
      <c r="AI264" s="1338" t="s">
        <v>654</v>
      </c>
    </row>
    <row r="265" spans="1:36" s="1279" customFormat="1" ht="63.75" x14ac:dyDescent="0.2">
      <c r="A265" s="1282"/>
      <c r="B265" s="1293" t="str">
        <f>'TRAD-Children YEAR(1)'!B6</f>
        <v>Schéma thérapeutique</v>
      </c>
      <c r="C265" s="1332" t="str">
        <f>'TRAD-Children YEAR(1)'!B116</f>
        <v>Premières lignes</v>
      </c>
      <c r="D265" s="1297"/>
      <c r="E265" s="1297"/>
      <c r="F265" s="1297"/>
      <c r="G265" s="1297"/>
      <c r="H265" s="1297"/>
      <c r="I265" s="1297"/>
      <c r="J265" s="1297"/>
      <c r="K265" s="1298"/>
      <c r="L265" s="1299"/>
      <c r="M265" s="1297"/>
      <c r="N265" s="1297"/>
      <c r="O265" s="1297"/>
      <c r="P265" s="1297"/>
      <c r="Q265" s="1297"/>
      <c r="R265" s="1297"/>
      <c r="S265" s="1297"/>
      <c r="T265" s="1297"/>
      <c r="U265" s="1297"/>
      <c r="V265" s="1297"/>
      <c r="W265" s="1297"/>
      <c r="X265" s="1297"/>
      <c r="Y265" s="1297"/>
      <c r="Z265" s="1297"/>
      <c r="AA265" s="1297"/>
      <c r="AB265" s="1297"/>
      <c r="AC265" s="1297"/>
      <c r="AD265" s="1297"/>
      <c r="AE265" s="1297"/>
      <c r="AF265" s="1297"/>
      <c r="AG265" s="1297"/>
      <c r="AH265" s="1297"/>
      <c r="AI265" s="1318" t="str">
        <f>'TRAD-Children YEAR(1)'!B122</f>
        <v>nb de patients mois période quantifiée</v>
      </c>
      <c r="AJ265" s="1318" t="str">
        <f>'TRAD-Children YEAR(1)'!B123</f>
        <v>nb de patients mois avec période de sécurité</v>
      </c>
    </row>
    <row r="266" spans="1:36" s="1279" customFormat="1" ht="15" x14ac:dyDescent="0.25">
      <c r="A266" s="1282"/>
      <c r="C266" s="1319" t="str">
        <f t="array" ref="C266:C271">'Data &amp; hypothesis Children'!$C$26:$C$31</f>
        <v>D4T+3TC+NVP</v>
      </c>
      <c r="D266" s="1175">
        <f>'Data &amp; hypothesis Children'!C119</f>
        <v>0</v>
      </c>
      <c r="E266" s="1175">
        <f>'Data &amp; hypothesis Children'!D119</f>
        <v>0</v>
      </c>
      <c r="F266" s="1175">
        <f>'Data &amp; hypothesis Children'!E119</f>
        <v>0</v>
      </c>
      <c r="G266" s="1175">
        <f>'Data &amp; hypothesis Children'!F119</f>
        <v>0</v>
      </c>
      <c r="H266" s="1175">
        <f>'Data &amp; hypothesis Children'!G119</f>
        <v>0</v>
      </c>
      <c r="I266" s="1175">
        <f>'Data &amp; hypothesis Children'!H119</f>
        <v>0</v>
      </c>
      <c r="J266" s="1175">
        <f>'Data &amp; hypothesis Children'!I119</f>
        <v>0</v>
      </c>
      <c r="K266" s="1413">
        <f>'Data &amp; hypothesis Children'!J119</f>
        <v>0</v>
      </c>
      <c r="L266" s="1414">
        <f>'Data &amp; hypothesis Children'!K119</f>
        <v>0</v>
      </c>
      <c r="M266" s="1175">
        <f>'Data &amp; hypothesis Children'!L119</f>
        <v>0</v>
      </c>
      <c r="N266" s="1175">
        <f>'Data &amp; hypothesis Children'!M119</f>
        <v>0</v>
      </c>
      <c r="O266" s="1175">
        <f>'Data &amp; hypothesis Children'!N119</f>
        <v>0</v>
      </c>
      <c r="P266" s="1175">
        <f>'Data &amp; hypothesis Children'!O119</f>
        <v>0</v>
      </c>
      <c r="Q266" s="1175">
        <f>'Data &amp; hypothesis Children'!P119</f>
        <v>0</v>
      </c>
      <c r="R266" s="1175">
        <f>'Data &amp; hypothesis Children'!Q119</f>
        <v>0</v>
      </c>
      <c r="S266" s="1175">
        <f>'Data &amp; hypothesis Children'!R119</f>
        <v>0</v>
      </c>
      <c r="T266" s="1175">
        <f>'Data &amp; hypothesis Children'!S119</f>
        <v>0</v>
      </c>
      <c r="U266" s="1175">
        <f>'Data &amp; hypothesis Children'!T119</f>
        <v>0</v>
      </c>
      <c r="V266" s="1175">
        <f>'Data &amp; hypothesis Children'!U119</f>
        <v>0</v>
      </c>
      <c r="W266" s="1175">
        <f>'Data &amp; hypothesis Children'!V119</f>
        <v>0</v>
      </c>
      <c r="X266" s="1175">
        <f>'Data &amp; hypothesis Children'!W119</f>
        <v>0</v>
      </c>
      <c r="Y266" s="1175">
        <f>'Data &amp; hypothesis Children'!X119</f>
        <v>0</v>
      </c>
      <c r="Z266" s="1175">
        <f>'Data &amp; hypothesis Children'!Y119</f>
        <v>0</v>
      </c>
      <c r="AA266" s="1175">
        <f>'Data &amp; hypothesis Children'!Z119</f>
        <v>0</v>
      </c>
      <c r="AB266" s="1175">
        <f>'Data &amp; hypothesis Children'!AA119</f>
        <v>0</v>
      </c>
      <c r="AC266" s="1175">
        <f>'Data &amp; hypothesis Children'!AB119</f>
        <v>0</v>
      </c>
      <c r="AD266" s="1175">
        <f>'Data &amp; hypothesis Children'!AC119</f>
        <v>0</v>
      </c>
      <c r="AE266" s="1175">
        <f>'Data &amp; hypothesis Children'!AD119</f>
        <v>0</v>
      </c>
      <c r="AF266" s="1175">
        <f>'Data &amp; hypothesis Children'!AE119</f>
        <v>0</v>
      </c>
      <c r="AG266" s="1175">
        <f>'Data &amp; hypothesis Children'!AF119</f>
        <v>0</v>
      </c>
      <c r="AH266" s="1415">
        <f>'Data &amp; hypothesis Children'!AG119</f>
        <v>0</v>
      </c>
      <c r="AI266" s="1339" t="e">
        <f t="shared" ref="AI266:AI271" si="55">F69</f>
        <v>#DIV/0!</v>
      </c>
      <c r="AJ266" s="1340" t="e">
        <f t="shared" ref="AJ266:AJ271" si="56">F85</f>
        <v>#DIV/0!</v>
      </c>
    </row>
    <row r="267" spans="1:36" s="1279" customFormat="1" ht="15" x14ac:dyDescent="0.25">
      <c r="A267" s="1282"/>
      <c r="C267" s="1319" t="str">
        <v>AZT+3TC+NVP</v>
      </c>
      <c r="D267" s="1175">
        <f>'Data &amp; hypothesis Children'!C120</f>
        <v>0</v>
      </c>
      <c r="E267" s="1175">
        <f>'Data &amp; hypothesis Children'!D120</f>
        <v>0</v>
      </c>
      <c r="F267" s="1175">
        <f>'Data &amp; hypothesis Children'!E120</f>
        <v>0</v>
      </c>
      <c r="G267" s="1175">
        <f>'Data &amp; hypothesis Children'!F120</f>
        <v>0</v>
      </c>
      <c r="H267" s="1175">
        <f>'Data &amp; hypothesis Children'!G120</f>
        <v>0</v>
      </c>
      <c r="I267" s="1175">
        <f>'Data &amp; hypothesis Children'!H120</f>
        <v>0</v>
      </c>
      <c r="J267" s="1175">
        <f>'Data &amp; hypothesis Children'!I120</f>
        <v>0</v>
      </c>
      <c r="K267" s="1413">
        <f>'Data &amp; hypothesis Children'!J120</f>
        <v>0</v>
      </c>
      <c r="L267" s="1414">
        <f>'Data &amp; hypothesis Children'!K120</f>
        <v>0</v>
      </c>
      <c r="M267" s="1175" t="str">
        <f>'Data &amp; hypothesis Children'!L120</f>
        <v>X</v>
      </c>
      <c r="N267" s="1175">
        <f>'Data &amp; hypothesis Children'!M120</f>
        <v>0</v>
      </c>
      <c r="O267" s="1175">
        <f>'Data &amp; hypothesis Children'!N120</f>
        <v>0</v>
      </c>
      <c r="P267" s="1175">
        <f>'Data &amp; hypothesis Children'!O120</f>
        <v>0</v>
      </c>
      <c r="Q267" s="1175">
        <f>'Data &amp; hypothesis Children'!P120</f>
        <v>0</v>
      </c>
      <c r="R267" s="1175">
        <f>'Data &amp; hypothesis Children'!Q120</f>
        <v>0</v>
      </c>
      <c r="S267" s="1175">
        <f>'Data &amp; hypothesis Children'!R120</f>
        <v>0</v>
      </c>
      <c r="T267" s="1175">
        <f>'Data &amp; hypothesis Children'!S120</f>
        <v>0</v>
      </c>
      <c r="U267" s="1175">
        <f>'Data &amp; hypothesis Children'!T120</f>
        <v>0</v>
      </c>
      <c r="V267" s="1175">
        <f>'Data &amp; hypothesis Children'!U120</f>
        <v>0</v>
      </c>
      <c r="W267" s="1175">
        <f>'Data &amp; hypothesis Children'!V120</f>
        <v>0</v>
      </c>
      <c r="X267" s="1175">
        <f>'Data &amp; hypothesis Children'!W120</f>
        <v>0</v>
      </c>
      <c r="Y267" s="1175">
        <f>'Data &amp; hypothesis Children'!X120</f>
        <v>0</v>
      </c>
      <c r="Z267" s="1175">
        <f>'Data &amp; hypothesis Children'!Y120</f>
        <v>0</v>
      </c>
      <c r="AA267" s="1175">
        <f>'Data &amp; hypothesis Children'!Z120</f>
        <v>0</v>
      </c>
      <c r="AB267" s="1175">
        <f>'Data &amp; hypothesis Children'!AA120</f>
        <v>0</v>
      </c>
      <c r="AC267" s="1175">
        <f>'Data &amp; hypothesis Children'!AB120</f>
        <v>0</v>
      </c>
      <c r="AD267" s="1175">
        <f>'Data &amp; hypothesis Children'!AC120</f>
        <v>0</v>
      </c>
      <c r="AE267" s="1175">
        <f>'Data &amp; hypothesis Children'!AD120</f>
        <v>0</v>
      </c>
      <c r="AF267" s="1175">
        <f>'Data &amp; hypothesis Children'!AE120</f>
        <v>0</v>
      </c>
      <c r="AG267" s="1175">
        <f>'Data &amp; hypothesis Children'!AF120</f>
        <v>0</v>
      </c>
      <c r="AH267" s="1415">
        <f>'Data &amp; hypothesis Children'!AG120</f>
        <v>0</v>
      </c>
      <c r="AI267" s="1339" t="e">
        <f t="shared" si="55"/>
        <v>#DIV/0!</v>
      </c>
      <c r="AJ267" s="1340" t="e">
        <f t="shared" si="56"/>
        <v>#DIV/0!</v>
      </c>
    </row>
    <row r="268" spans="1:36" s="1279" customFormat="1" ht="15" x14ac:dyDescent="0.25">
      <c r="A268" s="1282"/>
      <c r="C268" s="1319" t="str">
        <v>AZT+3TC+EFV</v>
      </c>
      <c r="D268" s="1175">
        <f>'Data &amp; hypothesis Children'!C121</f>
        <v>0</v>
      </c>
      <c r="E268" s="1175">
        <f>'Data &amp; hypothesis Children'!D121</f>
        <v>0</v>
      </c>
      <c r="F268" s="1175">
        <f>'Data &amp; hypothesis Children'!E121</f>
        <v>0</v>
      </c>
      <c r="G268" s="1175">
        <f>'Data &amp; hypothesis Children'!F121</f>
        <v>0</v>
      </c>
      <c r="H268" s="1175">
        <f>'Data &amp; hypothesis Children'!G121</f>
        <v>0</v>
      </c>
      <c r="I268" s="1175">
        <f>'Data &amp; hypothesis Children'!H121</f>
        <v>0</v>
      </c>
      <c r="J268" s="1175">
        <f>'Data &amp; hypothesis Children'!I121</f>
        <v>0</v>
      </c>
      <c r="K268" s="1413">
        <f>'Data &amp; hypothesis Children'!J121</f>
        <v>0</v>
      </c>
      <c r="L268" s="1414">
        <f>'Data &amp; hypothesis Children'!K121</f>
        <v>0</v>
      </c>
      <c r="M268" s="1175">
        <f>'Data &amp; hypothesis Children'!L121</f>
        <v>0</v>
      </c>
      <c r="N268" s="1175">
        <f>'Data &amp; hypothesis Children'!M121</f>
        <v>0</v>
      </c>
      <c r="O268" s="1175">
        <f>'Data &amp; hypothesis Children'!N121</f>
        <v>0</v>
      </c>
      <c r="P268" s="1175">
        <f>'Data &amp; hypothesis Children'!O121</f>
        <v>0</v>
      </c>
      <c r="Q268" s="1175">
        <f>'Data &amp; hypothesis Children'!P121</f>
        <v>0</v>
      </c>
      <c r="R268" s="1175">
        <f>'Data &amp; hypothesis Children'!Q121</f>
        <v>0</v>
      </c>
      <c r="S268" s="1175">
        <f>'Data &amp; hypothesis Children'!R121</f>
        <v>0</v>
      </c>
      <c r="T268" s="1175">
        <f>'Data &amp; hypothesis Children'!S121</f>
        <v>0</v>
      </c>
      <c r="U268" s="1175">
        <f>'Data &amp; hypothesis Children'!T121</f>
        <v>0</v>
      </c>
      <c r="V268" s="1175">
        <f>'Data &amp; hypothesis Children'!U121</f>
        <v>0</v>
      </c>
      <c r="W268" s="1175">
        <f>'Data &amp; hypothesis Children'!V121</f>
        <v>0</v>
      </c>
      <c r="X268" s="1175">
        <f>'Data &amp; hypothesis Children'!W121</f>
        <v>0</v>
      </c>
      <c r="Y268" s="1175">
        <f>'Data &amp; hypothesis Children'!X121</f>
        <v>0</v>
      </c>
      <c r="Z268" s="1175">
        <f>'Data &amp; hypothesis Children'!Y121</f>
        <v>0</v>
      </c>
      <c r="AA268" s="1175">
        <f>'Data &amp; hypothesis Children'!Z121</f>
        <v>0</v>
      </c>
      <c r="AB268" s="1175">
        <f>'Data &amp; hypothesis Children'!AA121</f>
        <v>0</v>
      </c>
      <c r="AC268" s="1175">
        <f>'Data &amp; hypothesis Children'!AB121</f>
        <v>0</v>
      </c>
      <c r="AD268" s="1175">
        <f>'Data &amp; hypothesis Children'!AC121</f>
        <v>0</v>
      </c>
      <c r="AE268" s="1175">
        <f>'Data &amp; hypothesis Children'!AD121</f>
        <v>0</v>
      </c>
      <c r="AF268" s="1175">
        <f>'Data &amp; hypothesis Children'!AE121</f>
        <v>0</v>
      </c>
      <c r="AG268" s="1175">
        <f>'Data &amp; hypothesis Children'!AF121</f>
        <v>0</v>
      </c>
      <c r="AH268" s="1415">
        <f>'Data &amp; hypothesis Children'!AG121</f>
        <v>0</v>
      </c>
      <c r="AI268" s="1339">
        <f t="shared" si="55"/>
        <v>0</v>
      </c>
      <c r="AJ268" s="1340">
        <f t="shared" si="56"/>
        <v>0</v>
      </c>
    </row>
    <row r="269" spans="1:36" s="1279" customFormat="1" ht="15" x14ac:dyDescent="0.25">
      <c r="A269" s="1282"/>
      <c r="C269" s="1319" t="str">
        <v>LPV/r+3TC+ABC</v>
      </c>
      <c r="D269" s="1175">
        <f>'Data &amp; hypothesis Children'!C122</f>
        <v>0</v>
      </c>
      <c r="E269" s="1175">
        <f>'Data &amp; hypothesis Children'!D122</f>
        <v>0</v>
      </c>
      <c r="F269" s="1175">
        <f>'Data &amp; hypothesis Children'!E122</f>
        <v>0</v>
      </c>
      <c r="G269" s="1175">
        <f>'Data &amp; hypothesis Children'!F122</f>
        <v>0</v>
      </c>
      <c r="H269" s="1175">
        <f>'Data &amp; hypothesis Children'!G122</f>
        <v>0</v>
      </c>
      <c r="I269" s="1175">
        <f>'Data &amp; hypothesis Children'!H122</f>
        <v>0</v>
      </c>
      <c r="J269" s="1175">
        <f>'Data &amp; hypothesis Children'!I122</f>
        <v>0</v>
      </c>
      <c r="K269" s="1413">
        <f>'Data &amp; hypothesis Children'!J122</f>
        <v>0</v>
      </c>
      <c r="L269" s="1414">
        <f>'Data &amp; hypothesis Children'!K122</f>
        <v>0</v>
      </c>
      <c r="M269" s="1175">
        <f>'Data &amp; hypothesis Children'!L122</f>
        <v>0</v>
      </c>
      <c r="N269" s="1175">
        <f>'Data &amp; hypothesis Children'!M122</f>
        <v>0</v>
      </c>
      <c r="O269" s="1175">
        <f>'Data &amp; hypothesis Children'!N122</f>
        <v>0</v>
      </c>
      <c r="P269" s="1175">
        <f>'Data &amp; hypothesis Children'!O122</f>
        <v>0</v>
      </c>
      <c r="Q269" s="1175">
        <f>'Data &amp; hypothesis Children'!P122</f>
        <v>0</v>
      </c>
      <c r="R269" s="1175">
        <f>'Data &amp; hypothesis Children'!Q122</f>
        <v>0</v>
      </c>
      <c r="S269" s="1175">
        <f>'Data &amp; hypothesis Children'!R122</f>
        <v>0</v>
      </c>
      <c r="T269" s="1175">
        <f>'Data &amp; hypothesis Children'!S122</f>
        <v>0</v>
      </c>
      <c r="U269" s="1175">
        <f>'Data &amp; hypothesis Children'!T122</f>
        <v>0</v>
      </c>
      <c r="V269" s="1175">
        <f>'Data &amp; hypothesis Children'!U122</f>
        <v>0</v>
      </c>
      <c r="W269" s="1175">
        <f>'Data &amp; hypothesis Children'!V122</f>
        <v>0</v>
      </c>
      <c r="X269" s="1175">
        <f>'Data &amp; hypothesis Children'!W122</f>
        <v>0</v>
      </c>
      <c r="Y269" s="1175">
        <f>'Data &amp; hypothesis Children'!X122</f>
        <v>0</v>
      </c>
      <c r="Z269" s="1175">
        <f>'Data &amp; hypothesis Children'!Y122</f>
        <v>0</v>
      </c>
      <c r="AA269" s="1175">
        <f>'Data &amp; hypothesis Children'!Z122</f>
        <v>0</v>
      </c>
      <c r="AB269" s="1175">
        <f>'Data &amp; hypothesis Children'!AA122</f>
        <v>0</v>
      </c>
      <c r="AC269" s="1175">
        <f>'Data &amp; hypothesis Children'!AB122</f>
        <v>0</v>
      </c>
      <c r="AD269" s="1175">
        <f>'Data &amp; hypothesis Children'!AC122</f>
        <v>0</v>
      </c>
      <c r="AE269" s="1175">
        <f>'Data &amp; hypothesis Children'!AD122</f>
        <v>0</v>
      </c>
      <c r="AF269" s="1175">
        <f>'Data &amp; hypothesis Children'!AE122</f>
        <v>0</v>
      </c>
      <c r="AG269" s="1175">
        <f>'Data &amp; hypothesis Children'!AF122</f>
        <v>0</v>
      </c>
      <c r="AH269" s="1415">
        <f>'Data &amp; hypothesis Children'!AG122</f>
        <v>0</v>
      </c>
      <c r="AI269" s="1339" t="e">
        <f t="shared" si="55"/>
        <v>#DIV/0!</v>
      </c>
      <c r="AJ269" s="1340" t="e">
        <f t="shared" si="56"/>
        <v>#DIV/0!</v>
      </c>
    </row>
    <row r="270" spans="1:36" s="1279" customFormat="1" ht="15" x14ac:dyDescent="0.25">
      <c r="A270" s="1282"/>
      <c r="C270" s="1319" t="str">
        <v>ABC+3TC+NVP</v>
      </c>
      <c r="D270" s="1175">
        <f>'Data &amp; hypothesis Children'!C123</f>
        <v>0</v>
      </c>
      <c r="E270" s="1175">
        <f>'Data &amp; hypothesis Children'!D123</f>
        <v>0</v>
      </c>
      <c r="F270" s="1175">
        <f>'Data &amp; hypothesis Children'!E123</f>
        <v>0</v>
      </c>
      <c r="G270" s="1175">
        <f>'Data &amp; hypothesis Children'!F123</f>
        <v>0</v>
      </c>
      <c r="H270" s="1175">
        <f>'Data &amp; hypothesis Children'!G123</f>
        <v>0</v>
      </c>
      <c r="I270" s="1175" t="str">
        <f>'Data &amp; hypothesis Children'!H123</f>
        <v>X</v>
      </c>
      <c r="J270" s="1175">
        <f>'Data &amp; hypothesis Children'!I123</f>
        <v>0</v>
      </c>
      <c r="K270" s="1413">
        <f>'Data &amp; hypothesis Children'!J123</f>
        <v>0</v>
      </c>
      <c r="L270" s="1414">
        <f>'Data &amp; hypothesis Children'!K123</f>
        <v>0</v>
      </c>
      <c r="M270" s="1175">
        <f>'Data &amp; hypothesis Children'!L123</f>
        <v>0</v>
      </c>
      <c r="N270" s="1175">
        <f>'Data &amp; hypothesis Children'!M123</f>
        <v>0</v>
      </c>
      <c r="O270" s="1175">
        <f>'Data &amp; hypothesis Children'!N123</f>
        <v>0</v>
      </c>
      <c r="P270" s="1175">
        <f>'Data &amp; hypothesis Children'!O123</f>
        <v>0</v>
      </c>
      <c r="Q270" s="1175">
        <f>'Data &amp; hypothesis Children'!P123</f>
        <v>0</v>
      </c>
      <c r="R270" s="1175">
        <f>'Data &amp; hypothesis Children'!Q123</f>
        <v>0</v>
      </c>
      <c r="S270" s="1175">
        <f>'Data &amp; hypothesis Children'!R123</f>
        <v>0</v>
      </c>
      <c r="T270" s="1175">
        <f>'Data &amp; hypothesis Children'!S123</f>
        <v>0</v>
      </c>
      <c r="U270" s="1175" t="str">
        <f>'Data &amp; hypothesis Children'!T123</f>
        <v>X</v>
      </c>
      <c r="V270" s="1175">
        <f>'Data &amp; hypothesis Children'!U123</f>
        <v>0</v>
      </c>
      <c r="W270" s="1175">
        <f>'Data &amp; hypothesis Children'!V123</f>
        <v>0</v>
      </c>
      <c r="X270" s="1175">
        <f>'Data &amp; hypothesis Children'!W123</f>
        <v>0</v>
      </c>
      <c r="Y270" s="1175">
        <f>'Data &amp; hypothesis Children'!X123</f>
        <v>0</v>
      </c>
      <c r="Z270" s="1175">
        <f>'Data &amp; hypothesis Children'!Y123</f>
        <v>0</v>
      </c>
      <c r="AA270" s="1175">
        <f>'Data &amp; hypothesis Children'!Z123</f>
        <v>0</v>
      </c>
      <c r="AB270" s="1175">
        <f>'Data &amp; hypothesis Children'!AA123</f>
        <v>0</v>
      </c>
      <c r="AC270" s="1175">
        <f>'Data &amp; hypothesis Children'!AB123</f>
        <v>0</v>
      </c>
      <c r="AD270" s="1175">
        <f>'Data &amp; hypothesis Children'!AC123</f>
        <v>0</v>
      </c>
      <c r="AE270" s="1175">
        <f>'Data &amp; hypothesis Children'!AD123</f>
        <v>0</v>
      </c>
      <c r="AF270" s="1175">
        <f>'Data &amp; hypothesis Children'!AE123</f>
        <v>0</v>
      </c>
      <c r="AG270" s="1175">
        <f>'Data &amp; hypothesis Children'!AF123</f>
        <v>0</v>
      </c>
      <c r="AH270" s="1415">
        <f>'Data &amp; hypothesis Children'!AG123</f>
        <v>0</v>
      </c>
      <c r="AI270" s="1339" t="e">
        <f t="shared" si="55"/>
        <v>#DIV/0!</v>
      </c>
      <c r="AJ270" s="1340" t="e">
        <f t="shared" si="56"/>
        <v>#DIV/0!</v>
      </c>
    </row>
    <row r="271" spans="1:36" s="1279" customFormat="1" ht="15" x14ac:dyDescent="0.25">
      <c r="A271" s="1282"/>
      <c r="C271" s="1319" t="str">
        <v>AZT+3TC+LPV/r</v>
      </c>
      <c r="D271" s="1175">
        <f>'Data &amp; hypothesis Children'!C124</f>
        <v>0</v>
      </c>
      <c r="E271" s="1175">
        <f>'Data &amp; hypothesis Children'!D124</f>
        <v>0</v>
      </c>
      <c r="F271" s="1175">
        <f>'Data &amp; hypothesis Children'!E124</f>
        <v>0</v>
      </c>
      <c r="G271" s="1175">
        <f>'Data &amp; hypothesis Children'!F124</f>
        <v>0</v>
      </c>
      <c r="H271" s="1175">
        <f>'Data &amp; hypothesis Children'!G124</f>
        <v>0</v>
      </c>
      <c r="I271" s="1175">
        <f>'Data &amp; hypothesis Children'!H124</f>
        <v>0</v>
      </c>
      <c r="J271" s="1175">
        <f>'Data &amp; hypothesis Children'!I124</f>
        <v>0</v>
      </c>
      <c r="K271" s="1413" t="str">
        <f>'Data &amp; hypothesis Children'!J124</f>
        <v>X</v>
      </c>
      <c r="L271" s="1414">
        <f>'Data &amp; hypothesis Children'!K124</f>
        <v>0</v>
      </c>
      <c r="M271" s="1175">
        <f>'Data &amp; hypothesis Children'!L124</f>
        <v>0</v>
      </c>
      <c r="N271" s="1175">
        <f>'Data &amp; hypothesis Children'!M124</f>
        <v>0</v>
      </c>
      <c r="O271" s="1175" t="str">
        <f>'Data &amp; hypothesis Children'!N124</f>
        <v>X</v>
      </c>
      <c r="P271" s="1175">
        <f>'Data &amp; hypothesis Children'!O124</f>
        <v>0</v>
      </c>
      <c r="Q271" s="1175">
        <f>'Data &amp; hypothesis Children'!P124</f>
        <v>0</v>
      </c>
      <c r="R271" s="1175">
        <f>'Data &amp; hypothesis Children'!Q124</f>
        <v>0</v>
      </c>
      <c r="S271" s="1175">
        <f>'Data &amp; hypothesis Children'!R124</f>
        <v>0</v>
      </c>
      <c r="T271" s="1175">
        <f>'Data &amp; hypothesis Children'!S124</f>
        <v>0</v>
      </c>
      <c r="U271" s="1175">
        <f>'Data &amp; hypothesis Children'!T124</f>
        <v>0</v>
      </c>
      <c r="V271" s="1175">
        <f>'Data &amp; hypothesis Children'!U124</f>
        <v>0</v>
      </c>
      <c r="W271" s="1175">
        <f>'Data &amp; hypothesis Children'!V124</f>
        <v>0</v>
      </c>
      <c r="X271" s="1175">
        <f>'Data &amp; hypothesis Children'!W124</f>
        <v>0</v>
      </c>
      <c r="Y271" s="1175">
        <f>'Data &amp; hypothesis Children'!X124</f>
        <v>0</v>
      </c>
      <c r="Z271" s="1175">
        <f>'Data &amp; hypothesis Children'!Y124</f>
        <v>0</v>
      </c>
      <c r="AA271" s="1175">
        <f>'Data &amp; hypothesis Children'!Z124</f>
        <v>0</v>
      </c>
      <c r="AB271" s="1175">
        <f>'Data &amp; hypothesis Children'!AA124</f>
        <v>0</v>
      </c>
      <c r="AC271" s="1175">
        <f>'Data &amp; hypothesis Children'!AB124</f>
        <v>0</v>
      </c>
      <c r="AD271" s="1175">
        <f>'Data &amp; hypothesis Children'!AC124</f>
        <v>0</v>
      </c>
      <c r="AE271" s="1175">
        <f>'Data &amp; hypothesis Children'!AD124</f>
        <v>0</v>
      </c>
      <c r="AF271" s="1175">
        <f>'Data &amp; hypothesis Children'!AE124</f>
        <v>0</v>
      </c>
      <c r="AG271" s="1175">
        <f>'Data &amp; hypothesis Children'!AF124</f>
        <v>0</v>
      </c>
      <c r="AH271" s="1415">
        <f>'Data &amp; hypothesis Children'!AG124</f>
        <v>0</v>
      </c>
      <c r="AI271" s="1339" t="e">
        <f t="shared" si="55"/>
        <v>#DIV/0!</v>
      </c>
      <c r="AJ271" s="1340" t="e">
        <f t="shared" si="56"/>
        <v>#DIV/0!</v>
      </c>
    </row>
    <row r="272" spans="1:36" s="1279" customFormat="1" x14ac:dyDescent="0.2">
      <c r="A272" s="1282"/>
      <c r="C272" s="1296" t="str">
        <f>'TRAD-Children YEAR(1)'!$B$117</f>
        <v>Deuxièmes lignes</v>
      </c>
      <c r="D272" s="1410"/>
      <c r="E272" s="1410"/>
      <c r="F272" s="1410"/>
      <c r="G272" s="1410"/>
      <c r="H272" s="1410"/>
      <c r="I272" s="1410"/>
      <c r="J272" s="1410"/>
      <c r="K272" s="1411"/>
      <c r="L272" s="1412"/>
      <c r="M272" s="1410"/>
      <c r="N272" s="1410"/>
      <c r="O272" s="1410"/>
      <c r="P272" s="1410"/>
      <c r="Q272" s="1410"/>
      <c r="R272" s="1410"/>
      <c r="S272" s="1410"/>
      <c r="T272" s="1410"/>
      <c r="U272" s="1410"/>
      <c r="V272" s="1410"/>
      <c r="W272" s="1410"/>
      <c r="X272" s="1410"/>
      <c r="Y272" s="1410"/>
      <c r="Z272" s="1410"/>
      <c r="AA272" s="1410"/>
      <c r="AB272" s="1410"/>
      <c r="AC272" s="1410"/>
      <c r="AD272" s="1410"/>
      <c r="AE272" s="1410"/>
      <c r="AF272" s="1410"/>
      <c r="AG272" s="1410"/>
      <c r="AH272" s="1416"/>
      <c r="AI272" s="1339"/>
      <c r="AJ272" s="1340"/>
    </row>
    <row r="273" spans="1:36" s="1279" customFormat="1" ht="15" x14ac:dyDescent="0.25">
      <c r="A273" s="1282"/>
      <c r="C273" s="1301" t="str">
        <f t="array" ref="C273:C276">'Data &amp; hypothesis Children'!$C$32:$C$35</f>
        <v>ABC+3TC+EFV</v>
      </c>
      <c r="D273" s="1175">
        <f>'Data &amp; hypothesis Children'!C126</f>
        <v>0</v>
      </c>
      <c r="E273" s="1175">
        <f>'Data &amp; hypothesis Children'!D126</f>
        <v>0</v>
      </c>
      <c r="F273" s="1175">
        <f>'Data &amp; hypothesis Children'!E126</f>
        <v>0</v>
      </c>
      <c r="G273" s="1175">
        <f>'Data &amp; hypothesis Children'!F126</f>
        <v>0</v>
      </c>
      <c r="H273" s="1175">
        <f>'Data &amp; hypothesis Children'!G126</f>
        <v>0</v>
      </c>
      <c r="I273" s="1175">
        <f>'Data &amp; hypothesis Children'!H126</f>
        <v>0</v>
      </c>
      <c r="J273" s="1175">
        <f>'Data &amp; hypothesis Children'!I126</f>
        <v>0</v>
      </c>
      <c r="K273" s="1413">
        <f>'Data &amp; hypothesis Children'!J126</f>
        <v>0</v>
      </c>
      <c r="L273" s="1414">
        <f>'Data &amp; hypothesis Children'!K126</f>
        <v>0</v>
      </c>
      <c r="M273" s="1175">
        <f>'Data &amp; hypothesis Children'!L126</f>
        <v>0</v>
      </c>
      <c r="N273" s="1175">
        <f>'Data &amp; hypothesis Children'!M126</f>
        <v>0</v>
      </c>
      <c r="O273" s="1175">
        <f>'Data &amp; hypothesis Children'!N126</f>
        <v>0</v>
      </c>
      <c r="P273" s="1175">
        <f>'Data &amp; hypothesis Children'!O126</f>
        <v>0</v>
      </c>
      <c r="Q273" s="1175">
        <f>'Data &amp; hypothesis Children'!P126</f>
        <v>0</v>
      </c>
      <c r="R273" s="1175">
        <f>'Data &amp; hypothesis Children'!Q126</f>
        <v>0</v>
      </c>
      <c r="S273" s="1175">
        <f>'Data &amp; hypothesis Children'!R126</f>
        <v>0</v>
      </c>
      <c r="T273" s="1175">
        <f>'Data &amp; hypothesis Children'!S126</f>
        <v>0</v>
      </c>
      <c r="U273" s="1175">
        <f>'Data &amp; hypothesis Children'!T126</f>
        <v>0</v>
      </c>
      <c r="V273" s="1175">
        <f>'Data &amp; hypothesis Children'!U126</f>
        <v>0</v>
      </c>
      <c r="W273" s="1175">
        <f>'Data &amp; hypothesis Children'!V126</f>
        <v>0</v>
      </c>
      <c r="X273" s="1175">
        <f>'Data &amp; hypothesis Children'!W126</f>
        <v>0</v>
      </c>
      <c r="Y273" s="1175">
        <f>'Data &amp; hypothesis Children'!X126</f>
        <v>0</v>
      </c>
      <c r="Z273" s="1175">
        <f>'Data &amp; hypothesis Children'!Y126</f>
        <v>0</v>
      </c>
      <c r="AA273" s="1175">
        <f>'Data &amp; hypothesis Children'!Z126</f>
        <v>0</v>
      </c>
      <c r="AB273" s="1175">
        <f>'Data &amp; hypothesis Children'!AA126</f>
        <v>0</v>
      </c>
      <c r="AC273" s="1175">
        <f>'Data &amp; hypothesis Children'!AB126</f>
        <v>0</v>
      </c>
      <c r="AD273" s="1175">
        <f>'Data &amp; hypothesis Children'!AC126</f>
        <v>0</v>
      </c>
      <c r="AE273" s="1175">
        <f>'Data &amp; hypothesis Children'!AD126</f>
        <v>0</v>
      </c>
      <c r="AF273" s="1175">
        <f>'Data &amp; hypothesis Children'!AE126</f>
        <v>0</v>
      </c>
      <c r="AG273" s="1175">
        <f>'Data &amp; hypothesis Children'!AF126</f>
        <v>0</v>
      </c>
      <c r="AH273" s="1415">
        <f>'Data &amp; hypothesis Children'!AG126</f>
        <v>0</v>
      </c>
      <c r="AI273" s="1339" t="e">
        <f>F75</f>
        <v>#DIV/0!</v>
      </c>
      <c r="AJ273" s="1340" t="e">
        <f>F91</f>
        <v>#DIV/0!</v>
      </c>
    </row>
    <row r="274" spans="1:36" s="1279" customFormat="1" ht="15" x14ac:dyDescent="0.25">
      <c r="A274" s="1282"/>
      <c r="C274" s="1301" t="str">
        <v>TDF+3TC+LPV/r</v>
      </c>
      <c r="D274" s="1175">
        <f>'Data &amp; hypothesis Children'!C127</f>
        <v>0</v>
      </c>
      <c r="E274" s="1175">
        <f>'Data &amp; hypothesis Children'!D127</f>
        <v>0</v>
      </c>
      <c r="F274" s="1175">
        <f>'Data &amp; hypothesis Children'!E127</f>
        <v>0</v>
      </c>
      <c r="G274" s="1175">
        <f>'Data &amp; hypothesis Children'!F127</f>
        <v>0</v>
      </c>
      <c r="H274" s="1175">
        <f>'Data &amp; hypothesis Children'!G127</f>
        <v>0</v>
      </c>
      <c r="I274" s="1175">
        <f>'Data &amp; hypothesis Children'!H127</f>
        <v>0</v>
      </c>
      <c r="J274" s="1175">
        <f>'Data &amp; hypothesis Children'!I127</f>
        <v>0</v>
      </c>
      <c r="K274" s="1413">
        <f>'Data &amp; hypothesis Children'!J127</f>
        <v>0</v>
      </c>
      <c r="L274" s="1414">
        <f>'Data &amp; hypothesis Children'!K127</f>
        <v>0</v>
      </c>
      <c r="M274" s="1175">
        <f>'Data &amp; hypothesis Children'!L127</f>
        <v>0</v>
      </c>
      <c r="N274" s="1175">
        <f>'Data &amp; hypothesis Children'!M127</f>
        <v>0</v>
      </c>
      <c r="O274" s="1175">
        <f>'Data &amp; hypothesis Children'!N127</f>
        <v>0</v>
      </c>
      <c r="P274" s="1175">
        <f>'Data &amp; hypothesis Children'!O127</f>
        <v>0</v>
      </c>
      <c r="Q274" s="1175">
        <f>'Data &amp; hypothesis Children'!P127</f>
        <v>0</v>
      </c>
      <c r="R274" s="1175">
        <f>'Data &amp; hypothesis Children'!Q127</f>
        <v>0</v>
      </c>
      <c r="S274" s="1175">
        <f>'Data &amp; hypothesis Children'!R127</f>
        <v>0</v>
      </c>
      <c r="T274" s="1175">
        <f>'Data &amp; hypothesis Children'!S127</f>
        <v>0</v>
      </c>
      <c r="U274" s="1175">
        <f>'Data &amp; hypothesis Children'!T127</f>
        <v>0</v>
      </c>
      <c r="V274" s="1175">
        <f>'Data &amp; hypothesis Children'!U127</f>
        <v>0</v>
      </c>
      <c r="W274" s="1175">
        <f>'Data &amp; hypothesis Children'!V127</f>
        <v>0</v>
      </c>
      <c r="X274" s="1175">
        <f>'Data &amp; hypothesis Children'!W127</f>
        <v>0</v>
      </c>
      <c r="Y274" s="1175">
        <f>'Data &amp; hypothesis Children'!X127</f>
        <v>0</v>
      </c>
      <c r="Z274" s="1175">
        <f>'Data &amp; hypothesis Children'!Y127</f>
        <v>0</v>
      </c>
      <c r="AA274" s="1175">
        <f>'Data &amp; hypothesis Children'!Z127</f>
        <v>0</v>
      </c>
      <c r="AB274" s="1175">
        <f>'Data &amp; hypothesis Children'!AA127</f>
        <v>0</v>
      </c>
      <c r="AC274" s="1175">
        <f>'Data &amp; hypothesis Children'!AB127</f>
        <v>0</v>
      </c>
      <c r="AD274" s="1175">
        <f>'Data &amp; hypothesis Children'!AC127</f>
        <v>0</v>
      </c>
      <c r="AE274" s="1175">
        <f>'Data &amp; hypothesis Children'!AD127</f>
        <v>0</v>
      </c>
      <c r="AF274" s="1175">
        <f>'Data &amp; hypothesis Children'!AE127</f>
        <v>0</v>
      </c>
      <c r="AG274" s="1175">
        <f>'Data &amp; hypothesis Children'!AF127</f>
        <v>0</v>
      </c>
      <c r="AH274" s="1415">
        <f>'Data &amp; hypothesis Children'!AG127</f>
        <v>0</v>
      </c>
      <c r="AI274" s="1339" t="e">
        <f t="shared" ref="AI274:AI275" si="57">F76</f>
        <v>#DIV/0!</v>
      </c>
      <c r="AJ274" s="1340" t="e">
        <f t="shared" ref="AJ274:AJ275" si="58">F92</f>
        <v>#DIV/0!</v>
      </c>
    </row>
    <row r="275" spans="1:36" s="1279" customFormat="1" ht="15" x14ac:dyDescent="0.25">
      <c r="A275" s="1282"/>
      <c r="C275" s="1301" t="str">
        <v>AZT+3TC+EFV</v>
      </c>
      <c r="D275" s="1175">
        <f>'Data &amp; hypothesis Children'!C128</f>
        <v>0</v>
      </c>
      <c r="E275" s="1175">
        <f>'Data &amp; hypothesis Children'!D128</f>
        <v>0</v>
      </c>
      <c r="F275" s="1175">
        <f>'Data &amp; hypothesis Children'!E128</f>
        <v>0</v>
      </c>
      <c r="G275" s="1175">
        <f>'Data &amp; hypothesis Children'!F128</f>
        <v>0</v>
      </c>
      <c r="H275" s="1175">
        <f>'Data &amp; hypothesis Children'!G128</f>
        <v>0</v>
      </c>
      <c r="I275" s="1175">
        <f>'Data &amp; hypothesis Children'!H128</f>
        <v>0</v>
      </c>
      <c r="J275" s="1175">
        <f>'Data &amp; hypothesis Children'!I128</f>
        <v>0</v>
      </c>
      <c r="K275" s="1413">
        <f>'Data &amp; hypothesis Children'!J128</f>
        <v>0</v>
      </c>
      <c r="L275" s="1414">
        <f>'Data &amp; hypothesis Children'!K128</f>
        <v>0</v>
      </c>
      <c r="M275" s="1175">
        <f>'Data &amp; hypothesis Children'!L128</f>
        <v>0</v>
      </c>
      <c r="N275" s="1175">
        <f>'Data &amp; hypothesis Children'!M128</f>
        <v>0</v>
      </c>
      <c r="O275" s="1175">
        <f>'Data &amp; hypothesis Children'!N128</f>
        <v>0</v>
      </c>
      <c r="P275" s="1175">
        <f>'Data &amp; hypothesis Children'!O128</f>
        <v>0</v>
      </c>
      <c r="Q275" s="1175">
        <f>'Data &amp; hypothesis Children'!P128</f>
        <v>0</v>
      </c>
      <c r="R275" s="1175">
        <f>'Data &amp; hypothesis Children'!Q128</f>
        <v>0</v>
      </c>
      <c r="S275" s="1175">
        <f>'Data &amp; hypothesis Children'!R128</f>
        <v>0</v>
      </c>
      <c r="T275" s="1175">
        <f>'Data &amp; hypothesis Children'!S128</f>
        <v>0</v>
      </c>
      <c r="U275" s="1175">
        <f>'Data &amp; hypothesis Children'!T128</f>
        <v>0</v>
      </c>
      <c r="V275" s="1175">
        <f>'Data &amp; hypothesis Children'!U128</f>
        <v>0</v>
      </c>
      <c r="W275" s="1175">
        <f>'Data &amp; hypothesis Children'!V128</f>
        <v>0</v>
      </c>
      <c r="X275" s="1175">
        <f>'Data &amp; hypothesis Children'!W128</f>
        <v>0</v>
      </c>
      <c r="Y275" s="1175">
        <f>'Data &amp; hypothesis Children'!X128</f>
        <v>0</v>
      </c>
      <c r="Z275" s="1175">
        <f>'Data &amp; hypothesis Children'!Y128</f>
        <v>0</v>
      </c>
      <c r="AA275" s="1175">
        <f>'Data &amp; hypothesis Children'!Z128</f>
        <v>0</v>
      </c>
      <c r="AB275" s="1175">
        <f>'Data &amp; hypothesis Children'!AA128</f>
        <v>0</v>
      </c>
      <c r="AC275" s="1175">
        <f>'Data &amp; hypothesis Children'!AB128</f>
        <v>0</v>
      </c>
      <c r="AD275" s="1175">
        <f>'Data &amp; hypothesis Children'!AC128</f>
        <v>0</v>
      </c>
      <c r="AE275" s="1175">
        <f>'Data &amp; hypothesis Children'!AD128</f>
        <v>0</v>
      </c>
      <c r="AF275" s="1175">
        <f>'Data &amp; hypothesis Children'!AE128</f>
        <v>0</v>
      </c>
      <c r="AG275" s="1175">
        <f>'Data &amp; hypothesis Children'!AF128</f>
        <v>0</v>
      </c>
      <c r="AH275" s="1415">
        <f>'Data &amp; hypothesis Children'!AG128</f>
        <v>0</v>
      </c>
      <c r="AI275" s="1339" t="e">
        <f t="shared" si="57"/>
        <v>#DIV/0!</v>
      </c>
      <c r="AJ275" s="1340" t="e">
        <f t="shared" si="58"/>
        <v>#DIV/0!</v>
      </c>
    </row>
    <row r="276" spans="1:36" s="1279" customFormat="1" ht="15.75" thickBot="1" x14ac:dyDescent="0.3">
      <c r="A276" s="1282"/>
      <c r="C276" s="1301">
        <v>0</v>
      </c>
      <c r="D276" s="1175">
        <f>'Data &amp; hypothesis Children'!C129</f>
        <v>0</v>
      </c>
      <c r="E276" s="1175">
        <f>'Data &amp; hypothesis Children'!D129</f>
        <v>0</v>
      </c>
      <c r="F276" s="1175">
        <f>'Data &amp; hypothesis Children'!E129</f>
        <v>0</v>
      </c>
      <c r="G276" s="1175">
        <f>'Data &amp; hypothesis Children'!F129</f>
        <v>0</v>
      </c>
      <c r="H276" s="1175">
        <f>'Data &amp; hypothesis Children'!G129</f>
        <v>0</v>
      </c>
      <c r="I276" s="1175">
        <f>'Data &amp; hypothesis Children'!H129</f>
        <v>0</v>
      </c>
      <c r="J276" s="1175">
        <f>'Data &amp; hypothesis Children'!I129</f>
        <v>0</v>
      </c>
      <c r="K276" s="1413">
        <f>'Data &amp; hypothesis Children'!J129</f>
        <v>0</v>
      </c>
      <c r="L276" s="1417">
        <f>'Data &amp; hypothesis Children'!K129</f>
        <v>0</v>
      </c>
      <c r="M276" s="1418">
        <f>'Data &amp; hypothesis Children'!L129</f>
        <v>0</v>
      </c>
      <c r="N276" s="1418">
        <f>'Data &amp; hypothesis Children'!M129</f>
        <v>0</v>
      </c>
      <c r="O276" s="1418">
        <f>'Data &amp; hypothesis Children'!N129</f>
        <v>0</v>
      </c>
      <c r="P276" s="1418">
        <f>'Data &amp; hypothesis Children'!O129</f>
        <v>0</v>
      </c>
      <c r="Q276" s="1418">
        <f>'Data &amp; hypothesis Children'!P129</f>
        <v>0</v>
      </c>
      <c r="R276" s="1418">
        <f>'Data &amp; hypothesis Children'!Q129</f>
        <v>0</v>
      </c>
      <c r="S276" s="1418">
        <f>'Data &amp; hypothesis Children'!R129</f>
        <v>0</v>
      </c>
      <c r="T276" s="1418">
        <f>'Data &amp; hypothesis Children'!S129</f>
        <v>0</v>
      </c>
      <c r="U276" s="1418">
        <f>'Data &amp; hypothesis Children'!T129</f>
        <v>0</v>
      </c>
      <c r="V276" s="1418">
        <f>'Data &amp; hypothesis Children'!U129</f>
        <v>0</v>
      </c>
      <c r="W276" s="1418">
        <f>'Data &amp; hypothesis Children'!V129</f>
        <v>0</v>
      </c>
      <c r="X276" s="1418">
        <f>'Data &amp; hypothesis Children'!W129</f>
        <v>0</v>
      </c>
      <c r="Y276" s="1418">
        <f>'Data &amp; hypothesis Children'!X129</f>
        <v>0</v>
      </c>
      <c r="Z276" s="1418">
        <f>'Data &amp; hypothesis Children'!Y129</f>
        <v>0</v>
      </c>
      <c r="AA276" s="1418">
        <f>'Data &amp; hypothesis Children'!Z129</f>
        <v>0</v>
      </c>
      <c r="AB276" s="1418" t="str">
        <f>'Data &amp; hypothesis Children'!AA129</f>
        <v>X</v>
      </c>
      <c r="AC276" s="1418">
        <f>'Data &amp; hypothesis Children'!AB129</f>
        <v>0</v>
      </c>
      <c r="AD276" s="1418">
        <f>'Data &amp; hypothesis Children'!AC129</f>
        <v>0</v>
      </c>
      <c r="AE276" s="1418">
        <f>'Data &amp; hypothesis Children'!AD129</f>
        <v>0</v>
      </c>
      <c r="AF276" s="1418">
        <f>'Data &amp; hypothesis Children'!AE129</f>
        <v>0</v>
      </c>
      <c r="AG276" s="1418">
        <f>'Data &amp; hypothesis Children'!AF129</f>
        <v>0</v>
      </c>
      <c r="AH276" s="1419">
        <f>'Data &amp; hypothesis Children'!AG129</f>
        <v>0</v>
      </c>
      <c r="AI276" s="1339" t="e">
        <f>F78</f>
        <v>#DIV/0!</v>
      </c>
      <c r="AJ276" s="1340" t="e">
        <f>F94</f>
        <v>#DIV/0!</v>
      </c>
    </row>
    <row r="277" spans="1:36" s="1304" customFormat="1" ht="26.25" thickBot="1" x14ac:dyDescent="0.25">
      <c r="A277" s="1303"/>
      <c r="C277" s="1305" t="str">
        <f>'TRAD-Children YEAR(1)'!B118</f>
        <v>Nb de patients-mois / produit - SANS SS</v>
      </c>
      <c r="D277" s="1306">
        <f t="shared" ref="D277:AE277" si="59">SUMIF(D266:D276, "X", $AI266:$AI276)</f>
        <v>0</v>
      </c>
      <c r="E277" s="1306">
        <f t="shared" si="59"/>
        <v>0</v>
      </c>
      <c r="F277" s="1306">
        <f t="shared" si="59"/>
        <v>0</v>
      </c>
      <c r="G277" s="1306">
        <f t="shared" si="59"/>
        <v>0</v>
      </c>
      <c r="H277" s="1306">
        <f t="shared" si="59"/>
        <v>0</v>
      </c>
      <c r="I277" s="1306" t="e">
        <f t="shared" si="59"/>
        <v>#DIV/0!</v>
      </c>
      <c r="J277" s="1306">
        <f t="shared" si="59"/>
        <v>0</v>
      </c>
      <c r="K277" s="1307" t="e">
        <f t="shared" si="59"/>
        <v>#DIV/0!</v>
      </c>
      <c r="L277" s="1308">
        <f t="shared" si="59"/>
        <v>0</v>
      </c>
      <c r="M277" s="1306" t="e">
        <f t="shared" si="59"/>
        <v>#DIV/0!</v>
      </c>
      <c r="N277" s="1306">
        <f t="shared" si="59"/>
        <v>0</v>
      </c>
      <c r="O277" s="1306" t="e">
        <f t="shared" si="59"/>
        <v>#DIV/0!</v>
      </c>
      <c r="P277" s="1306">
        <f t="shared" si="59"/>
        <v>0</v>
      </c>
      <c r="Q277" s="1306">
        <f t="shared" si="59"/>
        <v>0</v>
      </c>
      <c r="R277" s="1306">
        <f t="shared" si="59"/>
        <v>0</v>
      </c>
      <c r="S277" s="1306">
        <f t="shared" si="59"/>
        <v>0</v>
      </c>
      <c r="T277" s="1306">
        <f t="shared" si="59"/>
        <v>0</v>
      </c>
      <c r="U277" s="1306" t="e">
        <f t="shared" si="59"/>
        <v>#DIV/0!</v>
      </c>
      <c r="V277" s="1306">
        <f t="shared" si="59"/>
        <v>0</v>
      </c>
      <c r="W277" s="1306">
        <f t="shared" si="59"/>
        <v>0</v>
      </c>
      <c r="X277" s="1306">
        <f t="shared" si="59"/>
        <v>0</v>
      </c>
      <c r="Y277" s="1306">
        <f t="shared" si="59"/>
        <v>0</v>
      </c>
      <c r="Z277" s="1306">
        <f t="shared" si="59"/>
        <v>0</v>
      </c>
      <c r="AA277" s="1306">
        <f t="shared" si="59"/>
        <v>0</v>
      </c>
      <c r="AB277" s="1306" t="e">
        <f t="shared" si="59"/>
        <v>#DIV/0!</v>
      </c>
      <c r="AC277" s="1306">
        <f t="shared" si="59"/>
        <v>0</v>
      </c>
      <c r="AD277" s="1306">
        <f t="shared" si="59"/>
        <v>0</v>
      </c>
      <c r="AE277" s="1306">
        <f t="shared" si="59"/>
        <v>0</v>
      </c>
      <c r="AF277" s="1306">
        <f t="shared" ref="AF277" si="60">SUMIF(AF266:AF276, "X", $AI266:$AI276)</f>
        <v>0</v>
      </c>
      <c r="AG277" s="1306">
        <f t="shared" ref="AG277" si="61">SUMIF(AG266:AG276, "X", $AI266:$AI276)</f>
        <v>0</v>
      </c>
      <c r="AH277" s="1306">
        <f>SUMIF(AH266:$AH$276, "X", $AI266:$AI276)</f>
        <v>0</v>
      </c>
    </row>
    <row r="278" spans="1:36" s="1304" customFormat="1" ht="26.25" thickBot="1" x14ac:dyDescent="0.25">
      <c r="A278" s="1303"/>
      <c r="C278" s="1305" t="str">
        <f>'TRAD-Children YEAR(1)'!B119</f>
        <v>Nb de patients-mois / produit - AVEC SS</v>
      </c>
      <c r="D278" s="1309">
        <f t="shared" ref="D278:AG278" si="62">SUMIF(D266:D276, "X", $AJ266:$AJ276)</f>
        <v>0</v>
      </c>
      <c r="E278" s="1309">
        <f t="shared" si="62"/>
        <v>0</v>
      </c>
      <c r="F278" s="1309">
        <f t="shared" si="62"/>
        <v>0</v>
      </c>
      <c r="G278" s="1309">
        <f t="shared" si="62"/>
        <v>0</v>
      </c>
      <c r="H278" s="1309">
        <f t="shared" si="62"/>
        <v>0</v>
      </c>
      <c r="I278" s="1309" t="e">
        <f t="shared" si="62"/>
        <v>#DIV/0!</v>
      </c>
      <c r="J278" s="1309">
        <f t="shared" si="62"/>
        <v>0</v>
      </c>
      <c r="K278" s="1310" t="e">
        <f t="shared" si="62"/>
        <v>#DIV/0!</v>
      </c>
      <c r="L278" s="1311">
        <f t="shared" si="62"/>
        <v>0</v>
      </c>
      <c r="M278" s="1309" t="e">
        <f t="shared" si="62"/>
        <v>#DIV/0!</v>
      </c>
      <c r="N278" s="1309">
        <f t="shared" si="62"/>
        <v>0</v>
      </c>
      <c r="O278" s="1309" t="e">
        <f t="shared" si="62"/>
        <v>#DIV/0!</v>
      </c>
      <c r="P278" s="1309">
        <f t="shared" si="62"/>
        <v>0</v>
      </c>
      <c r="Q278" s="1309">
        <f t="shared" si="62"/>
        <v>0</v>
      </c>
      <c r="R278" s="1309">
        <f t="shared" si="62"/>
        <v>0</v>
      </c>
      <c r="S278" s="1309">
        <f t="shared" si="62"/>
        <v>0</v>
      </c>
      <c r="T278" s="1309">
        <f t="shared" si="62"/>
        <v>0</v>
      </c>
      <c r="U278" s="1309" t="e">
        <f t="shared" si="62"/>
        <v>#DIV/0!</v>
      </c>
      <c r="V278" s="1309">
        <f t="shared" si="62"/>
        <v>0</v>
      </c>
      <c r="W278" s="1309">
        <f t="shared" si="62"/>
        <v>0</v>
      </c>
      <c r="X278" s="1309">
        <f t="shared" si="62"/>
        <v>0</v>
      </c>
      <c r="Y278" s="1309">
        <f t="shared" si="62"/>
        <v>0</v>
      </c>
      <c r="Z278" s="1309">
        <f t="shared" si="62"/>
        <v>0</v>
      </c>
      <c r="AA278" s="1309">
        <f t="shared" si="62"/>
        <v>0</v>
      </c>
      <c r="AB278" s="1309" t="e">
        <f t="shared" si="62"/>
        <v>#DIV/0!</v>
      </c>
      <c r="AC278" s="1309">
        <f t="shared" si="62"/>
        <v>0</v>
      </c>
      <c r="AD278" s="1309">
        <f t="shared" si="62"/>
        <v>0</v>
      </c>
      <c r="AE278" s="1309">
        <f t="shared" si="62"/>
        <v>0</v>
      </c>
      <c r="AF278" s="1309">
        <f t="shared" si="62"/>
        <v>0</v>
      </c>
      <c r="AG278" s="1309">
        <f t="shared" si="62"/>
        <v>0</v>
      </c>
      <c r="AH278" s="1309">
        <f>SUMIF(AH266:$AH$276, "X", $AJ266:$AJ276)</f>
        <v>0</v>
      </c>
    </row>
    <row r="279" spans="1:36" s="1304" customFormat="1" ht="26.25" thickBot="1" x14ac:dyDescent="0.25">
      <c r="A279" s="1303"/>
      <c r="C279" s="1305" t="str">
        <f>'TRAD-Children YEAR(1)'!B120</f>
        <v>Nb de cdt - Estimation période SANS SS</v>
      </c>
      <c r="D279" s="1312">
        <f>D277*D264</f>
        <v>0</v>
      </c>
      <c r="E279" s="1312">
        <f>E277*E264</f>
        <v>0</v>
      </c>
      <c r="F279" s="1312">
        <f t="shared" ref="F279:AH279" si="63">F277*F264</f>
        <v>0</v>
      </c>
      <c r="G279" s="1312">
        <f t="shared" si="63"/>
        <v>0</v>
      </c>
      <c r="H279" s="1312">
        <f t="shared" si="63"/>
        <v>0</v>
      </c>
      <c r="I279" s="1312" t="e">
        <f t="shared" si="63"/>
        <v>#DIV/0!</v>
      </c>
      <c r="J279" s="1312">
        <f t="shared" si="63"/>
        <v>0</v>
      </c>
      <c r="K279" s="1313" t="e">
        <f t="shared" si="63"/>
        <v>#DIV/0!</v>
      </c>
      <c r="L279" s="1314">
        <f t="shared" si="63"/>
        <v>0</v>
      </c>
      <c r="M279" s="1312" t="e">
        <f t="shared" si="63"/>
        <v>#DIV/0!</v>
      </c>
      <c r="N279" s="1312">
        <f t="shared" si="63"/>
        <v>0</v>
      </c>
      <c r="O279" s="1312" t="e">
        <f t="shared" si="63"/>
        <v>#DIV/0!</v>
      </c>
      <c r="P279" s="1312">
        <f t="shared" si="63"/>
        <v>0</v>
      </c>
      <c r="Q279" s="1312">
        <f t="shared" si="63"/>
        <v>0</v>
      </c>
      <c r="R279" s="1312">
        <f t="shared" ref="R279" si="64">R277*R264</f>
        <v>0</v>
      </c>
      <c r="S279" s="1312">
        <f t="shared" si="63"/>
        <v>0</v>
      </c>
      <c r="T279" s="1312">
        <f t="shared" si="63"/>
        <v>0</v>
      </c>
      <c r="U279" s="1312" t="e">
        <f t="shared" si="63"/>
        <v>#DIV/0!</v>
      </c>
      <c r="V279" s="1312">
        <f t="shared" ref="V279:AG279" si="65">V277*V264</f>
        <v>0</v>
      </c>
      <c r="W279" s="1312">
        <f t="shared" ref="W279:Y279" si="66">W277*W264</f>
        <v>0</v>
      </c>
      <c r="X279" s="1312">
        <f t="shared" ref="X279" si="67">X277*X264</f>
        <v>0</v>
      </c>
      <c r="Y279" s="1312">
        <f t="shared" si="66"/>
        <v>0</v>
      </c>
      <c r="Z279" s="1312">
        <f t="shared" si="65"/>
        <v>0</v>
      </c>
      <c r="AA279" s="1312">
        <f t="shared" si="65"/>
        <v>0</v>
      </c>
      <c r="AB279" s="1312" t="e">
        <f t="shared" si="65"/>
        <v>#DIV/0!</v>
      </c>
      <c r="AC279" s="1312">
        <f t="shared" si="65"/>
        <v>0</v>
      </c>
      <c r="AD279" s="1312">
        <f t="shared" si="65"/>
        <v>0</v>
      </c>
      <c r="AE279" s="1312">
        <f t="shared" ref="AE279" si="68">AE277*AE264</f>
        <v>0</v>
      </c>
      <c r="AF279" s="1312">
        <f t="shared" si="65"/>
        <v>0</v>
      </c>
      <c r="AG279" s="1312">
        <f t="shared" si="65"/>
        <v>0</v>
      </c>
      <c r="AH279" s="1312">
        <f t="shared" si="63"/>
        <v>0</v>
      </c>
    </row>
    <row r="280" spans="1:36" s="1304" customFormat="1" ht="26.25" thickBot="1" x14ac:dyDescent="0.25">
      <c r="A280" s="1303"/>
      <c r="C280" s="1305" t="str">
        <f>'TRAD-Children YEAR(1)'!B121</f>
        <v>Nb de cdt - Estimation période AVEC SS</v>
      </c>
      <c r="D280" s="1315">
        <f>D278*D264</f>
        <v>0</v>
      </c>
      <c r="E280" s="1315">
        <f t="shared" ref="E280:AH280" si="69">E278*E264</f>
        <v>0</v>
      </c>
      <c r="F280" s="1315">
        <f t="shared" si="69"/>
        <v>0</v>
      </c>
      <c r="G280" s="1315">
        <f t="shared" si="69"/>
        <v>0</v>
      </c>
      <c r="H280" s="1315">
        <f t="shared" si="69"/>
        <v>0</v>
      </c>
      <c r="I280" s="1315" t="e">
        <f t="shared" si="69"/>
        <v>#DIV/0!</v>
      </c>
      <c r="J280" s="1315">
        <f t="shared" si="69"/>
        <v>0</v>
      </c>
      <c r="K280" s="1316" t="e">
        <f t="shared" si="69"/>
        <v>#DIV/0!</v>
      </c>
      <c r="L280" s="1317">
        <f t="shared" si="69"/>
        <v>0</v>
      </c>
      <c r="M280" s="1315" t="e">
        <f t="shared" si="69"/>
        <v>#DIV/0!</v>
      </c>
      <c r="N280" s="1315">
        <f t="shared" si="69"/>
        <v>0</v>
      </c>
      <c r="O280" s="1315" t="e">
        <f t="shared" si="69"/>
        <v>#DIV/0!</v>
      </c>
      <c r="P280" s="1315">
        <f t="shared" si="69"/>
        <v>0</v>
      </c>
      <c r="Q280" s="1315">
        <f t="shared" si="69"/>
        <v>0</v>
      </c>
      <c r="R280" s="1315">
        <f t="shared" ref="R280" si="70">R278*R264</f>
        <v>0</v>
      </c>
      <c r="S280" s="1315">
        <f t="shared" si="69"/>
        <v>0</v>
      </c>
      <c r="T280" s="1315">
        <f t="shared" si="69"/>
        <v>0</v>
      </c>
      <c r="U280" s="1315" t="e">
        <f t="shared" si="69"/>
        <v>#DIV/0!</v>
      </c>
      <c r="V280" s="1315">
        <f t="shared" ref="V280:AG280" si="71">V278*V264</f>
        <v>0</v>
      </c>
      <c r="W280" s="1315">
        <f t="shared" ref="W280:Y280" si="72">W278*W264</f>
        <v>0</v>
      </c>
      <c r="X280" s="1315">
        <f t="shared" ref="X280" si="73">X278*X264</f>
        <v>0</v>
      </c>
      <c r="Y280" s="1315">
        <f t="shared" si="72"/>
        <v>0</v>
      </c>
      <c r="Z280" s="1315">
        <f t="shared" si="71"/>
        <v>0</v>
      </c>
      <c r="AA280" s="1315">
        <f t="shared" si="71"/>
        <v>0</v>
      </c>
      <c r="AB280" s="1315" t="e">
        <f t="shared" si="71"/>
        <v>#DIV/0!</v>
      </c>
      <c r="AC280" s="1315">
        <f t="shared" si="71"/>
        <v>0</v>
      </c>
      <c r="AD280" s="1315">
        <f t="shared" si="71"/>
        <v>0</v>
      </c>
      <c r="AE280" s="1315">
        <f t="shared" ref="AE280" si="74">AE278*AE264</f>
        <v>0</v>
      </c>
      <c r="AF280" s="1315">
        <f t="shared" si="71"/>
        <v>0</v>
      </c>
      <c r="AG280" s="1315">
        <f t="shared" si="71"/>
        <v>0</v>
      </c>
      <c r="AH280" s="1315">
        <f t="shared" si="69"/>
        <v>0</v>
      </c>
    </row>
    <row r="281" spans="1:36" s="1279" customFormat="1" x14ac:dyDescent="0.2">
      <c r="A281" s="1282"/>
    </row>
    <row r="282" spans="1:36" s="1279" customFormat="1" ht="13.5" thickBot="1" x14ac:dyDescent="0.25">
      <c r="A282" s="1282"/>
    </row>
    <row r="283" spans="1:36" s="1279" customFormat="1" ht="13.5" thickBot="1" x14ac:dyDescent="0.25">
      <c r="A283" s="1282"/>
      <c r="B283" s="1283" t="str">
        <f>'TRAD-Children YEAR(1)'!B124</f>
        <v>Tranche 10 - 14,9 kg</v>
      </c>
      <c r="C283" s="1284"/>
      <c r="D283" s="1285"/>
      <c r="E283" s="1285"/>
      <c r="F283" s="1285"/>
      <c r="G283" s="1285"/>
      <c r="H283" s="1285"/>
      <c r="I283" s="1286"/>
    </row>
    <row r="284" spans="1:36" s="1279" customFormat="1" ht="13.5" thickBot="1" x14ac:dyDescent="0.25">
      <c r="A284" s="1282"/>
      <c r="B284" s="1323"/>
      <c r="C284" s="1324"/>
      <c r="D284" s="1325"/>
      <c r="E284" s="1325"/>
      <c r="F284" s="1325"/>
      <c r="G284" s="1325"/>
      <c r="H284" s="1325"/>
      <c r="I284" s="1325"/>
    </row>
    <row r="285" spans="1:36" s="1279" customFormat="1" ht="26.25" thickBot="1" x14ac:dyDescent="0.25">
      <c r="A285" s="1282"/>
      <c r="D285" s="1287" t="str">
        <f>'TRAD-Children YEAR(1)'!B90</f>
        <v>Solutions buvables</v>
      </c>
      <c r="E285" s="1288"/>
      <c r="F285" s="1288"/>
      <c r="G285" s="1288"/>
      <c r="H285" s="1288"/>
      <c r="I285" s="1288"/>
      <c r="J285" s="1284"/>
      <c r="K285" s="1284"/>
      <c r="L285" s="1289" t="str">
        <f>'TRAD-Children YEAR(1)'!B91</f>
        <v>Comprimés</v>
      </c>
      <c r="M285" s="1284"/>
      <c r="N285" s="1284"/>
      <c r="O285" s="1284"/>
      <c r="P285" s="1284"/>
      <c r="Q285" s="1284"/>
      <c r="R285" s="1284"/>
      <c r="S285" s="1284"/>
      <c r="T285" s="1284"/>
      <c r="U285" s="1284"/>
      <c r="V285" s="1284"/>
      <c r="W285" s="1945"/>
      <c r="X285" s="1945"/>
      <c r="Y285" s="1945"/>
      <c r="Z285" s="1284"/>
      <c r="AA285" s="1284"/>
      <c r="AB285" s="1284"/>
      <c r="AC285" s="1284"/>
      <c r="AD285" s="1284"/>
      <c r="AE285" s="1284"/>
      <c r="AF285" s="1284"/>
      <c r="AG285" s="1284"/>
      <c r="AH285" s="1284"/>
    </row>
    <row r="286" spans="1:36" s="1292" customFormat="1" ht="25.5" x14ac:dyDescent="0.2">
      <c r="A286" s="1291"/>
      <c r="C286" s="1332" t="str">
        <f>'TRAD-Children YEAR(1)'!B113</f>
        <v>Nb de boites / mois pour l'ensemble des patients</v>
      </c>
      <c r="D286" s="1329" t="s">
        <v>39</v>
      </c>
      <c r="E286" s="1329" t="s">
        <v>61</v>
      </c>
      <c r="F286" s="1329" t="s">
        <v>15</v>
      </c>
      <c r="G286" s="1329" t="s">
        <v>25</v>
      </c>
      <c r="H286" s="1329" t="s">
        <v>28</v>
      </c>
      <c r="I286" s="1329" t="s">
        <v>19</v>
      </c>
      <c r="J286" s="1329" t="s">
        <v>17</v>
      </c>
      <c r="K286" s="1333" t="s">
        <v>33</v>
      </c>
      <c r="L286" s="1334" t="s">
        <v>7</v>
      </c>
      <c r="M286" s="1330" t="s">
        <v>386</v>
      </c>
      <c r="N286" s="1330" t="s">
        <v>11</v>
      </c>
      <c r="O286" s="1330" t="s">
        <v>387</v>
      </c>
      <c r="P286" s="1330" t="s">
        <v>50</v>
      </c>
      <c r="Q286" s="1330" t="s">
        <v>392</v>
      </c>
      <c r="R286" s="1330" t="s">
        <v>81</v>
      </c>
      <c r="S286" s="1330" t="s">
        <v>140</v>
      </c>
      <c r="T286" s="1330" t="s">
        <v>635</v>
      </c>
      <c r="U286" s="1330" t="s">
        <v>586</v>
      </c>
      <c r="V286" s="1330" t="s">
        <v>575</v>
      </c>
      <c r="W286" s="1946"/>
      <c r="X286" s="1946"/>
      <c r="Y286" s="1946"/>
      <c r="Z286" s="1422" t="s">
        <v>15</v>
      </c>
      <c r="AA286" s="1330" t="s">
        <v>25</v>
      </c>
      <c r="AB286" s="1330" t="s">
        <v>648</v>
      </c>
      <c r="AC286" s="1330" t="s">
        <v>28</v>
      </c>
      <c r="AD286" s="1422" t="s">
        <v>19</v>
      </c>
      <c r="AE286" s="1586" t="s">
        <v>19</v>
      </c>
      <c r="AF286" s="1422" t="s">
        <v>17</v>
      </c>
      <c r="AG286" s="1330" t="s">
        <v>33</v>
      </c>
      <c r="AH286" s="1335" t="s">
        <v>638</v>
      </c>
    </row>
    <row r="287" spans="1:36" s="1292" customFormat="1" ht="25.5" x14ac:dyDescent="0.2">
      <c r="A287" s="1291"/>
      <c r="C287" s="1332" t="str">
        <f>'TRAD-Children YEAR(1)'!B114</f>
        <v>Dosage</v>
      </c>
      <c r="D287" s="1329" t="s">
        <v>41</v>
      </c>
      <c r="E287" s="1329" t="s">
        <v>41</v>
      </c>
      <c r="F287" s="1329" t="s">
        <v>41</v>
      </c>
      <c r="G287" s="1329" t="s">
        <v>44</v>
      </c>
      <c r="H287" s="1329" t="s">
        <v>46</v>
      </c>
      <c r="I287" s="1329" t="s">
        <v>41</v>
      </c>
      <c r="J287" s="1329" t="s">
        <v>259</v>
      </c>
      <c r="K287" s="1333" t="s">
        <v>47</v>
      </c>
      <c r="L287" s="1336" t="s">
        <v>9</v>
      </c>
      <c r="M287" s="1331" t="s">
        <v>384</v>
      </c>
      <c r="N287" s="1331" t="s">
        <v>12</v>
      </c>
      <c r="O287" s="1331" t="s">
        <v>382</v>
      </c>
      <c r="P287" s="1331" t="s">
        <v>80</v>
      </c>
      <c r="Q287" s="1331" t="s">
        <v>131</v>
      </c>
      <c r="R287" s="1331" t="s">
        <v>733</v>
      </c>
      <c r="S287" s="1331" t="s">
        <v>334</v>
      </c>
      <c r="T287" s="1331" t="s">
        <v>636</v>
      </c>
      <c r="U287" s="1331" t="s">
        <v>649</v>
      </c>
      <c r="V287" s="1331" t="s">
        <v>636</v>
      </c>
      <c r="W287" s="1331"/>
      <c r="X287" s="1331"/>
      <c r="Y287" s="1331"/>
      <c r="Z287" s="1424" t="s">
        <v>16</v>
      </c>
      <c r="AA287" s="1331" t="s">
        <v>23</v>
      </c>
      <c r="AB287" s="1331" t="s">
        <v>639</v>
      </c>
      <c r="AC287" s="1331" t="s">
        <v>29</v>
      </c>
      <c r="AD287" s="1424" t="s">
        <v>20</v>
      </c>
      <c r="AE287" s="1424" t="s">
        <v>248</v>
      </c>
      <c r="AF287" s="1424" t="s">
        <v>20</v>
      </c>
      <c r="AG287" s="1331" t="s">
        <v>34</v>
      </c>
      <c r="AH287" s="1337" t="s">
        <v>637</v>
      </c>
    </row>
    <row r="288" spans="1:36" s="1281" customFormat="1" ht="26.25" thickBot="1" x14ac:dyDescent="0.25">
      <c r="A288" s="1280"/>
      <c r="C288" s="1332" t="str">
        <f>'TRAD-Children YEAR(1)'!B115</f>
        <v>Nb de cdt/mois pour la tranche</v>
      </c>
      <c r="D288" s="1404">
        <f t="array" ref="D288:AH288">TRANSPOSE($E$224:$E$254)</f>
        <v>3</v>
      </c>
      <c r="E288" s="1404">
        <v>3</v>
      </c>
      <c r="F288" s="1404">
        <v>1.5</v>
      </c>
      <c r="G288" s="1404">
        <v>1.5</v>
      </c>
      <c r="H288" s="1404">
        <v>2.1</v>
      </c>
      <c r="I288" s="1404">
        <v>2.5</v>
      </c>
      <c r="J288" s="1404">
        <v>1.1666666666666667</v>
      </c>
      <c r="K288" s="1405">
        <v>2</v>
      </c>
      <c r="L288" s="1406">
        <v>0</v>
      </c>
      <c r="M288" s="1407">
        <v>2</v>
      </c>
      <c r="N288" s="1407">
        <v>0</v>
      </c>
      <c r="O288" s="1407">
        <v>2</v>
      </c>
      <c r="P288" s="1407">
        <v>0</v>
      </c>
      <c r="Q288" s="1407">
        <v>2</v>
      </c>
      <c r="R288" s="1407">
        <v>2</v>
      </c>
      <c r="S288" s="1407">
        <v>0</v>
      </c>
      <c r="T288" s="1407">
        <v>2</v>
      </c>
      <c r="U288" s="1407">
        <v>0</v>
      </c>
      <c r="V288" s="1407">
        <v>2</v>
      </c>
      <c r="W288" s="1407">
        <v>0</v>
      </c>
      <c r="X288" s="1407">
        <v>0</v>
      </c>
      <c r="Y288" s="1407">
        <v>0</v>
      </c>
      <c r="Z288" s="1407">
        <v>0</v>
      </c>
      <c r="AA288" s="1407">
        <v>0</v>
      </c>
      <c r="AB288" s="1407">
        <v>2</v>
      </c>
      <c r="AC288" s="1407">
        <v>0</v>
      </c>
      <c r="AD288" s="1407">
        <v>0</v>
      </c>
      <c r="AE288" s="1407">
        <v>2</v>
      </c>
      <c r="AF288" s="1407">
        <v>1</v>
      </c>
      <c r="AG288" s="1407">
        <v>0</v>
      </c>
      <c r="AH288" s="1407">
        <v>1.5</v>
      </c>
      <c r="AI288" s="1338" t="s">
        <v>207</v>
      </c>
    </row>
    <row r="289" spans="1:36" s="1279" customFormat="1" ht="63.75" x14ac:dyDescent="0.2">
      <c r="A289" s="1282"/>
      <c r="B289" s="1293" t="str">
        <f>'TRAD-Children YEAR(1)'!B6</f>
        <v>Schéma thérapeutique</v>
      </c>
      <c r="C289" s="1332" t="str">
        <f>'TRAD-Children YEAR(1)'!B116</f>
        <v>Premières lignes</v>
      </c>
      <c r="D289" s="1297"/>
      <c r="E289" s="1297"/>
      <c r="F289" s="1297"/>
      <c r="G289" s="1297"/>
      <c r="H289" s="1297"/>
      <c r="I289" s="1297"/>
      <c r="J289" s="1297"/>
      <c r="K289" s="1298"/>
      <c r="L289" s="1299"/>
      <c r="M289" s="1297"/>
      <c r="N289" s="1297"/>
      <c r="O289" s="1297"/>
      <c r="P289" s="1297"/>
      <c r="Q289" s="1297"/>
      <c r="R289" s="1297"/>
      <c r="S289" s="1297"/>
      <c r="T289" s="1297"/>
      <c r="U289" s="1297"/>
      <c r="V289" s="1297"/>
      <c r="W289" s="1297"/>
      <c r="X289" s="1297"/>
      <c r="Y289" s="1297"/>
      <c r="Z289" s="1297"/>
      <c r="AA289" s="1297"/>
      <c r="AB289" s="1297"/>
      <c r="AC289" s="1297"/>
      <c r="AD289" s="1297"/>
      <c r="AE289" s="1297"/>
      <c r="AF289" s="1297"/>
      <c r="AG289" s="1297"/>
      <c r="AH289" s="1297"/>
      <c r="AI289" s="1318" t="str">
        <f>'TRAD-Children YEAR(1)'!B122</f>
        <v>nb de patients mois période quantifiée</v>
      </c>
      <c r="AJ289" s="1318" t="str">
        <f>'TRAD-Children YEAR(1)'!B123</f>
        <v>nb de patients mois avec période de sécurité</v>
      </c>
    </row>
    <row r="290" spans="1:36" s="1279" customFormat="1" ht="15" x14ac:dyDescent="0.25">
      <c r="A290" s="1282"/>
      <c r="C290" s="1319" t="str">
        <f t="array" ref="C290:C295">'Data &amp; hypothesis Children'!$C$26:$C$31</f>
        <v>D4T+3TC+NVP</v>
      </c>
      <c r="D290" s="1175">
        <f>'Data &amp; hypothesis Children'!C137</f>
        <v>0</v>
      </c>
      <c r="E290" s="1175">
        <f>'Data &amp; hypothesis Children'!D137</f>
        <v>0</v>
      </c>
      <c r="F290" s="1175">
        <f>'Data &amp; hypothesis Children'!E137</f>
        <v>0</v>
      </c>
      <c r="G290" s="1175">
        <f>'Data &amp; hypothesis Children'!F137</f>
        <v>0</v>
      </c>
      <c r="H290" s="1175">
        <f>'Data &amp; hypothesis Children'!G137</f>
        <v>0</v>
      </c>
      <c r="I290" s="1175">
        <f>'Data &amp; hypothesis Children'!H137</f>
        <v>0</v>
      </c>
      <c r="J290" s="1175">
        <f>'Data &amp; hypothesis Children'!I137</f>
        <v>0</v>
      </c>
      <c r="K290" s="1413">
        <f>'Data &amp; hypothesis Children'!J137</f>
        <v>0</v>
      </c>
      <c r="L290" s="1414">
        <f>'Data &amp; hypothesis Children'!K137</f>
        <v>0</v>
      </c>
      <c r="M290" s="1175">
        <f>'Data &amp; hypothesis Children'!L137</f>
        <v>0</v>
      </c>
      <c r="N290" s="1175">
        <f>'Data &amp; hypothesis Children'!M137</f>
        <v>0</v>
      </c>
      <c r="O290" s="1175">
        <f>'Data &amp; hypothesis Children'!N137</f>
        <v>0</v>
      </c>
      <c r="P290" s="1175">
        <f>'Data &amp; hypothesis Children'!O137</f>
        <v>0</v>
      </c>
      <c r="Q290" s="1175">
        <f>'Data &amp; hypothesis Children'!P137</f>
        <v>0</v>
      </c>
      <c r="R290" s="1175">
        <f>'Data &amp; hypothesis Children'!Q137</f>
        <v>0</v>
      </c>
      <c r="S290" s="1175">
        <f>'Data &amp; hypothesis Children'!R137</f>
        <v>0</v>
      </c>
      <c r="T290" s="1175">
        <f>'Data &amp; hypothesis Children'!S137</f>
        <v>0</v>
      </c>
      <c r="U290" s="1175">
        <f>'Data &amp; hypothesis Children'!T137</f>
        <v>0</v>
      </c>
      <c r="V290" s="1175">
        <f>'Data &amp; hypothesis Children'!U137</f>
        <v>0</v>
      </c>
      <c r="W290" s="1175">
        <f>'Data &amp; hypothesis Children'!V137</f>
        <v>0</v>
      </c>
      <c r="X290" s="1175">
        <f>'Data &amp; hypothesis Children'!W137</f>
        <v>0</v>
      </c>
      <c r="Y290" s="1175">
        <f>'Data &amp; hypothesis Children'!X137</f>
        <v>0</v>
      </c>
      <c r="Z290" s="1175">
        <f>'Data &amp; hypothesis Children'!Y137</f>
        <v>0</v>
      </c>
      <c r="AA290" s="1175">
        <f>'Data &amp; hypothesis Children'!Z137</f>
        <v>0</v>
      </c>
      <c r="AB290" s="1175">
        <f>'Data &amp; hypothesis Children'!AA137</f>
        <v>0</v>
      </c>
      <c r="AC290" s="1175">
        <f>'Data &amp; hypothesis Children'!AB137</f>
        <v>0</v>
      </c>
      <c r="AD290" s="1175">
        <f>'Data &amp; hypothesis Children'!AC137</f>
        <v>0</v>
      </c>
      <c r="AE290" s="1175">
        <f>'Data &amp; hypothesis Children'!AD137</f>
        <v>0</v>
      </c>
      <c r="AF290" s="1175">
        <f>'Data &amp; hypothesis Children'!AE137</f>
        <v>0</v>
      </c>
      <c r="AG290" s="1175">
        <f>'Data &amp; hypothesis Children'!AF137</f>
        <v>0</v>
      </c>
      <c r="AH290" s="1415">
        <f>'Data &amp; hypothesis Children'!AG137</f>
        <v>0</v>
      </c>
      <c r="AI290" s="1339" t="e">
        <f t="shared" ref="AI290:AI295" si="75">G69</f>
        <v>#DIV/0!</v>
      </c>
      <c r="AJ290" s="1340" t="e">
        <f t="shared" ref="AJ290:AJ295" si="76">G85</f>
        <v>#DIV/0!</v>
      </c>
    </row>
    <row r="291" spans="1:36" s="1279" customFormat="1" ht="15" x14ac:dyDescent="0.25">
      <c r="A291" s="1282"/>
      <c r="C291" s="1319" t="str">
        <v>AZT+3TC+NVP</v>
      </c>
      <c r="D291" s="1175">
        <f>'Data &amp; hypothesis Children'!C138</f>
        <v>0</v>
      </c>
      <c r="E291" s="1175">
        <f>'Data &amp; hypothesis Children'!D138</f>
        <v>0</v>
      </c>
      <c r="F291" s="1175">
        <f>'Data &amp; hypothesis Children'!E138</f>
        <v>0</v>
      </c>
      <c r="G291" s="1175">
        <f>'Data &amp; hypothesis Children'!F138</f>
        <v>0</v>
      </c>
      <c r="H291" s="1175">
        <f>'Data &amp; hypothesis Children'!G138</f>
        <v>0</v>
      </c>
      <c r="I291" s="1175">
        <f>'Data &amp; hypothesis Children'!H138</f>
        <v>0</v>
      </c>
      <c r="J291" s="1175">
        <f>'Data &amp; hypothesis Children'!I138</f>
        <v>0</v>
      </c>
      <c r="K291" s="1413">
        <f>'Data &amp; hypothesis Children'!J138</f>
        <v>0</v>
      </c>
      <c r="L291" s="1414">
        <f>'Data &amp; hypothesis Children'!K138</f>
        <v>0</v>
      </c>
      <c r="M291" s="1175" t="str">
        <f>'Data &amp; hypothesis Children'!L138</f>
        <v>X</v>
      </c>
      <c r="N291" s="1175">
        <f>'Data &amp; hypothesis Children'!M138</f>
        <v>0</v>
      </c>
      <c r="O291" s="1175">
        <f>'Data &amp; hypothesis Children'!N138</f>
        <v>0</v>
      </c>
      <c r="P291" s="1175">
        <f>'Data &amp; hypothesis Children'!O138</f>
        <v>0</v>
      </c>
      <c r="Q291" s="1175">
        <f>'Data &amp; hypothesis Children'!P138</f>
        <v>0</v>
      </c>
      <c r="R291" s="1175">
        <f>'Data &amp; hypothesis Children'!Q138</f>
        <v>0</v>
      </c>
      <c r="S291" s="1175">
        <f>'Data &amp; hypothesis Children'!R138</f>
        <v>0</v>
      </c>
      <c r="T291" s="1175">
        <f>'Data &amp; hypothesis Children'!S138</f>
        <v>0</v>
      </c>
      <c r="U291" s="1175">
        <f>'Data &amp; hypothesis Children'!T138</f>
        <v>0</v>
      </c>
      <c r="V291" s="1175">
        <f>'Data &amp; hypothesis Children'!U138</f>
        <v>0</v>
      </c>
      <c r="W291" s="1175">
        <f>'Data &amp; hypothesis Children'!V138</f>
        <v>0</v>
      </c>
      <c r="X291" s="1175">
        <f>'Data &amp; hypothesis Children'!W138</f>
        <v>0</v>
      </c>
      <c r="Y291" s="1175">
        <f>'Data &amp; hypothesis Children'!X138</f>
        <v>0</v>
      </c>
      <c r="Z291" s="1175">
        <f>'Data &amp; hypothesis Children'!Y138</f>
        <v>0</v>
      </c>
      <c r="AA291" s="1175">
        <f>'Data &amp; hypothesis Children'!Z138</f>
        <v>0</v>
      </c>
      <c r="AB291" s="1175">
        <f>'Data &amp; hypothesis Children'!AA138</f>
        <v>0</v>
      </c>
      <c r="AC291" s="1175">
        <f>'Data &amp; hypothesis Children'!AB138</f>
        <v>0</v>
      </c>
      <c r="AD291" s="1175">
        <f>'Data &amp; hypothesis Children'!AC138</f>
        <v>0</v>
      </c>
      <c r="AE291" s="1175">
        <f>'Data &amp; hypothesis Children'!AD138</f>
        <v>0</v>
      </c>
      <c r="AF291" s="1175">
        <f>'Data &amp; hypothesis Children'!AE138</f>
        <v>0</v>
      </c>
      <c r="AG291" s="1175">
        <f>'Data &amp; hypothesis Children'!AF138</f>
        <v>0</v>
      </c>
      <c r="AH291" s="1415">
        <f>'Data &amp; hypothesis Children'!AG138</f>
        <v>0</v>
      </c>
      <c r="AI291" s="1339" t="e">
        <f t="shared" si="75"/>
        <v>#DIV/0!</v>
      </c>
      <c r="AJ291" s="1340" t="e">
        <f t="shared" si="76"/>
        <v>#DIV/0!</v>
      </c>
    </row>
    <row r="292" spans="1:36" s="1279" customFormat="1" ht="15" x14ac:dyDescent="0.25">
      <c r="A292" s="1282"/>
      <c r="C292" s="1319" t="str">
        <v>AZT+3TC+EFV</v>
      </c>
      <c r="D292" s="1175">
        <f>'Data &amp; hypothesis Children'!C139</f>
        <v>0</v>
      </c>
      <c r="E292" s="1175">
        <f>'Data &amp; hypothesis Children'!D139</f>
        <v>0</v>
      </c>
      <c r="F292" s="1175">
        <f>'Data &amp; hypothesis Children'!E139</f>
        <v>0</v>
      </c>
      <c r="G292" s="1175">
        <f>'Data &amp; hypothesis Children'!F139</f>
        <v>0</v>
      </c>
      <c r="H292" s="1175">
        <f>'Data &amp; hypothesis Children'!G139</f>
        <v>0</v>
      </c>
      <c r="I292" s="1175">
        <f>'Data &amp; hypothesis Children'!H139</f>
        <v>0</v>
      </c>
      <c r="J292" s="1175" t="str">
        <f>'Data &amp; hypothesis Children'!I139</f>
        <v>X</v>
      </c>
      <c r="K292" s="1413">
        <f>'Data &amp; hypothesis Children'!J139</f>
        <v>0</v>
      </c>
      <c r="L292" s="1414">
        <f>'Data &amp; hypothesis Children'!K139</f>
        <v>0</v>
      </c>
      <c r="M292" s="1175">
        <f>'Data &amp; hypothesis Children'!L139</f>
        <v>0</v>
      </c>
      <c r="N292" s="1175">
        <f>'Data &amp; hypothesis Children'!M139</f>
        <v>0</v>
      </c>
      <c r="O292" s="1175" t="str">
        <f>'Data &amp; hypothesis Children'!N139</f>
        <v>X</v>
      </c>
      <c r="P292" s="1175">
        <f>'Data &amp; hypothesis Children'!O139</f>
        <v>0</v>
      </c>
      <c r="Q292" s="1175">
        <f>'Data &amp; hypothesis Children'!P139</f>
        <v>0</v>
      </c>
      <c r="R292" s="1175">
        <f>'Data &amp; hypothesis Children'!Q139</f>
        <v>0</v>
      </c>
      <c r="S292" s="1175">
        <f>'Data &amp; hypothesis Children'!R139</f>
        <v>0</v>
      </c>
      <c r="T292" s="1175">
        <f>'Data &amp; hypothesis Children'!S139</f>
        <v>0</v>
      </c>
      <c r="U292" s="1175">
        <f>'Data &amp; hypothesis Children'!T139</f>
        <v>0</v>
      </c>
      <c r="V292" s="1175">
        <f>'Data &amp; hypothesis Children'!U139</f>
        <v>0</v>
      </c>
      <c r="W292" s="1175">
        <f>'Data &amp; hypothesis Children'!V139</f>
        <v>0</v>
      </c>
      <c r="X292" s="1175">
        <f>'Data &amp; hypothesis Children'!W139</f>
        <v>0</v>
      </c>
      <c r="Y292" s="1175">
        <f>'Data &amp; hypothesis Children'!X139</f>
        <v>0</v>
      </c>
      <c r="Z292" s="1175">
        <f>'Data &amp; hypothesis Children'!Y139</f>
        <v>0</v>
      </c>
      <c r="AA292" s="1175">
        <f>'Data &amp; hypothesis Children'!Z139</f>
        <v>0</v>
      </c>
      <c r="AB292" s="1175">
        <f>'Data &amp; hypothesis Children'!AA139</f>
        <v>0</v>
      </c>
      <c r="AC292" s="1175">
        <f>'Data &amp; hypothesis Children'!AB139</f>
        <v>0</v>
      </c>
      <c r="AD292" s="1175">
        <f>'Data &amp; hypothesis Children'!AC139</f>
        <v>0</v>
      </c>
      <c r="AE292" s="1175">
        <f>'Data &amp; hypothesis Children'!AD139</f>
        <v>0</v>
      </c>
      <c r="AF292" s="1175" t="str">
        <f>'Data &amp; hypothesis Children'!AE139</f>
        <v>X</v>
      </c>
      <c r="AG292" s="1175">
        <f>'Data &amp; hypothesis Children'!AF139</f>
        <v>0</v>
      </c>
      <c r="AH292" s="1415">
        <f>'Data &amp; hypothesis Children'!AG139</f>
        <v>0</v>
      </c>
      <c r="AI292" s="1339" t="e">
        <f t="shared" si="75"/>
        <v>#DIV/0!</v>
      </c>
      <c r="AJ292" s="1340" t="e">
        <f t="shared" si="76"/>
        <v>#DIV/0!</v>
      </c>
    </row>
    <row r="293" spans="1:36" s="1279" customFormat="1" ht="15" x14ac:dyDescent="0.25">
      <c r="A293" s="1282"/>
      <c r="C293" s="1319" t="str">
        <v>LPV/r+3TC+ABC</v>
      </c>
      <c r="D293" s="1175">
        <f>'Data &amp; hypothesis Children'!C140</f>
        <v>0</v>
      </c>
      <c r="E293" s="1175">
        <f>'Data &amp; hypothesis Children'!D140</f>
        <v>0</v>
      </c>
      <c r="F293" s="1175">
        <f>'Data &amp; hypothesis Children'!E140</f>
        <v>0</v>
      </c>
      <c r="G293" s="1175">
        <f>'Data &amp; hypothesis Children'!F140</f>
        <v>0</v>
      </c>
      <c r="H293" s="1175">
        <f>'Data &amp; hypothesis Children'!G140</f>
        <v>0</v>
      </c>
      <c r="I293" s="1175">
        <f>'Data &amp; hypothesis Children'!H140</f>
        <v>0</v>
      </c>
      <c r="J293" s="1175">
        <f>'Data &amp; hypothesis Children'!I140</f>
        <v>0</v>
      </c>
      <c r="K293" s="1413" t="str">
        <f>'Data &amp; hypothesis Children'!J140</f>
        <v>X</v>
      </c>
      <c r="L293" s="1414">
        <f>'Data &amp; hypothesis Children'!K140</f>
        <v>0</v>
      </c>
      <c r="M293" s="1175">
        <f>'Data &amp; hypothesis Children'!L140</f>
        <v>0</v>
      </c>
      <c r="N293" s="1175">
        <f>'Data &amp; hypothesis Children'!M140</f>
        <v>0</v>
      </c>
      <c r="O293" s="1175">
        <f>'Data &amp; hypothesis Children'!N140</f>
        <v>0</v>
      </c>
      <c r="P293" s="1175">
        <f>'Data &amp; hypothesis Children'!O140</f>
        <v>0</v>
      </c>
      <c r="Q293" s="1175">
        <f>'Data &amp; hypothesis Children'!P140</f>
        <v>0</v>
      </c>
      <c r="R293" s="1175">
        <f>'Data &amp; hypothesis Children'!Q140</f>
        <v>0</v>
      </c>
      <c r="S293" s="1175">
        <f>'Data &amp; hypothesis Children'!R140</f>
        <v>0</v>
      </c>
      <c r="T293" s="1175">
        <f>'Data &amp; hypothesis Children'!S140</f>
        <v>0</v>
      </c>
      <c r="U293" s="1175">
        <f>'Data &amp; hypothesis Children'!T140</f>
        <v>0</v>
      </c>
      <c r="V293" s="1175" t="str">
        <f>'Data &amp; hypothesis Children'!U140</f>
        <v>X</v>
      </c>
      <c r="W293" s="1175">
        <f>'Data &amp; hypothesis Children'!V140</f>
        <v>0</v>
      </c>
      <c r="X293" s="1175">
        <f>'Data &amp; hypothesis Children'!W140</f>
        <v>0</v>
      </c>
      <c r="Y293" s="1175">
        <f>'Data &amp; hypothesis Children'!X140</f>
        <v>0</v>
      </c>
      <c r="Z293" s="1175">
        <f>'Data &amp; hypothesis Children'!Y140</f>
        <v>0</v>
      </c>
      <c r="AA293" s="1175">
        <f>'Data &amp; hypothesis Children'!Z140</f>
        <v>0</v>
      </c>
      <c r="AB293" s="1175">
        <f>'Data &amp; hypothesis Children'!AA140</f>
        <v>0</v>
      </c>
      <c r="AC293" s="1175">
        <f>'Data &amp; hypothesis Children'!AB140</f>
        <v>0</v>
      </c>
      <c r="AD293" s="1175">
        <f>'Data &amp; hypothesis Children'!AC140</f>
        <v>0</v>
      </c>
      <c r="AE293" s="1175">
        <f>'Data &amp; hypothesis Children'!AD140</f>
        <v>0</v>
      </c>
      <c r="AF293" s="1175">
        <f>'Data &amp; hypothesis Children'!AE140</f>
        <v>0</v>
      </c>
      <c r="AG293" s="1175">
        <f>'Data &amp; hypothesis Children'!AF140</f>
        <v>0</v>
      </c>
      <c r="AH293" s="1415">
        <f>'Data &amp; hypothesis Children'!AG140</f>
        <v>0</v>
      </c>
      <c r="AI293" s="1339" t="e">
        <f t="shared" si="75"/>
        <v>#DIV/0!</v>
      </c>
      <c r="AJ293" s="1340" t="e">
        <f t="shared" si="76"/>
        <v>#DIV/0!</v>
      </c>
    </row>
    <row r="294" spans="1:36" s="1279" customFormat="1" ht="15" x14ac:dyDescent="0.25">
      <c r="A294" s="1282"/>
      <c r="C294" s="1319" t="str">
        <v>ABC+3TC+NVP</v>
      </c>
      <c r="D294" s="1175">
        <f>'Data &amp; hypothesis Children'!C141</f>
        <v>0</v>
      </c>
      <c r="E294" s="1175">
        <f>'Data &amp; hypothesis Children'!D141</f>
        <v>0</v>
      </c>
      <c r="F294" s="1175">
        <f>'Data &amp; hypothesis Children'!E141</f>
        <v>0</v>
      </c>
      <c r="G294" s="1175">
        <f>'Data &amp; hypothesis Children'!F141</f>
        <v>0</v>
      </c>
      <c r="H294" s="1175">
        <f>'Data &amp; hypothesis Children'!G141</f>
        <v>0</v>
      </c>
      <c r="I294" s="1175" t="str">
        <f>'Data &amp; hypothesis Children'!H141</f>
        <v>X</v>
      </c>
      <c r="J294" s="1175">
        <f>'Data &amp; hypothesis Children'!I141</f>
        <v>0</v>
      </c>
      <c r="K294" s="1413">
        <f>'Data &amp; hypothesis Children'!J141</f>
        <v>0</v>
      </c>
      <c r="L294" s="1414">
        <f>'Data &amp; hypothesis Children'!K141</f>
        <v>0</v>
      </c>
      <c r="M294" s="1175">
        <f>'Data &amp; hypothesis Children'!L141</f>
        <v>0</v>
      </c>
      <c r="N294" s="1175">
        <f>'Data &amp; hypothesis Children'!M141</f>
        <v>0</v>
      </c>
      <c r="O294" s="1175">
        <f>'Data &amp; hypothesis Children'!N141</f>
        <v>0</v>
      </c>
      <c r="P294" s="1175">
        <f>'Data &amp; hypothesis Children'!O141</f>
        <v>0</v>
      </c>
      <c r="Q294" s="1175">
        <f>'Data &amp; hypothesis Children'!P141</f>
        <v>0</v>
      </c>
      <c r="R294" s="1175">
        <f>'Data &amp; hypothesis Children'!Q141</f>
        <v>0</v>
      </c>
      <c r="S294" s="1175">
        <f>'Data &amp; hypothesis Children'!R141</f>
        <v>0</v>
      </c>
      <c r="T294" s="1175">
        <f>'Data &amp; hypothesis Children'!S141</f>
        <v>0</v>
      </c>
      <c r="U294" s="1175" t="str">
        <f>'Data &amp; hypothesis Children'!T141</f>
        <v>X</v>
      </c>
      <c r="V294" s="1175">
        <f>'Data &amp; hypothesis Children'!U141</f>
        <v>0</v>
      </c>
      <c r="W294" s="1175">
        <f>'Data &amp; hypothesis Children'!V141</f>
        <v>0</v>
      </c>
      <c r="X294" s="1175">
        <f>'Data &amp; hypothesis Children'!W141</f>
        <v>0</v>
      </c>
      <c r="Y294" s="1175">
        <f>'Data &amp; hypothesis Children'!X141</f>
        <v>0</v>
      </c>
      <c r="Z294" s="1175">
        <f>'Data &amp; hypothesis Children'!Y141</f>
        <v>0</v>
      </c>
      <c r="AA294" s="1175">
        <f>'Data &amp; hypothesis Children'!Z141</f>
        <v>0</v>
      </c>
      <c r="AB294" s="1175">
        <f>'Data &amp; hypothesis Children'!AA141</f>
        <v>0</v>
      </c>
      <c r="AC294" s="1175">
        <f>'Data &amp; hypothesis Children'!AB141</f>
        <v>0</v>
      </c>
      <c r="AD294" s="1175">
        <f>'Data &amp; hypothesis Children'!AC141</f>
        <v>0</v>
      </c>
      <c r="AE294" s="1175" t="str">
        <f>'Data &amp; hypothesis Children'!AD141</f>
        <v>X</v>
      </c>
      <c r="AF294" s="1175">
        <f>'Data &amp; hypothesis Children'!AE141</f>
        <v>0</v>
      </c>
      <c r="AG294" s="1175">
        <f>'Data &amp; hypothesis Children'!AF141</f>
        <v>0</v>
      </c>
      <c r="AH294" s="1415">
        <f>'Data &amp; hypothesis Children'!AG141</f>
        <v>0</v>
      </c>
      <c r="AI294" s="1339" t="e">
        <f t="shared" si="75"/>
        <v>#DIV/0!</v>
      </c>
      <c r="AJ294" s="1340" t="e">
        <f t="shared" si="76"/>
        <v>#DIV/0!</v>
      </c>
    </row>
    <row r="295" spans="1:36" s="1279" customFormat="1" ht="15" x14ac:dyDescent="0.25">
      <c r="A295" s="1282"/>
      <c r="C295" s="1319" t="str">
        <v>AZT+3TC+LPV/r</v>
      </c>
      <c r="D295" s="1175">
        <f>'Data &amp; hypothesis Children'!C142</f>
        <v>0</v>
      </c>
      <c r="E295" s="1175">
        <f>'Data &amp; hypothesis Children'!D142</f>
        <v>0</v>
      </c>
      <c r="F295" s="1175">
        <f>'Data &amp; hypothesis Children'!E142</f>
        <v>0</v>
      </c>
      <c r="G295" s="1175">
        <f>'Data &amp; hypothesis Children'!F142</f>
        <v>0</v>
      </c>
      <c r="H295" s="1175">
        <f>'Data &amp; hypothesis Children'!G142</f>
        <v>0</v>
      </c>
      <c r="I295" s="1175">
        <f>'Data &amp; hypothesis Children'!H142</f>
        <v>0</v>
      </c>
      <c r="J295" s="1175">
        <f>'Data &amp; hypothesis Children'!I142</f>
        <v>0</v>
      </c>
      <c r="K295" s="1413" t="str">
        <f>'Data &amp; hypothesis Children'!J142</f>
        <v>X</v>
      </c>
      <c r="L295" s="1414">
        <f>'Data &amp; hypothesis Children'!K142</f>
        <v>0</v>
      </c>
      <c r="M295" s="1175">
        <f>'Data &amp; hypothesis Children'!L142</f>
        <v>0</v>
      </c>
      <c r="N295" s="1175">
        <f>'Data &amp; hypothesis Children'!M142</f>
        <v>0</v>
      </c>
      <c r="O295" s="1175" t="str">
        <f>'Data &amp; hypothesis Children'!N142</f>
        <v>X</v>
      </c>
      <c r="P295" s="1175">
        <f>'Data &amp; hypothesis Children'!O142</f>
        <v>0</v>
      </c>
      <c r="Q295" s="1175">
        <f>'Data &amp; hypothesis Children'!P142</f>
        <v>0</v>
      </c>
      <c r="R295" s="1175">
        <f>'Data &amp; hypothesis Children'!Q142</f>
        <v>0</v>
      </c>
      <c r="S295" s="1175">
        <f>'Data &amp; hypothesis Children'!R142</f>
        <v>0</v>
      </c>
      <c r="T295" s="1175">
        <f>'Data &amp; hypothesis Children'!S142</f>
        <v>0</v>
      </c>
      <c r="U295" s="1175">
        <f>'Data &amp; hypothesis Children'!T142</f>
        <v>0</v>
      </c>
      <c r="V295" s="1175">
        <f>'Data &amp; hypothesis Children'!U142</f>
        <v>0</v>
      </c>
      <c r="W295" s="1175">
        <f>'Data &amp; hypothesis Children'!V142</f>
        <v>0</v>
      </c>
      <c r="X295" s="1175">
        <f>'Data &amp; hypothesis Children'!W142</f>
        <v>0</v>
      </c>
      <c r="Y295" s="1175">
        <f>'Data &amp; hypothesis Children'!X142</f>
        <v>0</v>
      </c>
      <c r="Z295" s="1175">
        <f>'Data &amp; hypothesis Children'!Y142</f>
        <v>0</v>
      </c>
      <c r="AA295" s="1175">
        <f>'Data &amp; hypothesis Children'!Z142</f>
        <v>0</v>
      </c>
      <c r="AB295" s="1175">
        <f>'Data &amp; hypothesis Children'!AA142</f>
        <v>0</v>
      </c>
      <c r="AC295" s="1175">
        <f>'Data &amp; hypothesis Children'!AB142</f>
        <v>0</v>
      </c>
      <c r="AD295" s="1175">
        <f>'Data &amp; hypothesis Children'!AC142</f>
        <v>0</v>
      </c>
      <c r="AE295" s="1175">
        <f>'Data &amp; hypothesis Children'!AD142</f>
        <v>0</v>
      </c>
      <c r="AF295" s="1175">
        <f>'Data &amp; hypothesis Children'!AE142</f>
        <v>0</v>
      </c>
      <c r="AG295" s="1175">
        <f>'Data &amp; hypothesis Children'!AF142</f>
        <v>0</v>
      </c>
      <c r="AH295" s="1415" t="str">
        <f>'Data &amp; hypothesis Children'!AG142</f>
        <v>X</v>
      </c>
      <c r="AI295" s="1339" t="e">
        <f t="shared" si="75"/>
        <v>#DIV/0!</v>
      </c>
      <c r="AJ295" s="1340" t="e">
        <f t="shared" si="76"/>
        <v>#DIV/0!</v>
      </c>
    </row>
    <row r="296" spans="1:36" s="1279" customFormat="1" x14ac:dyDescent="0.2">
      <c r="A296" s="1282"/>
      <c r="C296" s="1296" t="str">
        <f>'TRAD-Children YEAR(1)'!$B$117</f>
        <v>Deuxièmes lignes</v>
      </c>
      <c r="D296" s="1410"/>
      <c r="E296" s="1410"/>
      <c r="F296" s="1410"/>
      <c r="G296" s="1410"/>
      <c r="H296" s="1410"/>
      <c r="I296" s="1410"/>
      <c r="J296" s="1410"/>
      <c r="K296" s="1411"/>
      <c r="L296" s="1412"/>
      <c r="M296" s="1410"/>
      <c r="N296" s="1410"/>
      <c r="O296" s="1410"/>
      <c r="P296" s="1410"/>
      <c r="Q296" s="1410"/>
      <c r="R296" s="1410"/>
      <c r="S296" s="1410"/>
      <c r="T296" s="1410"/>
      <c r="U296" s="1410"/>
      <c r="V296" s="1410"/>
      <c r="W296" s="1410"/>
      <c r="X296" s="1410"/>
      <c r="Y296" s="1410"/>
      <c r="Z296" s="1410"/>
      <c r="AA296" s="1410"/>
      <c r="AB296" s="1410"/>
      <c r="AC296" s="1410"/>
      <c r="AD296" s="1410"/>
      <c r="AE296" s="1410"/>
      <c r="AF296" s="1410"/>
      <c r="AG296" s="1410"/>
      <c r="AH296" s="1416"/>
      <c r="AI296" s="1339"/>
      <c r="AJ296" s="1340"/>
    </row>
    <row r="297" spans="1:36" s="1279" customFormat="1" ht="15" x14ac:dyDescent="0.25">
      <c r="A297" s="1282"/>
      <c r="C297" s="1301" t="str">
        <f t="array" ref="C297:C300">'Data &amp; hypothesis Children'!$C$32:$C$35</f>
        <v>ABC+3TC+EFV</v>
      </c>
      <c r="D297" s="1175">
        <f>'Data &amp; hypothesis Children'!C144</f>
        <v>0</v>
      </c>
      <c r="E297" s="1175">
        <f>'Data &amp; hypothesis Children'!D144</f>
        <v>0</v>
      </c>
      <c r="F297" s="1175">
        <f>'Data &amp; hypothesis Children'!E144</f>
        <v>0</v>
      </c>
      <c r="G297" s="1175">
        <f>'Data &amp; hypothesis Children'!F144</f>
        <v>0</v>
      </c>
      <c r="H297" s="1175">
        <f>'Data &amp; hypothesis Children'!G144</f>
        <v>0</v>
      </c>
      <c r="I297" s="1175">
        <f>'Data &amp; hypothesis Children'!H144</f>
        <v>0</v>
      </c>
      <c r="J297" s="1175" t="str">
        <f>'Data &amp; hypothesis Children'!I144</f>
        <v>X</v>
      </c>
      <c r="K297" s="1413">
        <f>'Data &amp; hypothesis Children'!J144</f>
        <v>0</v>
      </c>
      <c r="L297" s="1414">
        <f>'Data &amp; hypothesis Children'!K144</f>
        <v>0</v>
      </c>
      <c r="M297" s="1175">
        <f>'Data &amp; hypothesis Children'!L144</f>
        <v>0</v>
      </c>
      <c r="N297" s="1175">
        <f>'Data &amp; hypothesis Children'!M144</f>
        <v>0</v>
      </c>
      <c r="O297" s="1175">
        <f>'Data &amp; hypothesis Children'!N144</f>
        <v>0</v>
      </c>
      <c r="P297" s="1175">
        <f>'Data &amp; hypothesis Children'!O144</f>
        <v>0</v>
      </c>
      <c r="Q297" s="1175">
        <f>'Data &amp; hypothesis Children'!P144</f>
        <v>0</v>
      </c>
      <c r="R297" s="1175">
        <f>'Data &amp; hypothesis Children'!Q144</f>
        <v>0</v>
      </c>
      <c r="S297" s="1175">
        <f>'Data &amp; hypothesis Children'!R144</f>
        <v>0</v>
      </c>
      <c r="T297" s="1175">
        <f>'Data &amp; hypothesis Children'!S144</f>
        <v>0</v>
      </c>
      <c r="U297" s="1175">
        <f>'Data &amp; hypothesis Children'!T144</f>
        <v>0</v>
      </c>
      <c r="V297" s="1175" t="str">
        <f>'Data &amp; hypothesis Children'!U144</f>
        <v>X</v>
      </c>
      <c r="W297" s="1175">
        <f>'Data &amp; hypothesis Children'!V144</f>
        <v>0</v>
      </c>
      <c r="X297" s="1175">
        <f>'Data &amp; hypothesis Children'!W144</f>
        <v>0</v>
      </c>
      <c r="Y297" s="1175">
        <f>'Data &amp; hypothesis Children'!X144</f>
        <v>0</v>
      </c>
      <c r="Z297" s="1175">
        <f>'Data &amp; hypothesis Children'!Y144</f>
        <v>0</v>
      </c>
      <c r="AA297" s="1175">
        <f>'Data &amp; hypothesis Children'!Z144</f>
        <v>0</v>
      </c>
      <c r="AB297" s="1175">
        <f>'Data &amp; hypothesis Children'!AA144</f>
        <v>0</v>
      </c>
      <c r="AC297" s="1175">
        <f>'Data &amp; hypothesis Children'!AB144</f>
        <v>0</v>
      </c>
      <c r="AD297" s="1175">
        <f>'Data &amp; hypothesis Children'!AC144</f>
        <v>0</v>
      </c>
      <c r="AE297" s="1175">
        <f>'Data &amp; hypothesis Children'!AD144</f>
        <v>0</v>
      </c>
      <c r="AF297" s="1175">
        <f>'Data &amp; hypothesis Children'!AE144</f>
        <v>0</v>
      </c>
      <c r="AG297" s="1175">
        <f>'Data &amp; hypothesis Children'!AF144</f>
        <v>0</v>
      </c>
      <c r="AH297" s="1415" t="str">
        <f>'Data &amp; hypothesis Children'!AG144</f>
        <v>X</v>
      </c>
      <c r="AI297" s="1339" t="e">
        <f>G75</f>
        <v>#DIV/0!</v>
      </c>
      <c r="AJ297" s="1340" t="e">
        <f>G91</f>
        <v>#DIV/0!</v>
      </c>
    </row>
    <row r="298" spans="1:36" s="1279" customFormat="1" ht="15" x14ac:dyDescent="0.25">
      <c r="A298" s="1282"/>
      <c r="C298" s="1301" t="str">
        <v>TDF+3TC+LPV/r</v>
      </c>
      <c r="D298" s="1175">
        <f>'Data &amp; hypothesis Children'!C145</f>
        <v>0</v>
      </c>
      <c r="E298" s="1175">
        <f>'Data &amp; hypothesis Children'!D145</f>
        <v>0</v>
      </c>
      <c r="F298" s="1175">
        <f>'Data &amp; hypothesis Children'!E145</f>
        <v>0</v>
      </c>
      <c r="G298" s="1175">
        <f>'Data &amp; hypothesis Children'!F145</f>
        <v>0</v>
      </c>
      <c r="H298" s="1175">
        <f>'Data &amp; hypothesis Children'!G145</f>
        <v>0</v>
      </c>
      <c r="I298" s="1175">
        <f>'Data &amp; hypothesis Children'!H145</f>
        <v>0</v>
      </c>
      <c r="J298" s="1175">
        <f>'Data &amp; hypothesis Children'!I145</f>
        <v>0</v>
      </c>
      <c r="K298" s="1413">
        <f>'Data &amp; hypothesis Children'!J145</f>
        <v>0</v>
      </c>
      <c r="L298" s="1414">
        <f>'Data &amp; hypothesis Children'!K145</f>
        <v>0</v>
      </c>
      <c r="M298" s="1175">
        <f>'Data &amp; hypothesis Children'!L145</f>
        <v>0</v>
      </c>
      <c r="N298" s="1175">
        <f>'Data &amp; hypothesis Children'!M145</f>
        <v>0</v>
      </c>
      <c r="O298" s="1175">
        <f>'Data &amp; hypothesis Children'!N145</f>
        <v>0</v>
      </c>
      <c r="P298" s="1175">
        <f>'Data &amp; hypothesis Children'!O145</f>
        <v>0</v>
      </c>
      <c r="Q298" s="1175">
        <f>'Data &amp; hypothesis Children'!P145</f>
        <v>0</v>
      </c>
      <c r="R298" s="1175">
        <f>'Data &amp; hypothesis Children'!Q145</f>
        <v>0</v>
      </c>
      <c r="S298" s="1175">
        <f>'Data &amp; hypothesis Children'!R145</f>
        <v>0</v>
      </c>
      <c r="T298" s="1175">
        <f>'Data &amp; hypothesis Children'!S145</f>
        <v>0</v>
      </c>
      <c r="U298" s="1175">
        <f>'Data &amp; hypothesis Children'!T145</f>
        <v>0</v>
      </c>
      <c r="V298" s="1175">
        <f>'Data &amp; hypothesis Children'!U145</f>
        <v>0</v>
      </c>
      <c r="W298" s="1175">
        <f>'Data &amp; hypothesis Children'!V145</f>
        <v>0</v>
      </c>
      <c r="X298" s="1175">
        <f>'Data &amp; hypothesis Children'!W145</f>
        <v>0</v>
      </c>
      <c r="Y298" s="1175">
        <f>'Data &amp; hypothesis Children'!X145</f>
        <v>0</v>
      </c>
      <c r="Z298" s="1175">
        <f>'Data &amp; hypothesis Children'!Y145</f>
        <v>0</v>
      </c>
      <c r="AA298" s="1175">
        <f>'Data &amp; hypothesis Children'!Z145</f>
        <v>0</v>
      </c>
      <c r="AB298" s="1175">
        <f>'Data &amp; hypothesis Children'!AA145</f>
        <v>0</v>
      </c>
      <c r="AC298" s="1175">
        <f>'Data &amp; hypothesis Children'!AB145</f>
        <v>0</v>
      </c>
      <c r="AD298" s="1175">
        <f>'Data &amp; hypothesis Children'!AC145</f>
        <v>0</v>
      </c>
      <c r="AE298" s="1175">
        <f>'Data &amp; hypothesis Children'!AD145</f>
        <v>0</v>
      </c>
      <c r="AF298" s="1175">
        <f>'Data &amp; hypothesis Children'!AE145</f>
        <v>0</v>
      </c>
      <c r="AG298" s="1175">
        <f>'Data &amp; hypothesis Children'!AF145</f>
        <v>0</v>
      </c>
      <c r="AH298" s="1415" t="str">
        <f>'Data &amp; hypothesis Children'!AG145</f>
        <v>X</v>
      </c>
      <c r="AI298" s="1339" t="e">
        <f t="shared" ref="AI298:AI299" si="77">G76</f>
        <v>#DIV/0!</v>
      </c>
      <c r="AJ298" s="1340" t="e">
        <f t="shared" ref="AJ298:AJ299" si="78">G92</f>
        <v>#DIV/0!</v>
      </c>
    </row>
    <row r="299" spans="1:36" s="1279" customFormat="1" ht="15" x14ac:dyDescent="0.25">
      <c r="A299" s="1282"/>
      <c r="C299" s="1301" t="str">
        <v>AZT+3TC+EFV</v>
      </c>
      <c r="D299" s="1175">
        <f>'Data &amp; hypothesis Children'!C146</f>
        <v>0</v>
      </c>
      <c r="E299" s="1175">
        <f>'Data &amp; hypothesis Children'!D146</f>
        <v>0</v>
      </c>
      <c r="F299" s="1175">
        <f>'Data &amp; hypothesis Children'!E146</f>
        <v>0</v>
      </c>
      <c r="G299" s="1175">
        <f>'Data &amp; hypothesis Children'!F146</f>
        <v>0</v>
      </c>
      <c r="H299" s="1175">
        <f>'Data &amp; hypothesis Children'!G146</f>
        <v>0</v>
      </c>
      <c r="I299" s="1175">
        <f>'Data &amp; hypothesis Children'!H146</f>
        <v>0</v>
      </c>
      <c r="J299" s="1175">
        <f>'Data &amp; hypothesis Children'!I146</f>
        <v>0</v>
      </c>
      <c r="K299" s="1413">
        <f>'Data &amp; hypothesis Children'!J146</f>
        <v>0</v>
      </c>
      <c r="L299" s="1414">
        <f>'Data &amp; hypothesis Children'!K146</f>
        <v>0</v>
      </c>
      <c r="M299" s="1175">
        <f>'Data &amp; hypothesis Children'!L146</f>
        <v>0</v>
      </c>
      <c r="N299" s="1175">
        <f>'Data &amp; hypothesis Children'!M146</f>
        <v>0</v>
      </c>
      <c r="O299" s="1175">
        <f>'Data &amp; hypothesis Children'!N146</f>
        <v>0</v>
      </c>
      <c r="P299" s="1175">
        <f>'Data &amp; hypothesis Children'!O146</f>
        <v>0</v>
      </c>
      <c r="Q299" s="1175">
        <f>'Data &amp; hypothesis Children'!P146</f>
        <v>0</v>
      </c>
      <c r="R299" s="1175">
        <f>'Data &amp; hypothesis Children'!Q146</f>
        <v>0</v>
      </c>
      <c r="S299" s="1175">
        <f>'Data &amp; hypothesis Children'!R146</f>
        <v>0</v>
      </c>
      <c r="T299" s="1175">
        <f>'Data &amp; hypothesis Children'!S146</f>
        <v>0</v>
      </c>
      <c r="U299" s="1175">
        <f>'Data &amp; hypothesis Children'!T146</f>
        <v>0</v>
      </c>
      <c r="V299" s="1175">
        <f>'Data &amp; hypothesis Children'!U146</f>
        <v>0</v>
      </c>
      <c r="W299" s="1175">
        <f>'Data &amp; hypothesis Children'!V146</f>
        <v>0</v>
      </c>
      <c r="X299" s="1175">
        <f>'Data &amp; hypothesis Children'!W146</f>
        <v>0</v>
      </c>
      <c r="Y299" s="1175">
        <f>'Data &amp; hypothesis Children'!X146</f>
        <v>0</v>
      </c>
      <c r="Z299" s="1175">
        <f>'Data &amp; hypothesis Children'!Y146</f>
        <v>0</v>
      </c>
      <c r="AA299" s="1175">
        <f>'Data &amp; hypothesis Children'!Z146</f>
        <v>0</v>
      </c>
      <c r="AB299" s="1175">
        <f>'Data &amp; hypothesis Children'!AA146</f>
        <v>0</v>
      </c>
      <c r="AC299" s="1175">
        <f>'Data &amp; hypothesis Children'!AB146</f>
        <v>0</v>
      </c>
      <c r="AD299" s="1175">
        <f>'Data &amp; hypothesis Children'!AC146</f>
        <v>0</v>
      </c>
      <c r="AE299" s="1175">
        <f>'Data &amp; hypothesis Children'!AD146</f>
        <v>0</v>
      </c>
      <c r="AF299" s="1175">
        <f>'Data &amp; hypothesis Children'!AE146</f>
        <v>0</v>
      </c>
      <c r="AG299" s="1175">
        <f>'Data &amp; hypothesis Children'!AF146</f>
        <v>0</v>
      </c>
      <c r="AH299" s="1415">
        <f>'Data &amp; hypothesis Children'!AG146</f>
        <v>0</v>
      </c>
      <c r="AI299" s="1339" t="e">
        <f t="shared" si="77"/>
        <v>#DIV/0!</v>
      </c>
      <c r="AJ299" s="1340" t="e">
        <f t="shared" si="78"/>
        <v>#DIV/0!</v>
      </c>
    </row>
    <row r="300" spans="1:36" s="1279" customFormat="1" ht="15.75" thickBot="1" x14ac:dyDescent="0.3">
      <c r="A300" s="1282"/>
      <c r="C300" s="1301">
        <v>0</v>
      </c>
      <c r="D300" s="1175">
        <f>'Data &amp; hypothesis Children'!C147</f>
        <v>0</v>
      </c>
      <c r="E300" s="1175">
        <f>'Data &amp; hypothesis Children'!D147</f>
        <v>0</v>
      </c>
      <c r="F300" s="1175">
        <f>'Data &amp; hypothesis Children'!E147</f>
        <v>0</v>
      </c>
      <c r="G300" s="1175">
        <f>'Data &amp; hypothesis Children'!F147</f>
        <v>0</v>
      </c>
      <c r="H300" s="1175">
        <f>'Data &amp; hypothesis Children'!G147</f>
        <v>0</v>
      </c>
      <c r="I300" s="1175">
        <f>'Data &amp; hypothesis Children'!H147</f>
        <v>0</v>
      </c>
      <c r="J300" s="1175">
        <f>'Data &amp; hypothesis Children'!I147</f>
        <v>0</v>
      </c>
      <c r="K300" s="1413">
        <f>'Data &amp; hypothesis Children'!J147</f>
        <v>0</v>
      </c>
      <c r="L300" s="1417">
        <f>'Data &amp; hypothesis Children'!K147</f>
        <v>0</v>
      </c>
      <c r="M300" s="1418">
        <f>'Data &amp; hypothesis Children'!L147</f>
        <v>0</v>
      </c>
      <c r="N300" s="1418">
        <f>'Data &amp; hypothesis Children'!M147</f>
        <v>0</v>
      </c>
      <c r="O300" s="1418">
        <f>'Data &amp; hypothesis Children'!N147</f>
        <v>0</v>
      </c>
      <c r="P300" s="1418">
        <f>'Data &amp; hypothesis Children'!O147</f>
        <v>0</v>
      </c>
      <c r="Q300" s="1418">
        <f>'Data &amp; hypothesis Children'!P147</f>
        <v>0</v>
      </c>
      <c r="R300" s="1418">
        <f>'Data &amp; hypothesis Children'!Q147</f>
        <v>0</v>
      </c>
      <c r="S300" s="1418">
        <f>'Data &amp; hypothesis Children'!R147</f>
        <v>0</v>
      </c>
      <c r="T300" s="1418">
        <f>'Data &amp; hypothesis Children'!S147</f>
        <v>0</v>
      </c>
      <c r="U300" s="1418">
        <f>'Data &amp; hypothesis Children'!T147</f>
        <v>0</v>
      </c>
      <c r="V300" s="1418">
        <f>'Data &amp; hypothesis Children'!U147</f>
        <v>0</v>
      </c>
      <c r="W300" s="1418">
        <f>'Data &amp; hypothesis Children'!V147</f>
        <v>0</v>
      </c>
      <c r="X300" s="1418">
        <f>'Data &amp; hypothesis Children'!W147</f>
        <v>0</v>
      </c>
      <c r="Y300" s="1418">
        <f>'Data &amp; hypothesis Children'!X147</f>
        <v>0</v>
      </c>
      <c r="Z300" s="1418">
        <f>'Data &amp; hypothesis Children'!Y147</f>
        <v>0</v>
      </c>
      <c r="AA300" s="1418">
        <f>'Data &amp; hypothesis Children'!Z147</f>
        <v>0</v>
      </c>
      <c r="AB300" s="1418">
        <f>'Data &amp; hypothesis Children'!AA147</f>
        <v>0</v>
      </c>
      <c r="AC300" s="1418">
        <f>'Data &amp; hypothesis Children'!AB147</f>
        <v>0</v>
      </c>
      <c r="AD300" s="1418">
        <f>'Data &amp; hypothesis Children'!AC147</f>
        <v>0</v>
      </c>
      <c r="AE300" s="1418">
        <f>'Data &amp; hypothesis Children'!AD147</f>
        <v>0</v>
      </c>
      <c r="AF300" s="1418">
        <f>'Data &amp; hypothesis Children'!AE147</f>
        <v>0</v>
      </c>
      <c r="AG300" s="1418">
        <f>'Data &amp; hypothesis Children'!AF147</f>
        <v>0</v>
      </c>
      <c r="AH300" s="1419">
        <f>'Data &amp; hypothesis Children'!AG147</f>
        <v>0</v>
      </c>
      <c r="AI300" s="1339" t="e">
        <f>G78</f>
        <v>#DIV/0!</v>
      </c>
      <c r="AJ300" s="1340" t="e">
        <f>G94</f>
        <v>#DIV/0!</v>
      </c>
    </row>
    <row r="301" spans="1:36" s="1304" customFormat="1" ht="26.25" thickBot="1" x14ac:dyDescent="0.25">
      <c r="A301" s="1303"/>
      <c r="C301" s="1305" t="str">
        <f>'TRAD-Children YEAR(1)'!B118</f>
        <v>Nb de patients-mois / produit - SANS SS</v>
      </c>
      <c r="D301" s="1306">
        <f t="shared" ref="D301:AE301" si="79">SUMIF(D290:D300, "X", $AI290:$AI300)</f>
        <v>0</v>
      </c>
      <c r="E301" s="1306">
        <f t="shared" si="79"/>
        <v>0</v>
      </c>
      <c r="F301" s="1306">
        <f t="shared" si="79"/>
        <v>0</v>
      </c>
      <c r="G301" s="1306">
        <f t="shared" si="79"/>
        <v>0</v>
      </c>
      <c r="H301" s="1306">
        <f t="shared" si="79"/>
        <v>0</v>
      </c>
      <c r="I301" s="1306" t="e">
        <f t="shared" si="79"/>
        <v>#DIV/0!</v>
      </c>
      <c r="J301" s="1306" t="e">
        <f t="shared" si="79"/>
        <v>#DIV/0!</v>
      </c>
      <c r="K301" s="1307" t="e">
        <f t="shared" si="79"/>
        <v>#DIV/0!</v>
      </c>
      <c r="L301" s="1308">
        <f t="shared" si="79"/>
        <v>0</v>
      </c>
      <c r="M301" s="1306" t="e">
        <f t="shared" si="79"/>
        <v>#DIV/0!</v>
      </c>
      <c r="N301" s="1306">
        <f t="shared" si="79"/>
        <v>0</v>
      </c>
      <c r="O301" s="1306" t="e">
        <f t="shared" si="79"/>
        <v>#DIV/0!</v>
      </c>
      <c r="P301" s="1306">
        <f t="shared" si="79"/>
        <v>0</v>
      </c>
      <c r="Q301" s="1306">
        <f t="shared" si="79"/>
        <v>0</v>
      </c>
      <c r="R301" s="1306">
        <f t="shared" si="79"/>
        <v>0</v>
      </c>
      <c r="S301" s="1306">
        <f t="shared" si="79"/>
        <v>0</v>
      </c>
      <c r="T301" s="1306">
        <f t="shared" si="79"/>
        <v>0</v>
      </c>
      <c r="U301" s="1306" t="e">
        <f t="shared" si="79"/>
        <v>#DIV/0!</v>
      </c>
      <c r="V301" s="1306" t="e">
        <f t="shared" si="79"/>
        <v>#DIV/0!</v>
      </c>
      <c r="W301" s="1306">
        <f t="shared" si="79"/>
        <v>0</v>
      </c>
      <c r="X301" s="1306">
        <f t="shared" si="79"/>
        <v>0</v>
      </c>
      <c r="Y301" s="1306">
        <f t="shared" si="79"/>
        <v>0</v>
      </c>
      <c r="Z301" s="1306">
        <f t="shared" si="79"/>
        <v>0</v>
      </c>
      <c r="AA301" s="1306">
        <f t="shared" si="79"/>
        <v>0</v>
      </c>
      <c r="AB301" s="1306">
        <f t="shared" si="79"/>
        <v>0</v>
      </c>
      <c r="AC301" s="1306">
        <f t="shared" si="79"/>
        <v>0</v>
      </c>
      <c r="AD301" s="1306">
        <f t="shared" si="79"/>
        <v>0</v>
      </c>
      <c r="AE301" s="1306" t="e">
        <f t="shared" si="79"/>
        <v>#DIV/0!</v>
      </c>
      <c r="AF301" s="1306" t="e">
        <f t="shared" ref="AF301" si="80">SUMIF(AF290:AF300, "X", $AI290:$AI300)</f>
        <v>#DIV/0!</v>
      </c>
      <c r="AG301" s="1306">
        <f t="shared" ref="AG301" si="81">SUMIF(AG290:AG300, "X", $AI290:$AI300)</f>
        <v>0</v>
      </c>
      <c r="AH301" s="1306" t="e">
        <f t="shared" ref="AH301" si="82">SUMIF(AH290:AH300, "X", $AI290:$AI300)</f>
        <v>#DIV/0!</v>
      </c>
    </row>
    <row r="302" spans="1:36" s="1304" customFormat="1" ht="26.25" thickBot="1" x14ac:dyDescent="0.25">
      <c r="A302" s="1303"/>
      <c r="C302" s="1305" t="str">
        <f>'TRAD-Children YEAR(1)'!B119</f>
        <v>Nb de patients-mois / produit - AVEC SS</v>
      </c>
      <c r="D302" s="1309">
        <f t="shared" ref="D302:AH302" si="83">SUMIF(D290:D300, "X", $AJ290:$AJ300)</f>
        <v>0</v>
      </c>
      <c r="E302" s="1309">
        <f t="shared" si="83"/>
        <v>0</v>
      </c>
      <c r="F302" s="1309">
        <f t="shared" si="83"/>
        <v>0</v>
      </c>
      <c r="G302" s="1309">
        <f t="shared" si="83"/>
        <v>0</v>
      </c>
      <c r="H302" s="1309">
        <f t="shared" si="83"/>
        <v>0</v>
      </c>
      <c r="I302" s="1309" t="e">
        <f t="shared" si="83"/>
        <v>#DIV/0!</v>
      </c>
      <c r="J302" s="1309" t="e">
        <f t="shared" si="83"/>
        <v>#DIV/0!</v>
      </c>
      <c r="K302" s="1310" t="e">
        <f t="shared" si="83"/>
        <v>#DIV/0!</v>
      </c>
      <c r="L302" s="1311">
        <f t="shared" si="83"/>
        <v>0</v>
      </c>
      <c r="M302" s="1309" t="e">
        <f t="shared" si="83"/>
        <v>#DIV/0!</v>
      </c>
      <c r="N302" s="1309">
        <f t="shared" si="83"/>
        <v>0</v>
      </c>
      <c r="O302" s="1309" t="e">
        <f t="shared" si="83"/>
        <v>#DIV/0!</v>
      </c>
      <c r="P302" s="1309">
        <f t="shared" si="83"/>
        <v>0</v>
      </c>
      <c r="Q302" s="1309">
        <f t="shared" si="83"/>
        <v>0</v>
      </c>
      <c r="R302" s="1309">
        <f t="shared" si="83"/>
        <v>0</v>
      </c>
      <c r="S302" s="1309">
        <f t="shared" si="83"/>
        <v>0</v>
      </c>
      <c r="T302" s="1309">
        <f t="shared" si="83"/>
        <v>0</v>
      </c>
      <c r="U302" s="1309" t="e">
        <f t="shared" si="83"/>
        <v>#DIV/0!</v>
      </c>
      <c r="V302" s="1309" t="e">
        <f t="shared" si="83"/>
        <v>#DIV/0!</v>
      </c>
      <c r="W302" s="1309">
        <f t="shared" si="83"/>
        <v>0</v>
      </c>
      <c r="X302" s="1309">
        <f t="shared" si="83"/>
        <v>0</v>
      </c>
      <c r="Y302" s="1309">
        <f t="shared" si="83"/>
        <v>0</v>
      </c>
      <c r="Z302" s="1309">
        <f t="shared" si="83"/>
        <v>0</v>
      </c>
      <c r="AA302" s="1309">
        <f t="shared" si="83"/>
        <v>0</v>
      </c>
      <c r="AB302" s="1309">
        <f t="shared" si="83"/>
        <v>0</v>
      </c>
      <c r="AC302" s="1309">
        <f t="shared" si="83"/>
        <v>0</v>
      </c>
      <c r="AD302" s="1309">
        <f t="shared" si="83"/>
        <v>0</v>
      </c>
      <c r="AE302" s="1309" t="e">
        <f t="shared" si="83"/>
        <v>#DIV/0!</v>
      </c>
      <c r="AF302" s="1309" t="e">
        <f t="shared" si="83"/>
        <v>#DIV/0!</v>
      </c>
      <c r="AG302" s="1309">
        <f t="shared" si="83"/>
        <v>0</v>
      </c>
      <c r="AH302" s="1309" t="e">
        <f t="shared" si="83"/>
        <v>#DIV/0!</v>
      </c>
    </row>
    <row r="303" spans="1:36" s="1304" customFormat="1" ht="26.25" thickBot="1" x14ac:dyDescent="0.25">
      <c r="A303" s="1303"/>
      <c r="C303" s="1305" t="str">
        <f>'TRAD-Children YEAR(1)'!B120</f>
        <v>Nb de cdt - Estimation période SANS SS</v>
      </c>
      <c r="D303" s="1312">
        <f t="shared" ref="D303:U303" si="84">D301*D288</f>
        <v>0</v>
      </c>
      <c r="E303" s="1312">
        <f t="shared" si="84"/>
        <v>0</v>
      </c>
      <c r="F303" s="1312">
        <f t="shared" si="84"/>
        <v>0</v>
      </c>
      <c r="G303" s="1312">
        <f t="shared" si="84"/>
        <v>0</v>
      </c>
      <c r="H303" s="1312">
        <f t="shared" si="84"/>
        <v>0</v>
      </c>
      <c r="I303" s="1312" t="e">
        <f t="shared" si="84"/>
        <v>#DIV/0!</v>
      </c>
      <c r="J303" s="1312" t="e">
        <f t="shared" si="84"/>
        <v>#DIV/0!</v>
      </c>
      <c r="K303" s="1313" t="e">
        <f t="shared" si="84"/>
        <v>#DIV/0!</v>
      </c>
      <c r="L303" s="1314">
        <f t="shared" si="84"/>
        <v>0</v>
      </c>
      <c r="M303" s="1312" t="e">
        <f t="shared" si="84"/>
        <v>#DIV/0!</v>
      </c>
      <c r="N303" s="1312">
        <f t="shared" si="84"/>
        <v>0</v>
      </c>
      <c r="O303" s="1312" t="e">
        <f t="shared" si="84"/>
        <v>#DIV/0!</v>
      </c>
      <c r="P303" s="1312">
        <f t="shared" si="84"/>
        <v>0</v>
      </c>
      <c r="Q303" s="1312">
        <f t="shared" si="84"/>
        <v>0</v>
      </c>
      <c r="R303" s="1312">
        <f t="shared" ref="R303" si="85">R301*R288</f>
        <v>0</v>
      </c>
      <c r="S303" s="1312">
        <f t="shared" si="84"/>
        <v>0</v>
      </c>
      <c r="T303" s="1312">
        <f t="shared" si="84"/>
        <v>0</v>
      </c>
      <c r="U303" s="1312" t="e">
        <f t="shared" si="84"/>
        <v>#DIV/0!</v>
      </c>
      <c r="V303" s="1312" t="e">
        <f t="shared" ref="V303:AH303" si="86">V301*V288</f>
        <v>#DIV/0!</v>
      </c>
      <c r="W303" s="1312">
        <f t="shared" ref="W303:Y303" si="87">W301*W288</f>
        <v>0</v>
      </c>
      <c r="X303" s="1312">
        <f t="shared" ref="X303" si="88">X301*X288</f>
        <v>0</v>
      </c>
      <c r="Y303" s="1312">
        <f t="shared" si="87"/>
        <v>0</v>
      </c>
      <c r="Z303" s="1312">
        <f t="shared" si="86"/>
        <v>0</v>
      </c>
      <c r="AA303" s="1312">
        <f t="shared" si="86"/>
        <v>0</v>
      </c>
      <c r="AB303" s="1312">
        <f t="shared" si="86"/>
        <v>0</v>
      </c>
      <c r="AC303" s="1312">
        <f t="shared" si="86"/>
        <v>0</v>
      </c>
      <c r="AD303" s="1312">
        <f t="shared" si="86"/>
        <v>0</v>
      </c>
      <c r="AE303" s="1312" t="e">
        <f t="shared" ref="AE303" si="89">AE301*AE288</f>
        <v>#DIV/0!</v>
      </c>
      <c r="AF303" s="1312" t="e">
        <f t="shared" si="86"/>
        <v>#DIV/0!</v>
      </c>
      <c r="AG303" s="1312">
        <f t="shared" si="86"/>
        <v>0</v>
      </c>
      <c r="AH303" s="1312" t="e">
        <f t="shared" si="86"/>
        <v>#DIV/0!</v>
      </c>
    </row>
    <row r="304" spans="1:36" s="1304" customFormat="1" ht="26.25" thickBot="1" x14ac:dyDescent="0.25">
      <c r="A304" s="1303"/>
      <c r="C304" s="1305" t="str">
        <f>'TRAD-Children YEAR(1)'!B121</f>
        <v>Nb de cdt - Estimation période AVEC SS</v>
      </c>
      <c r="D304" s="1315">
        <f t="shared" ref="D304:U304" si="90">D302*D288</f>
        <v>0</v>
      </c>
      <c r="E304" s="1315">
        <f t="shared" si="90"/>
        <v>0</v>
      </c>
      <c r="F304" s="1315">
        <f t="shared" si="90"/>
        <v>0</v>
      </c>
      <c r="G304" s="1315">
        <f t="shared" si="90"/>
        <v>0</v>
      </c>
      <c r="H304" s="1315">
        <f t="shared" si="90"/>
        <v>0</v>
      </c>
      <c r="I304" s="1315" t="e">
        <f t="shared" si="90"/>
        <v>#DIV/0!</v>
      </c>
      <c r="J304" s="1315" t="e">
        <f t="shared" si="90"/>
        <v>#DIV/0!</v>
      </c>
      <c r="K304" s="1316" t="e">
        <f t="shared" si="90"/>
        <v>#DIV/0!</v>
      </c>
      <c r="L304" s="1317">
        <f t="shared" si="90"/>
        <v>0</v>
      </c>
      <c r="M304" s="1315" t="e">
        <f t="shared" si="90"/>
        <v>#DIV/0!</v>
      </c>
      <c r="N304" s="1315">
        <f t="shared" si="90"/>
        <v>0</v>
      </c>
      <c r="O304" s="1315" t="e">
        <f t="shared" si="90"/>
        <v>#DIV/0!</v>
      </c>
      <c r="P304" s="1315">
        <f t="shared" si="90"/>
        <v>0</v>
      </c>
      <c r="Q304" s="1315">
        <f t="shared" si="90"/>
        <v>0</v>
      </c>
      <c r="R304" s="1315">
        <f t="shared" ref="R304" si="91">R302*R288</f>
        <v>0</v>
      </c>
      <c r="S304" s="1315">
        <f t="shared" si="90"/>
        <v>0</v>
      </c>
      <c r="T304" s="1315">
        <f t="shared" si="90"/>
        <v>0</v>
      </c>
      <c r="U304" s="1315" t="e">
        <f t="shared" si="90"/>
        <v>#DIV/0!</v>
      </c>
      <c r="V304" s="1315" t="e">
        <f t="shared" ref="V304:AH304" si="92">V302*V288</f>
        <v>#DIV/0!</v>
      </c>
      <c r="W304" s="1315">
        <f t="shared" ref="W304:Y304" si="93">W302*W288</f>
        <v>0</v>
      </c>
      <c r="X304" s="1315">
        <f t="shared" ref="X304" si="94">X302*X288</f>
        <v>0</v>
      </c>
      <c r="Y304" s="1315">
        <f t="shared" si="93"/>
        <v>0</v>
      </c>
      <c r="Z304" s="1315">
        <f t="shared" si="92"/>
        <v>0</v>
      </c>
      <c r="AA304" s="1315">
        <f t="shared" si="92"/>
        <v>0</v>
      </c>
      <c r="AB304" s="1315">
        <f t="shared" si="92"/>
        <v>0</v>
      </c>
      <c r="AC304" s="1315">
        <f t="shared" si="92"/>
        <v>0</v>
      </c>
      <c r="AD304" s="1315">
        <f t="shared" si="92"/>
        <v>0</v>
      </c>
      <c r="AE304" s="1315" t="e">
        <f t="shared" ref="AE304" si="95">AE302*AE288</f>
        <v>#DIV/0!</v>
      </c>
      <c r="AF304" s="1315" t="e">
        <f t="shared" si="92"/>
        <v>#DIV/0!</v>
      </c>
      <c r="AG304" s="1315">
        <f t="shared" si="92"/>
        <v>0</v>
      </c>
      <c r="AH304" s="1315" t="e">
        <f t="shared" si="92"/>
        <v>#DIV/0!</v>
      </c>
    </row>
    <row r="305" spans="1:36" s="1279" customFormat="1" x14ac:dyDescent="0.2">
      <c r="A305" s="1282"/>
    </row>
    <row r="306" spans="1:36" s="1279" customFormat="1" ht="13.5" thickBot="1" x14ac:dyDescent="0.25">
      <c r="A306" s="1282"/>
    </row>
    <row r="307" spans="1:36" s="1279" customFormat="1" ht="13.5" thickBot="1" x14ac:dyDescent="0.25">
      <c r="A307" s="1282"/>
      <c r="B307" s="1283" t="str">
        <f>'TRAD-Children YEAR(1)'!B125</f>
        <v>Tranche 15 -19,9 kg</v>
      </c>
      <c r="C307" s="1284"/>
      <c r="D307" s="1285"/>
      <c r="E307" s="1285"/>
      <c r="F307" s="1285"/>
      <c r="G307" s="1285"/>
      <c r="H307" s="1285"/>
      <c r="I307" s="1286"/>
    </row>
    <row r="308" spans="1:36" s="1279" customFormat="1" ht="13.5" thickBot="1" x14ac:dyDescent="0.25">
      <c r="A308" s="1282"/>
      <c r="B308" s="1323"/>
      <c r="C308" s="1324"/>
      <c r="D308" s="1325"/>
      <c r="E308" s="1325"/>
      <c r="F308" s="1325"/>
      <c r="G308" s="1325"/>
      <c r="H308" s="1325"/>
      <c r="I308" s="1325"/>
    </row>
    <row r="309" spans="1:36" s="1279" customFormat="1" ht="26.25" thickBot="1" x14ac:dyDescent="0.25">
      <c r="A309" s="1282"/>
      <c r="D309" s="1287" t="str">
        <f>'TRAD-Children YEAR(1)'!B90</f>
        <v>Solutions buvables</v>
      </c>
      <c r="E309" s="1288"/>
      <c r="F309" s="1288"/>
      <c r="G309" s="1288"/>
      <c r="H309" s="1288"/>
      <c r="I309" s="1288"/>
      <c r="J309" s="1284"/>
      <c r="K309" s="1284"/>
      <c r="L309" s="1289" t="str">
        <f>'TRAD-Children YEAR(1)'!B91</f>
        <v>Comprimés</v>
      </c>
      <c r="M309" s="1284"/>
      <c r="N309" s="1284"/>
      <c r="O309" s="1284"/>
      <c r="P309" s="1284"/>
      <c r="Q309" s="1284"/>
      <c r="R309" s="1284"/>
      <c r="S309" s="1284"/>
      <c r="T309" s="1284"/>
      <c r="U309" s="1284"/>
      <c r="V309" s="1284"/>
      <c r="W309" s="1945"/>
      <c r="X309" s="1945"/>
      <c r="Y309" s="1945"/>
      <c r="Z309" s="1284"/>
      <c r="AA309" s="1284"/>
      <c r="AB309" s="1284"/>
      <c r="AC309" s="1284"/>
      <c r="AD309" s="1284"/>
      <c r="AE309" s="1284"/>
      <c r="AF309" s="1284"/>
      <c r="AG309" s="1284"/>
      <c r="AH309" s="1284"/>
    </row>
    <row r="310" spans="1:36" s="1292" customFormat="1" ht="25.5" x14ac:dyDescent="0.2">
      <c r="A310" s="1291"/>
      <c r="C310" s="1332" t="str">
        <f>'TRAD-Children YEAR(1)'!B113</f>
        <v>Nb de boites / mois pour l'ensemble des patients</v>
      </c>
      <c r="D310" s="1329" t="s">
        <v>39</v>
      </c>
      <c r="E310" s="1329" t="s">
        <v>61</v>
      </c>
      <c r="F310" s="1329" t="s">
        <v>15</v>
      </c>
      <c r="G310" s="1329" t="s">
        <v>25</v>
      </c>
      <c r="H310" s="1329" t="s">
        <v>28</v>
      </c>
      <c r="I310" s="1329" t="s">
        <v>19</v>
      </c>
      <c r="J310" s="1329" t="s">
        <v>17</v>
      </c>
      <c r="K310" s="1333" t="s">
        <v>33</v>
      </c>
      <c r="L310" s="1334" t="s">
        <v>7</v>
      </c>
      <c r="M310" s="1330" t="s">
        <v>386</v>
      </c>
      <c r="N310" s="1330" t="s">
        <v>11</v>
      </c>
      <c r="O310" s="1330" t="s">
        <v>387</v>
      </c>
      <c r="P310" s="1330" t="s">
        <v>50</v>
      </c>
      <c r="Q310" s="1330" t="s">
        <v>392</v>
      </c>
      <c r="R310" s="1330" t="s">
        <v>81</v>
      </c>
      <c r="S310" s="1330" t="s">
        <v>140</v>
      </c>
      <c r="T310" s="1330" t="s">
        <v>635</v>
      </c>
      <c r="U310" s="1330" t="s">
        <v>586</v>
      </c>
      <c r="V310" s="1330" t="s">
        <v>575</v>
      </c>
      <c r="W310" s="1946"/>
      <c r="X310" s="1946"/>
      <c r="Y310" s="1946"/>
      <c r="Z310" s="1422" t="s">
        <v>15</v>
      </c>
      <c r="AA310" s="1330" t="s">
        <v>25</v>
      </c>
      <c r="AB310" s="1330" t="s">
        <v>648</v>
      </c>
      <c r="AC310" s="1330" t="s">
        <v>28</v>
      </c>
      <c r="AD310" s="1422" t="s">
        <v>19</v>
      </c>
      <c r="AE310" s="1586" t="s">
        <v>19</v>
      </c>
      <c r="AF310" s="1422" t="s">
        <v>17</v>
      </c>
      <c r="AG310" s="1330" t="s">
        <v>33</v>
      </c>
      <c r="AH310" s="1335" t="s">
        <v>638</v>
      </c>
    </row>
    <row r="311" spans="1:36" s="1292" customFormat="1" ht="77.25" thickBot="1" x14ac:dyDescent="0.25">
      <c r="A311" s="1291"/>
      <c r="C311" s="1332" t="str">
        <f>'TRAD-Children YEAR(1)'!B114</f>
        <v>Dosage</v>
      </c>
      <c r="D311" s="1329" t="s">
        <v>41</v>
      </c>
      <c r="E311" s="1329" t="s">
        <v>41</v>
      </c>
      <c r="F311" s="1329" t="s">
        <v>41</v>
      </c>
      <c r="G311" s="1329" t="s">
        <v>44</v>
      </c>
      <c r="H311" s="1329" t="s">
        <v>46</v>
      </c>
      <c r="I311" s="1329" t="s">
        <v>41</v>
      </c>
      <c r="J311" s="1329" t="s">
        <v>259</v>
      </c>
      <c r="K311" s="1333" t="s">
        <v>47</v>
      </c>
      <c r="L311" s="1336" t="s">
        <v>9</v>
      </c>
      <c r="M311" s="1331" t="s">
        <v>384</v>
      </c>
      <c r="N311" s="1331" t="s">
        <v>12</v>
      </c>
      <c r="O311" s="1331" t="s">
        <v>382</v>
      </c>
      <c r="P311" s="1331" t="s">
        <v>80</v>
      </c>
      <c r="Q311" s="1331" t="s">
        <v>131</v>
      </c>
      <c r="R311" s="1331" t="s">
        <v>733</v>
      </c>
      <c r="S311" s="1331" t="s">
        <v>334</v>
      </c>
      <c r="T311" s="1331" t="s">
        <v>636</v>
      </c>
      <c r="U311" s="1331" t="s">
        <v>649</v>
      </c>
      <c r="V311" s="1331" t="s">
        <v>636</v>
      </c>
      <c r="W311" s="1331"/>
      <c r="X311" s="1331"/>
      <c r="Y311" s="1331"/>
      <c r="Z311" s="1424" t="s">
        <v>16</v>
      </c>
      <c r="AA311" s="1331" t="s">
        <v>23</v>
      </c>
      <c r="AB311" s="1331" t="s">
        <v>639</v>
      </c>
      <c r="AC311" s="1331" t="s">
        <v>29</v>
      </c>
      <c r="AD311" s="1424" t="s">
        <v>20</v>
      </c>
      <c r="AE311" s="1424" t="s">
        <v>248</v>
      </c>
      <c r="AF311" s="1424" t="s">
        <v>20</v>
      </c>
      <c r="AG311" s="1331" t="s">
        <v>34</v>
      </c>
      <c r="AH311" s="1337" t="s">
        <v>637</v>
      </c>
      <c r="AI311" s="1320" t="str">
        <f>'TRAD-Children YEAR(1)'!B126</f>
        <v>Répartition des patients mois / tranches de poids</v>
      </c>
    </row>
    <row r="312" spans="1:36" s="1279" customFormat="1" ht="26.25" thickBot="1" x14ac:dyDescent="0.25">
      <c r="A312" s="1282"/>
      <c r="C312" s="1332" t="str">
        <f>'TRAD-Children YEAR(1)'!B115</f>
        <v>Nb de cdt/mois pour la tranche</v>
      </c>
      <c r="D312" s="1404">
        <f t="array" ref="D312:AH312">TRANSPOSE($F$224:$F$254)</f>
        <v>3.75</v>
      </c>
      <c r="E312" s="1404">
        <v>3.75</v>
      </c>
      <c r="F312" s="1404">
        <v>1.875</v>
      </c>
      <c r="G312" s="1404">
        <v>1.875</v>
      </c>
      <c r="H312" s="1404">
        <v>3</v>
      </c>
      <c r="I312" s="1404">
        <v>3</v>
      </c>
      <c r="J312" s="1404">
        <v>2.1666666666666665</v>
      </c>
      <c r="K312" s="1405">
        <v>2.5</v>
      </c>
      <c r="L312" s="1406">
        <v>1</v>
      </c>
      <c r="M312" s="1407">
        <v>2.5</v>
      </c>
      <c r="N312" s="1407">
        <v>1</v>
      </c>
      <c r="O312" s="1407">
        <v>2.5</v>
      </c>
      <c r="P312" s="1407">
        <v>1</v>
      </c>
      <c r="Q312" s="1407">
        <v>2.5</v>
      </c>
      <c r="R312" s="1407">
        <v>2.5</v>
      </c>
      <c r="S312" s="1407">
        <v>1</v>
      </c>
      <c r="T312" s="1407">
        <v>2.5</v>
      </c>
      <c r="U312" s="1407">
        <v>1</v>
      </c>
      <c r="V312" s="1407">
        <v>2.5</v>
      </c>
      <c r="W312" s="1407">
        <v>0</v>
      </c>
      <c r="X312" s="1407">
        <v>0</v>
      </c>
      <c r="Y312" s="1407">
        <v>0</v>
      </c>
      <c r="Z312" s="1407">
        <v>0.5</v>
      </c>
      <c r="AA312" s="1407">
        <v>0.5</v>
      </c>
      <c r="AB312" s="1407">
        <v>2.5</v>
      </c>
      <c r="AC312" s="1407">
        <v>0</v>
      </c>
      <c r="AD312" s="1407">
        <v>0.75</v>
      </c>
      <c r="AE312" s="1407">
        <v>2.5</v>
      </c>
      <c r="AF312" s="1407">
        <v>1.5</v>
      </c>
      <c r="AG312" s="1407">
        <v>0.5</v>
      </c>
      <c r="AH312" s="1407">
        <v>2</v>
      </c>
      <c r="AI312" s="1338" t="s">
        <v>659</v>
      </c>
      <c r="AJ312" s="1281"/>
    </row>
    <row r="313" spans="1:36" s="1279" customFormat="1" ht="63.75" x14ac:dyDescent="0.2">
      <c r="A313" s="1282"/>
      <c r="B313" s="1293" t="str">
        <f>'TRAD-Children YEAR(1)'!B6</f>
        <v>Schéma thérapeutique</v>
      </c>
      <c r="C313" s="1332" t="str">
        <f>'TRAD-Children YEAR(1)'!B116</f>
        <v>Premières lignes</v>
      </c>
      <c r="D313" s="1297"/>
      <c r="E313" s="1297"/>
      <c r="F313" s="1297"/>
      <c r="G313" s="1297"/>
      <c r="H313" s="1297"/>
      <c r="I313" s="1297"/>
      <c r="J313" s="1297"/>
      <c r="K313" s="1298"/>
      <c r="L313" s="1299"/>
      <c r="M313" s="1297"/>
      <c r="N313" s="1297"/>
      <c r="O313" s="1297"/>
      <c r="P313" s="1297"/>
      <c r="Q313" s="1297"/>
      <c r="R313" s="1297"/>
      <c r="S313" s="1297"/>
      <c r="T313" s="1297"/>
      <c r="U313" s="1297"/>
      <c r="V313" s="1297"/>
      <c r="W313" s="1297"/>
      <c r="X313" s="1297"/>
      <c r="Y313" s="1297"/>
      <c r="Z313" s="1297"/>
      <c r="AA313" s="1297"/>
      <c r="AB313" s="1297"/>
      <c r="AC313" s="1297"/>
      <c r="AD313" s="1297"/>
      <c r="AE313" s="1297"/>
      <c r="AF313" s="1297"/>
      <c r="AG313" s="1297"/>
      <c r="AH313" s="1297"/>
      <c r="AI313" s="1318" t="str">
        <f>'TRAD-Children YEAR(1)'!B122</f>
        <v>nb de patients mois période quantifiée</v>
      </c>
      <c r="AJ313" s="1318" t="str">
        <f>'TRAD-Children YEAR(1)'!B123</f>
        <v>nb de patients mois avec période de sécurité</v>
      </c>
    </row>
    <row r="314" spans="1:36" s="1279" customFormat="1" ht="15" x14ac:dyDescent="0.25">
      <c r="A314" s="1282"/>
      <c r="C314" s="1319" t="str">
        <f t="array" ref="C314:C319">'Data &amp; hypothesis Children'!$C$26:$C$31</f>
        <v>D4T+3TC+NVP</v>
      </c>
      <c r="D314" s="1175">
        <f>'Data &amp; hypothesis Children'!C155</f>
        <v>0</v>
      </c>
      <c r="E314" s="1175">
        <f>'Data &amp; hypothesis Children'!D155</f>
        <v>0</v>
      </c>
      <c r="F314" s="1175">
        <f>'Data &amp; hypothesis Children'!E155</f>
        <v>0</v>
      </c>
      <c r="G314" s="1175">
        <f>'Data &amp; hypothesis Children'!F155</f>
        <v>0</v>
      </c>
      <c r="H314" s="1175">
        <f>'Data &amp; hypothesis Children'!G155</f>
        <v>0</v>
      </c>
      <c r="I314" s="1175">
        <f>'Data &amp; hypothesis Children'!H155</f>
        <v>0</v>
      </c>
      <c r="J314" s="1175">
        <f>'Data &amp; hypothesis Children'!I155</f>
        <v>0</v>
      </c>
      <c r="K314" s="1413">
        <f>'Data &amp; hypothesis Children'!J155</f>
        <v>0</v>
      </c>
      <c r="L314" s="1414">
        <f>'Data &amp; hypothesis Children'!K155</f>
        <v>0</v>
      </c>
      <c r="M314" s="1175">
        <f>'Data &amp; hypothesis Children'!L155</f>
        <v>0</v>
      </c>
      <c r="N314" s="1175">
        <f>'Data &amp; hypothesis Children'!M155</f>
        <v>0</v>
      </c>
      <c r="O314" s="1175">
        <f>'Data &amp; hypothesis Children'!N155</f>
        <v>0</v>
      </c>
      <c r="P314" s="1175">
        <f>'Data &amp; hypothesis Children'!O155</f>
        <v>0</v>
      </c>
      <c r="Q314" s="1175" t="str">
        <f>'Data &amp; hypothesis Children'!P155</f>
        <v>X</v>
      </c>
      <c r="R314" s="1175">
        <f>'Data &amp; hypothesis Children'!Q155</f>
        <v>0</v>
      </c>
      <c r="S314" s="1175">
        <f>'Data &amp; hypothesis Children'!R155</f>
        <v>0</v>
      </c>
      <c r="T314" s="1175">
        <f>'Data &amp; hypothesis Children'!S155</f>
        <v>0</v>
      </c>
      <c r="U314" s="1175">
        <f>'Data &amp; hypothesis Children'!T155</f>
        <v>0</v>
      </c>
      <c r="V314" s="1175">
        <f>'Data &amp; hypothesis Children'!U155</f>
        <v>0</v>
      </c>
      <c r="W314" s="1175">
        <f>'Data &amp; hypothesis Children'!V155</f>
        <v>0</v>
      </c>
      <c r="X314" s="1175">
        <f>'Data &amp; hypothesis Children'!W155</f>
        <v>0</v>
      </c>
      <c r="Y314" s="1175">
        <f>'Data &amp; hypothesis Children'!X155</f>
        <v>0</v>
      </c>
      <c r="Z314" s="1175">
        <f>'Data &amp; hypothesis Children'!Y155</f>
        <v>0</v>
      </c>
      <c r="AA314" s="1175">
        <f>'Data &amp; hypothesis Children'!Z155</f>
        <v>0</v>
      </c>
      <c r="AB314" s="1175">
        <f>'Data &amp; hypothesis Children'!AA155</f>
        <v>0</v>
      </c>
      <c r="AC314" s="1175">
        <f>'Data &amp; hypothesis Children'!AB155</f>
        <v>0</v>
      </c>
      <c r="AD314" s="1175">
        <f>'Data &amp; hypothesis Children'!AC155</f>
        <v>0</v>
      </c>
      <c r="AE314" s="1175">
        <f>'Data &amp; hypothesis Children'!AD155</f>
        <v>0</v>
      </c>
      <c r="AF314" s="1175">
        <f>'Data &amp; hypothesis Children'!AE155</f>
        <v>0</v>
      </c>
      <c r="AG314" s="1175">
        <f>'Data &amp; hypothesis Children'!AF155</f>
        <v>0</v>
      </c>
      <c r="AH314" s="1415">
        <f>'Data &amp; hypothesis Children'!AG155</f>
        <v>0</v>
      </c>
      <c r="AI314" s="1339" t="e">
        <f t="shared" ref="AI314:AI319" si="96">H69</f>
        <v>#DIV/0!</v>
      </c>
      <c r="AJ314" s="1340" t="e">
        <f t="shared" ref="AJ314:AJ319" si="97">H85</f>
        <v>#DIV/0!</v>
      </c>
    </row>
    <row r="315" spans="1:36" s="1279" customFormat="1" ht="15" x14ac:dyDescent="0.25">
      <c r="A315" s="1282"/>
      <c r="C315" s="1319" t="str">
        <v>AZT+3TC+NVP</v>
      </c>
      <c r="D315" s="1175">
        <f>'Data &amp; hypothesis Children'!C156</f>
        <v>0</v>
      </c>
      <c r="E315" s="1175">
        <f>'Data &amp; hypothesis Children'!D156</f>
        <v>0</v>
      </c>
      <c r="F315" s="1175">
        <f>'Data &amp; hypothesis Children'!E156</f>
        <v>0</v>
      </c>
      <c r="G315" s="1175">
        <f>'Data &amp; hypothesis Children'!F156</f>
        <v>0</v>
      </c>
      <c r="H315" s="1175">
        <f>'Data &amp; hypothesis Children'!G156</f>
        <v>0</v>
      </c>
      <c r="I315" s="1175">
        <f>'Data &amp; hypothesis Children'!H156</f>
        <v>0</v>
      </c>
      <c r="J315" s="1175">
        <f>'Data &amp; hypothesis Children'!I156</f>
        <v>0</v>
      </c>
      <c r="K315" s="1413">
        <f>'Data &amp; hypothesis Children'!J156</f>
        <v>0</v>
      </c>
      <c r="L315" s="1414">
        <f>'Data &amp; hypothesis Children'!K156</f>
        <v>0</v>
      </c>
      <c r="M315" s="1175" t="str">
        <f>'Data &amp; hypothesis Children'!L156</f>
        <v>X</v>
      </c>
      <c r="N315" s="1175">
        <f>'Data &amp; hypothesis Children'!M156</f>
        <v>0</v>
      </c>
      <c r="O315" s="1175">
        <f>'Data &amp; hypothesis Children'!N156</f>
        <v>0</v>
      </c>
      <c r="P315" s="1175">
        <f>'Data &amp; hypothesis Children'!O156</f>
        <v>0</v>
      </c>
      <c r="Q315" s="1175">
        <f>'Data &amp; hypothesis Children'!P156</f>
        <v>0</v>
      </c>
      <c r="R315" s="1175">
        <f>'Data &amp; hypothesis Children'!Q156</f>
        <v>0</v>
      </c>
      <c r="S315" s="1175">
        <f>'Data &amp; hypothesis Children'!R156</f>
        <v>0</v>
      </c>
      <c r="T315" s="1175">
        <f>'Data &amp; hypothesis Children'!S156</f>
        <v>0</v>
      </c>
      <c r="U315" s="1175">
        <f>'Data &amp; hypothesis Children'!T156</f>
        <v>0</v>
      </c>
      <c r="V315" s="1175">
        <f>'Data &amp; hypothesis Children'!U156</f>
        <v>0</v>
      </c>
      <c r="W315" s="1175">
        <f>'Data &amp; hypothesis Children'!V156</f>
        <v>0</v>
      </c>
      <c r="X315" s="1175">
        <f>'Data &amp; hypothesis Children'!W156</f>
        <v>0</v>
      </c>
      <c r="Y315" s="1175">
        <f>'Data &amp; hypothesis Children'!X156</f>
        <v>0</v>
      </c>
      <c r="Z315" s="1175">
        <f>'Data &amp; hypothesis Children'!Y156</f>
        <v>0</v>
      </c>
      <c r="AA315" s="1175">
        <f>'Data &amp; hypothesis Children'!Z156</f>
        <v>0</v>
      </c>
      <c r="AB315" s="1175">
        <f>'Data &amp; hypothesis Children'!AA156</f>
        <v>0</v>
      </c>
      <c r="AC315" s="1175">
        <f>'Data &amp; hypothesis Children'!AB156</f>
        <v>0</v>
      </c>
      <c r="AD315" s="1175">
        <f>'Data &amp; hypothesis Children'!AC156</f>
        <v>0</v>
      </c>
      <c r="AE315" s="1175">
        <f>'Data &amp; hypothesis Children'!AD156</f>
        <v>0</v>
      </c>
      <c r="AF315" s="1175">
        <f>'Data &amp; hypothesis Children'!AE156</f>
        <v>0</v>
      </c>
      <c r="AG315" s="1175">
        <f>'Data &amp; hypothesis Children'!AF156</f>
        <v>0</v>
      </c>
      <c r="AH315" s="1415">
        <f>'Data &amp; hypothesis Children'!AG156</f>
        <v>0</v>
      </c>
      <c r="AI315" s="1339" t="e">
        <f t="shared" si="96"/>
        <v>#DIV/0!</v>
      </c>
      <c r="AJ315" s="1340" t="e">
        <f t="shared" si="97"/>
        <v>#DIV/0!</v>
      </c>
    </row>
    <row r="316" spans="1:36" s="1279" customFormat="1" ht="15" x14ac:dyDescent="0.25">
      <c r="A316" s="1282"/>
      <c r="C316" s="1319" t="str">
        <v>AZT+3TC+EFV</v>
      </c>
      <c r="D316" s="1175">
        <f>'Data &amp; hypothesis Children'!C157</f>
        <v>0</v>
      </c>
      <c r="E316" s="1175">
        <f>'Data &amp; hypothesis Children'!D157</f>
        <v>0</v>
      </c>
      <c r="F316" s="1175">
        <f>'Data &amp; hypothesis Children'!E157</f>
        <v>0</v>
      </c>
      <c r="G316" s="1175">
        <f>'Data &amp; hypothesis Children'!F157</f>
        <v>0</v>
      </c>
      <c r="H316" s="1175">
        <f>'Data &amp; hypothesis Children'!G157</f>
        <v>0</v>
      </c>
      <c r="I316" s="1175">
        <f>'Data &amp; hypothesis Children'!H157</f>
        <v>0</v>
      </c>
      <c r="J316" s="1175">
        <f>'Data &amp; hypothesis Children'!I157</f>
        <v>0</v>
      </c>
      <c r="K316" s="1413">
        <f>'Data &amp; hypothesis Children'!J157</f>
        <v>0</v>
      </c>
      <c r="L316" s="1414">
        <f>'Data &amp; hypothesis Children'!K157</f>
        <v>0</v>
      </c>
      <c r="M316" s="1175">
        <f>'Data &amp; hypothesis Children'!L157</f>
        <v>0</v>
      </c>
      <c r="N316" s="1175">
        <f>'Data &amp; hypothesis Children'!M157</f>
        <v>0</v>
      </c>
      <c r="O316" s="1175" t="str">
        <f>'Data &amp; hypothesis Children'!N157</f>
        <v>X</v>
      </c>
      <c r="P316" s="1175">
        <f>'Data &amp; hypothesis Children'!O157</f>
        <v>0</v>
      </c>
      <c r="Q316" s="1175">
        <f>'Data &amp; hypothesis Children'!P157</f>
        <v>0</v>
      </c>
      <c r="R316" s="1175">
        <f>'Data &amp; hypothesis Children'!Q157</f>
        <v>0</v>
      </c>
      <c r="S316" s="1175">
        <f>'Data &amp; hypothesis Children'!R157</f>
        <v>0</v>
      </c>
      <c r="T316" s="1175">
        <f>'Data &amp; hypothesis Children'!S157</f>
        <v>0</v>
      </c>
      <c r="U316" s="1175">
        <f>'Data &amp; hypothesis Children'!T157</f>
        <v>0</v>
      </c>
      <c r="V316" s="1175">
        <f>'Data &amp; hypothesis Children'!U157</f>
        <v>0</v>
      </c>
      <c r="W316" s="1175">
        <f>'Data &amp; hypothesis Children'!V157</f>
        <v>0</v>
      </c>
      <c r="X316" s="1175">
        <f>'Data &amp; hypothesis Children'!W157</f>
        <v>0</v>
      </c>
      <c r="Y316" s="1175">
        <f>'Data &amp; hypothesis Children'!X157</f>
        <v>0</v>
      </c>
      <c r="Z316" s="1175">
        <f>'Data &amp; hypothesis Children'!Y157</f>
        <v>0</v>
      </c>
      <c r="AA316" s="1175">
        <f>'Data &amp; hypothesis Children'!Z157</f>
        <v>0</v>
      </c>
      <c r="AB316" s="1175">
        <f>'Data &amp; hypothesis Children'!AA157</f>
        <v>0</v>
      </c>
      <c r="AC316" s="1175">
        <f>'Data &amp; hypothesis Children'!AB157</f>
        <v>0</v>
      </c>
      <c r="AD316" s="1175">
        <f>'Data &amp; hypothesis Children'!AC157</f>
        <v>0</v>
      </c>
      <c r="AE316" s="1175">
        <f>'Data &amp; hypothesis Children'!AD157</f>
        <v>0</v>
      </c>
      <c r="AF316" s="1175" t="str">
        <f>'Data &amp; hypothesis Children'!AE157</f>
        <v>X</v>
      </c>
      <c r="AG316" s="1175">
        <f>'Data &amp; hypothesis Children'!AF157</f>
        <v>0</v>
      </c>
      <c r="AH316" s="1415">
        <f>'Data &amp; hypothesis Children'!AG157</f>
        <v>0</v>
      </c>
      <c r="AI316" s="1339" t="e">
        <f t="shared" si="96"/>
        <v>#DIV/0!</v>
      </c>
      <c r="AJ316" s="1340" t="e">
        <f t="shared" si="97"/>
        <v>#DIV/0!</v>
      </c>
    </row>
    <row r="317" spans="1:36" s="1279" customFormat="1" ht="15" x14ac:dyDescent="0.25">
      <c r="A317" s="1282"/>
      <c r="C317" s="1319" t="str">
        <v>LPV/r+3TC+ABC</v>
      </c>
      <c r="D317" s="1175">
        <f>'Data &amp; hypothesis Children'!C158</f>
        <v>0</v>
      </c>
      <c r="E317" s="1175">
        <f>'Data &amp; hypothesis Children'!D158</f>
        <v>0</v>
      </c>
      <c r="F317" s="1175">
        <f>'Data &amp; hypothesis Children'!E158</f>
        <v>0</v>
      </c>
      <c r="G317" s="1175">
        <f>'Data &amp; hypothesis Children'!F158</f>
        <v>0</v>
      </c>
      <c r="H317" s="1175">
        <f>'Data &amp; hypothesis Children'!G158</f>
        <v>0</v>
      </c>
      <c r="I317" s="1175">
        <f>'Data &amp; hypothesis Children'!H158</f>
        <v>0</v>
      </c>
      <c r="J317" s="1175">
        <f>'Data &amp; hypothesis Children'!I158</f>
        <v>0</v>
      </c>
      <c r="K317" s="1413">
        <f>'Data &amp; hypothesis Children'!J158</f>
        <v>0</v>
      </c>
      <c r="L317" s="1414">
        <f>'Data &amp; hypothesis Children'!K158</f>
        <v>0</v>
      </c>
      <c r="M317" s="1175">
        <f>'Data &amp; hypothesis Children'!L158</f>
        <v>0</v>
      </c>
      <c r="N317" s="1175">
        <f>'Data &amp; hypothesis Children'!M158</f>
        <v>0</v>
      </c>
      <c r="O317" s="1175">
        <f>'Data &amp; hypothesis Children'!N158</f>
        <v>0</v>
      </c>
      <c r="P317" s="1175">
        <f>'Data &amp; hypothesis Children'!O158</f>
        <v>0</v>
      </c>
      <c r="Q317" s="1175">
        <f>'Data &amp; hypothesis Children'!P158</f>
        <v>0</v>
      </c>
      <c r="R317" s="1175">
        <f>'Data &amp; hypothesis Children'!Q158</f>
        <v>0</v>
      </c>
      <c r="S317" s="1175">
        <f>'Data &amp; hypothesis Children'!R158</f>
        <v>0</v>
      </c>
      <c r="T317" s="1175">
        <f>'Data &amp; hypothesis Children'!S158</f>
        <v>0</v>
      </c>
      <c r="U317" s="1175">
        <f>'Data &amp; hypothesis Children'!T158</f>
        <v>0</v>
      </c>
      <c r="V317" s="1175">
        <f>'Data &amp; hypothesis Children'!U158</f>
        <v>0</v>
      </c>
      <c r="W317" s="1175">
        <f>'Data &amp; hypothesis Children'!V158</f>
        <v>0</v>
      </c>
      <c r="X317" s="1175">
        <f>'Data &amp; hypothesis Children'!W158</f>
        <v>0</v>
      </c>
      <c r="Y317" s="1175">
        <f>'Data &amp; hypothesis Children'!X158</f>
        <v>0</v>
      </c>
      <c r="Z317" s="1175">
        <f>'Data &amp; hypothesis Children'!Y158</f>
        <v>0</v>
      </c>
      <c r="AA317" s="1175">
        <f>'Data &amp; hypothesis Children'!Z158</f>
        <v>0</v>
      </c>
      <c r="AB317" s="1175">
        <f>'Data &amp; hypothesis Children'!AA158</f>
        <v>0</v>
      </c>
      <c r="AC317" s="1175">
        <f>'Data &amp; hypothesis Children'!AB158</f>
        <v>0</v>
      </c>
      <c r="AD317" s="1175">
        <f>'Data &amp; hypothesis Children'!AC158</f>
        <v>0</v>
      </c>
      <c r="AE317" s="1175">
        <f>'Data &amp; hypothesis Children'!AD158</f>
        <v>0</v>
      </c>
      <c r="AF317" s="1175">
        <f>'Data &amp; hypothesis Children'!AE158</f>
        <v>0</v>
      </c>
      <c r="AG317" s="1175">
        <f>'Data &amp; hypothesis Children'!AF158</f>
        <v>0</v>
      </c>
      <c r="AH317" s="1415">
        <f>'Data &amp; hypothesis Children'!AG158</f>
        <v>0</v>
      </c>
      <c r="AI317" s="1339" t="e">
        <f t="shared" si="96"/>
        <v>#DIV/0!</v>
      </c>
      <c r="AJ317" s="1340" t="e">
        <f t="shared" si="97"/>
        <v>#DIV/0!</v>
      </c>
    </row>
    <row r="318" spans="1:36" s="1279" customFormat="1" ht="15" x14ac:dyDescent="0.25">
      <c r="A318" s="1282"/>
      <c r="C318" s="1319" t="str">
        <v>ABC+3TC+NVP</v>
      </c>
      <c r="D318" s="1175">
        <f>'Data &amp; hypothesis Children'!C159</f>
        <v>0</v>
      </c>
      <c r="E318" s="1175">
        <f>'Data &amp; hypothesis Children'!D159</f>
        <v>0</v>
      </c>
      <c r="F318" s="1175">
        <f>'Data &amp; hypothesis Children'!E159</f>
        <v>0</v>
      </c>
      <c r="G318" s="1175">
        <f>'Data &amp; hypothesis Children'!F159</f>
        <v>0</v>
      </c>
      <c r="H318" s="1175">
        <f>'Data &amp; hypothesis Children'!G159</f>
        <v>0</v>
      </c>
      <c r="I318" s="1175">
        <f>'Data &amp; hypothesis Children'!H159</f>
        <v>0</v>
      </c>
      <c r="J318" s="1175">
        <f>'Data &amp; hypothesis Children'!I159</f>
        <v>0</v>
      </c>
      <c r="K318" s="1413">
        <f>'Data &amp; hypothesis Children'!J159</f>
        <v>0</v>
      </c>
      <c r="L318" s="1414">
        <f>'Data &amp; hypothesis Children'!K159</f>
        <v>0</v>
      </c>
      <c r="M318" s="1175">
        <f>'Data &amp; hypothesis Children'!L159</f>
        <v>0</v>
      </c>
      <c r="N318" s="1175">
        <f>'Data &amp; hypothesis Children'!M159</f>
        <v>0</v>
      </c>
      <c r="O318" s="1175">
        <f>'Data &amp; hypothesis Children'!N159</f>
        <v>0</v>
      </c>
      <c r="P318" s="1175">
        <f>'Data &amp; hypothesis Children'!O159</f>
        <v>0</v>
      </c>
      <c r="Q318" s="1175">
        <f>'Data &amp; hypothesis Children'!P159</f>
        <v>0</v>
      </c>
      <c r="R318" s="1175">
        <f>'Data &amp; hypothesis Children'!Q159</f>
        <v>0</v>
      </c>
      <c r="S318" s="1175">
        <f>'Data &amp; hypothesis Children'!R159</f>
        <v>0</v>
      </c>
      <c r="T318" s="1175">
        <f>'Data &amp; hypothesis Children'!S159</f>
        <v>0</v>
      </c>
      <c r="U318" s="1175">
        <f>'Data &amp; hypothesis Children'!T159</f>
        <v>0</v>
      </c>
      <c r="V318" s="1175" t="str">
        <f>'Data &amp; hypothesis Children'!U159</f>
        <v>X</v>
      </c>
      <c r="W318" s="1175">
        <f>'Data &amp; hypothesis Children'!V159</f>
        <v>0</v>
      </c>
      <c r="X318" s="1175">
        <f>'Data &amp; hypothesis Children'!W159</f>
        <v>0</v>
      </c>
      <c r="Y318" s="1175">
        <f>'Data &amp; hypothesis Children'!X159</f>
        <v>0</v>
      </c>
      <c r="Z318" s="1175">
        <f>'Data &amp; hypothesis Children'!Y159</f>
        <v>0</v>
      </c>
      <c r="AA318" s="1175">
        <f>'Data &amp; hypothesis Children'!Z159</f>
        <v>0</v>
      </c>
      <c r="AB318" s="1175">
        <f>'Data &amp; hypothesis Children'!AA159</f>
        <v>0</v>
      </c>
      <c r="AC318" s="1175">
        <f>'Data &amp; hypothesis Children'!AB159</f>
        <v>0</v>
      </c>
      <c r="AD318" s="1175">
        <f>'Data &amp; hypothesis Children'!AC159</f>
        <v>0</v>
      </c>
      <c r="AE318" s="1175" t="str">
        <f>'Data &amp; hypothesis Children'!AD159</f>
        <v>X</v>
      </c>
      <c r="AF318" s="1175">
        <f>'Data &amp; hypothesis Children'!AE159</f>
        <v>0</v>
      </c>
      <c r="AG318" s="1175">
        <f>'Data &amp; hypothesis Children'!AF159</f>
        <v>0</v>
      </c>
      <c r="AH318" s="1415">
        <f>'Data &amp; hypothesis Children'!AG159</f>
        <v>0</v>
      </c>
      <c r="AI318" s="1339" t="e">
        <f t="shared" si="96"/>
        <v>#DIV/0!</v>
      </c>
      <c r="AJ318" s="1340" t="e">
        <f t="shared" si="97"/>
        <v>#DIV/0!</v>
      </c>
    </row>
    <row r="319" spans="1:36" s="1279" customFormat="1" ht="15" x14ac:dyDescent="0.25">
      <c r="A319" s="1282"/>
      <c r="C319" s="1319" t="str">
        <v>AZT+3TC+LPV/r</v>
      </c>
      <c r="D319" s="1175">
        <f>'Data &amp; hypothesis Children'!C160</f>
        <v>0</v>
      </c>
      <c r="E319" s="1175">
        <f>'Data &amp; hypothesis Children'!D160</f>
        <v>0</v>
      </c>
      <c r="F319" s="1175">
        <f>'Data &amp; hypothesis Children'!E160</f>
        <v>0</v>
      </c>
      <c r="G319" s="1175">
        <f>'Data &amp; hypothesis Children'!F160</f>
        <v>0</v>
      </c>
      <c r="H319" s="1175">
        <f>'Data &amp; hypothesis Children'!G160</f>
        <v>0</v>
      </c>
      <c r="I319" s="1175">
        <f>'Data &amp; hypothesis Children'!H160</f>
        <v>0</v>
      </c>
      <c r="J319" s="1175">
        <f>'Data &amp; hypothesis Children'!I160</f>
        <v>0</v>
      </c>
      <c r="K319" s="1413">
        <f>'Data &amp; hypothesis Children'!J160</f>
        <v>0</v>
      </c>
      <c r="L319" s="1414">
        <f>'Data &amp; hypothesis Children'!K160</f>
        <v>0</v>
      </c>
      <c r="M319" s="1175">
        <f>'Data &amp; hypothesis Children'!L160</f>
        <v>0</v>
      </c>
      <c r="N319" s="1175">
        <f>'Data &amp; hypothesis Children'!M160</f>
        <v>0</v>
      </c>
      <c r="O319" s="1175" t="str">
        <f>'Data &amp; hypothesis Children'!N160</f>
        <v>X</v>
      </c>
      <c r="P319" s="1175">
        <f>'Data &amp; hypothesis Children'!O160</f>
        <v>0</v>
      </c>
      <c r="Q319" s="1175">
        <f>'Data &amp; hypothesis Children'!P160</f>
        <v>0</v>
      </c>
      <c r="R319" s="1175">
        <f>'Data &amp; hypothesis Children'!Q160</f>
        <v>0</v>
      </c>
      <c r="S319" s="1175">
        <f>'Data &amp; hypothesis Children'!R160</f>
        <v>0</v>
      </c>
      <c r="T319" s="1175">
        <f>'Data &amp; hypothesis Children'!S160</f>
        <v>0</v>
      </c>
      <c r="U319" s="1175">
        <f>'Data &amp; hypothesis Children'!T160</f>
        <v>0</v>
      </c>
      <c r="V319" s="1175">
        <f>'Data &amp; hypothesis Children'!U160</f>
        <v>0</v>
      </c>
      <c r="W319" s="1175">
        <f>'Data &amp; hypothesis Children'!V160</f>
        <v>0</v>
      </c>
      <c r="X319" s="1175">
        <f>'Data &amp; hypothesis Children'!W160</f>
        <v>0</v>
      </c>
      <c r="Y319" s="1175">
        <f>'Data &amp; hypothesis Children'!X160</f>
        <v>0</v>
      </c>
      <c r="Z319" s="1175">
        <f>'Data &amp; hypothesis Children'!Y160</f>
        <v>0</v>
      </c>
      <c r="AA319" s="1175">
        <f>'Data &amp; hypothesis Children'!Z160</f>
        <v>0</v>
      </c>
      <c r="AB319" s="1175">
        <f>'Data &amp; hypothesis Children'!AA160</f>
        <v>0</v>
      </c>
      <c r="AC319" s="1175">
        <f>'Data &amp; hypothesis Children'!AB160</f>
        <v>0</v>
      </c>
      <c r="AD319" s="1175">
        <f>'Data &amp; hypothesis Children'!AC160</f>
        <v>0</v>
      </c>
      <c r="AE319" s="1175">
        <f>'Data &amp; hypothesis Children'!AD160</f>
        <v>0</v>
      </c>
      <c r="AF319" s="1175">
        <f>'Data &amp; hypothesis Children'!AE160</f>
        <v>0</v>
      </c>
      <c r="AG319" s="1175">
        <f>'Data &amp; hypothesis Children'!AF160</f>
        <v>0</v>
      </c>
      <c r="AH319" s="1415" t="str">
        <f>'Data &amp; hypothesis Children'!AG160</f>
        <v>X</v>
      </c>
      <c r="AI319" s="1339" t="e">
        <f t="shared" si="96"/>
        <v>#DIV/0!</v>
      </c>
      <c r="AJ319" s="1340" t="e">
        <f t="shared" si="97"/>
        <v>#DIV/0!</v>
      </c>
    </row>
    <row r="320" spans="1:36" s="1279" customFormat="1" x14ac:dyDescent="0.2">
      <c r="A320" s="1282"/>
      <c r="C320" s="1296" t="str">
        <f>'TRAD-Children YEAR(1)'!$B$117</f>
        <v>Deuxièmes lignes</v>
      </c>
      <c r="D320" s="1410"/>
      <c r="E320" s="1410"/>
      <c r="F320" s="1410"/>
      <c r="G320" s="1410"/>
      <c r="H320" s="1410"/>
      <c r="I320" s="1410"/>
      <c r="J320" s="1410"/>
      <c r="K320" s="1411"/>
      <c r="L320" s="1412"/>
      <c r="M320" s="1410"/>
      <c r="N320" s="1410"/>
      <c r="O320" s="1410"/>
      <c r="P320" s="1410"/>
      <c r="Q320" s="1410"/>
      <c r="R320" s="1410"/>
      <c r="S320" s="1410"/>
      <c r="T320" s="1410"/>
      <c r="U320" s="1410"/>
      <c r="V320" s="1410"/>
      <c r="W320" s="1410"/>
      <c r="X320" s="1410"/>
      <c r="Y320" s="1410"/>
      <c r="Z320" s="1410"/>
      <c r="AA320" s="1410"/>
      <c r="AB320" s="1410"/>
      <c r="AC320" s="1410"/>
      <c r="AD320" s="1410"/>
      <c r="AE320" s="1410"/>
      <c r="AF320" s="1410"/>
      <c r="AG320" s="1410"/>
      <c r="AH320" s="1416"/>
      <c r="AI320" s="1339"/>
      <c r="AJ320" s="1340"/>
    </row>
    <row r="321" spans="1:36" s="1279" customFormat="1" ht="15" x14ac:dyDescent="0.25">
      <c r="A321" s="1282"/>
      <c r="C321" s="1301" t="str">
        <f t="array" ref="C321:C324">'Data &amp; hypothesis Children'!$C$32:$C$35</f>
        <v>ABC+3TC+EFV</v>
      </c>
      <c r="D321" s="1175">
        <f>'Data &amp; hypothesis Children'!C162</f>
        <v>0</v>
      </c>
      <c r="E321" s="1175">
        <f>'Data &amp; hypothesis Children'!D162</f>
        <v>0</v>
      </c>
      <c r="F321" s="1175">
        <f>'Data &amp; hypothesis Children'!E162</f>
        <v>0</v>
      </c>
      <c r="G321" s="1175">
        <f>'Data &amp; hypothesis Children'!F162</f>
        <v>0</v>
      </c>
      <c r="H321" s="1175">
        <f>'Data &amp; hypothesis Children'!G162</f>
        <v>0</v>
      </c>
      <c r="I321" s="1175">
        <f>'Data &amp; hypothesis Children'!H162</f>
        <v>0</v>
      </c>
      <c r="J321" s="1175" t="str">
        <f>'Data &amp; hypothesis Children'!I162</f>
        <v>X</v>
      </c>
      <c r="K321" s="1413">
        <f>'Data &amp; hypothesis Children'!J162</f>
        <v>0</v>
      </c>
      <c r="L321" s="1414">
        <f>'Data &amp; hypothesis Children'!K162</f>
        <v>0</v>
      </c>
      <c r="M321" s="1175">
        <f>'Data &amp; hypothesis Children'!L162</f>
        <v>0</v>
      </c>
      <c r="N321" s="1175">
        <f>'Data &amp; hypothesis Children'!M162</f>
        <v>0</v>
      </c>
      <c r="O321" s="1175">
        <f>'Data &amp; hypothesis Children'!N162</f>
        <v>0</v>
      </c>
      <c r="P321" s="1175">
        <f>'Data &amp; hypothesis Children'!O162</f>
        <v>0</v>
      </c>
      <c r="Q321" s="1175">
        <f>'Data &amp; hypothesis Children'!P162</f>
        <v>0</v>
      </c>
      <c r="R321" s="1175">
        <f>'Data &amp; hypothesis Children'!Q162</f>
        <v>0</v>
      </c>
      <c r="S321" s="1175">
        <f>'Data &amp; hypothesis Children'!R162</f>
        <v>0</v>
      </c>
      <c r="T321" s="1175">
        <f>'Data &amp; hypothesis Children'!S162</f>
        <v>0</v>
      </c>
      <c r="U321" s="1175">
        <f>'Data &amp; hypothesis Children'!T162</f>
        <v>0</v>
      </c>
      <c r="V321" s="1175" t="str">
        <f>'Data &amp; hypothesis Children'!U162</f>
        <v>X</v>
      </c>
      <c r="W321" s="1175">
        <f>'Data &amp; hypothesis Children'!V162</f>
        <v>0</v>
      </c>
      <c r="X321" s="1175">
        <f>'Data &amp; hypothesis Children'!W162</f>
        <v>0</v>
      </c>
      <c r="Y321" s="1175">
        <f>'Data &amp; hypothesis Children'!X162</f>
        <v>0</v>
      </c>
      <c r="Z321" s="1175">
        <f>'Data &amp; hypothesis Children'!Y162</f>
        <v>0</v>
      </c>
      <c r="AA321" s="1175">
        <f>'Data &amp; hypothesis Children'!Z162</f>
        <v>0</v>
      </c>
      <c r="AB321" s="1175">
        <f>'Data &amp; hypothesis Children'!AA162</f>
        <v>0</v>
      </c>
      <c r="AC321" s="1175">
        <f>'Data &amp; hypothesis Children'!AB162</f>
        <v>0</v>
      </c>
      <c r="AD321" s="1175">
        <f>'Data &amp; hypothesis Children'!AC162</f>
        <v>0</v>
      </c>
      <c r="AE321" s="1175">
        <f>'Data &amp; hypothesis Children'!AD162</f>
        <v>0</v>
      </c>
      <c r="AF321" s="1175" t="str">
        <f>'Data &amp; hypothesis Children'!AE162</f>
        <v>X</v>
      </c>
      <c r="AG321" s="1175">
        <f>'Data &amp; hypothesis Children'!AF162</f>
        <v>0</v>
      </c>
      <c r="AH321" s="1415">
        <f>'Data &amp; hypothesis Children'!AG162</f>
        <v>0</v>
      </c>
      <c r="AI321" s="1339" t="e">
        <f>H75</f>
        <v>#DIV/0!</v>
      </c>
      <c r="AJ321" s="1340" t="e">
        <f>H91</f>
        <v>#DIV/0!</v>
      </c>
    </row>
    <row r="322" spans="1:36" s="1279" customFormat="1" ht="15" x14ac:dyDescent="0.25">
      <c r="A322" s="1282"/>
      <c r="C322" s="1301" t="str">
        <v>TDF+3TC+LPV/r</v>
      </c>
      <c r="D322" s="1175">
        <f>'Data &amp; hypothesis Children'!C163</f>
        <v>0</v>
      </c>
      <c r="E322" s="1175">
        <f>'Data &amp; hypothesis Children'!D163</f>
        <v>0</v>
      </c>
      <c r="F322" s="1175">
        <f>'Data &amp; hypothesis Children'!E163</f>
        <v>0</v>
      </c>
      <c r="G322" s="1175">
        <f>'Data &amp; hypothesis Children'!F163</f>
        <v>0</v>
      </c>
      <c r="H322" s="1175">
        <f>'Data &amp; hypothesis Children'!G163</f>
        <v>0</v>
      </c>
      <c r="I322" s="1175">
        <f>'Data &amp; hypothesis Children'!H163</f>
        <v>0</v>
      </c>
      <c r="J322" s="1175" t="str">
        <f>'Data &amp; hypothesis Children'!I163</f>
        <v>X</v>
      </c>
      <c r="K322" s="1413">
        <f>'Data &amp; hypothesis Children'!J163</f>
        <v>0</v>
      </c>
      <c r="L322" s="1414">
        <f>'Data &amp; hypothesis Children'!K163</f>
        <v>0</v>
      </c>
      <c r="M322" s="1175">
        <f>'Data &amp; hypothesis Children'!L163</f>
        <v>0</v>
      </c>
      <c r="N322" s="1175">
        <f>'Data &amp; hypothesis Children'!M163</f>
        <v>0</v>
      </c>
      <c r="O322" s="1175" t="str">
        <f>'Data &amp; hypothesis Children'!N163</f>
        <v>X</v>
      </c>
      <c r="P322" s="1175">
        <f>'Data &amp; hypothesis Children'!O163</f>
        <v>0</v>
      </c>
      <c r="Q322" s="1175">
        <f>'Data &amp; hypothesis Children'!P163</f>
        <v>0</v>
      </c>
      <c r="R322" s="1175">
        <f>'Data &amp; hypothesis Children'!Q163</f>
        <v>0</v>
      </c>
      <c r="S322" s="1175">
        <f>'Data &amp; hypothesis Children'!R163</f>
        <v>0</v>
      </c>
      <c r="T322" s="1175">
        <f>'Data &amp; hypothesis Children'!S163</f>
        <v>0</v>
      </c>
      <c r="U322" s="1175">
        <f>'Data &amp; hypothesis Children'!T163</f>
        <v>0</v>
      </c>
      <c r="V322" s="1175">
        <f>'Data &amp; hypothesis Children'!U163</f>
        <v>0</v>
      </c>
      <c r="W322" s="1175">
        <f>'Data &amp; hypothesis Children'!V163</f>
        <v>0</v>
      </c>
      <c r="X322" s="1175">
        <f>'Data &amp; hypothesis Children'!W163</f>
        <v>0</v>
      </c>
      <c r="Y322" s="1175">
        <f>'Data &amp; hypothesis Children'!X163</f>
        <v>0</v>
      </c>
      <c r="Z322" s="1175">
        <f>'Data &amp; hypothesis Children'!Y163</f>
        <v>0</v>
      </c>
      <c r="AA322" s="1175">
        <f>'Data &amp; hypothesis Children'!Z163</f>
        <v>0</v>
      </c>
      <c r="AB322" s="1175">
        <f>'Data &amp; hypothesis Children'!AA163</f>
        <v>0</v>
      </c>
      <c r="AC322" s="1175">
        <f>'Data &amp; hypothesis Children'!AB163</f>
        <v>0</v>
      </c>
      <c r="AD322" s="1175">
        <f>'Data &amp; hypothesis Children'!AC163</f>
        <v>0</v>
      </c>
      <c r="AE322" s="1175">
        <f>'Data &amp; hypothesis Children'!AD163</f>
        <v>0</v>
      </c>
      <c r="AF322" s="1175">
        <f>'Data &amp; hypothesis Children'!AE163</f>
        <v>0</v>
      </c>
      <c r="AG322" s="1175">
        <f>'Data &amp; hypothesis Children'!AF163</f>
        <v>0</v>
      </c>
      <c r="AH322" s="1415" t="str">
        <f>'Data &amp; hypothesis Children'!AG163</f>
        <v>X</v>
      </c>
      <c r="AI322" s="1339" t="e">
        <f t="shared" ref="AI322:AI323" si="98">H76</f>
        <v>#DIV/0!</v>
      </c>
      <c r="AJ322" s="1340" t="e">
        <f t="shared" ref="AJ322:AJ323" si="99">H92</f>
        <v>#DIV/0!</v>
      </c>
    </row>
    <row r="323" spans="1:36" s="1279" customFormat="1" ht="15" x14ac:dyDescent="0.25">
      <c r="A323" s="1282"/>
      <c r="C323" s="1301" t="str">
        <v>AZT+3TC+EFV</v>
      </c>
      <c r="D323" s="1175">
        <f>'Data &amp; hypothesis Children'!C164</f>
        <v>0</v>
      </c>
      <c r="E323" s="1175">
        <f>'Data &amp; hypothesis Children'!D164</f>
        <v>0</v>
      </c>
      <c r="F323" s="1175">
        <f>'Data &amp; hypothesis Children'!E164</f>
        <v>0</v>
      </c>
      <c r="G323" s="1175">
        <f>'Data &amp; hypothesis Children'!F164</f>
        <v>0</v>
      </c>
      <c r="H323" s="1175">
        <f>'Data &amp; hypothesis Children'!G164</f>
        <v>0</v>
      </c>
      <c r="I323" s="1175">
        <f>'Data &amp; hypothesis Children'!H164</f>
        <v>0</v>
      </c>
      <c r="J323" s="1175">
        <f>'Data &amp; hypothesis Children'!I164</f>
        <v>0</v>
      </c>
      <c r="K323" s="1413">
        <f>'Data &amp; hypothesis Children'!J164</f>
        <v>0</v>
      </c>
      <c r="L323" s="1414">
        <f>'Data &amp; hypothesis Children'!K164</f>
        <v>0</v>
      </c>
      <c r="M323" s="1175">
        <f>'Data &amp; hypothesis Children'!L164</f>
        <v>0</v>
      </c>
      <c r="N323" s="1175">
        <f>'Data &amp; hypothesis Children'!M164</f>
        <v>0</v>
      </c>
      <c r="O323" s="1175">
        <f>'Data &amp; hypothesis Children'!N164</f>
        <v>0</v>
      </c>
      <c r="P323" s="1175">
        <f>'Data &amp; hypothesis Children'!O164</f>
        <v>0</v>
      </c>
      <c r="Q323" s="1175">
        <f>'Data &amp; hypothesis Children'!P164</f>
        <v>0</v>
      </c>
      <c r="R323" s="1175">
        <f>'Data &amp; hypothesis Children'!Q164</f>
        <v>0</v>
      </c>
      <c r="S323" s="1175">
        <f>'Data &amp; hypothesis Children'!R164</f>
        <v>0</v>
      </c>
      <c r="T323" s="1175">
        <f>'Data &amp; hypothesis Children'!S164</f>
        <v>0</v>
      </c>
      <c r="U323" s="1175">
        <f>'Data &amp; hypothesis Children'!T164</f>
        <v>0</v>
      </c>
      <c r="V323" s="1175">
        <f>'Data &amp; hypothesis Children'!U164</f>
        <v>0</v>
      </c>
      <c r="W323" s="1175">
        <f>'Data &amp; hypothesis Children'!V164</f>
        <v>0</v>
      </c>
      <c r="X323" s="1175">
        <f>'Data &amp; hypothesis Children'!W164</f>
        <v>0</v>
      </c>
      <c r="Y323" s="1175">
        <f>'Data &amp; hypothesis Children'!X164</f>
        <v>0</v>
      </c>
      <c r="Z323" s="1175">
        <f>'Data &amp; hypothesis Children'!Y164</f>
        <v>0</v>
      </c>
      <c r="AA323" s="1175">
        <f>'Data &amp; hypothesis Children'!Z164</f>
        <v>0</v>
      </c>
      <c r="AB323" s="1175">
        <f>'Data &amp; hypothesis Children'!AA164</f>
        <v>0</v>
      </c>
      <c r="AC323" s="1175">
        <f>'Data &amp; hypothesis Children'!AB164</f>
        <v>0</v>
      </c>
      <c r="AD323" s="1175">
        <f>'Data &amp; hypothesis Children'!AC164</f>
        <v>0</v>
      </c>
      <c r="AE323" s="1175">
        <f>'Data &amp; hypothesis Children'!AD164</f>
        <v>0</v>
      </c>
      <c r="AF323" s="1175">
        <f>'Data &amp; hypothesis Children'!AE164</f>
        <v>0</v>
      </c>
      <c r="AG323" s="1175">
        <f>'Data &amp; hypothesis Children'!AF164</f>
        <v>0</v>
      </c>
      <c r="AH323" s="1415">
        <f>'Data &amp; hypothesis Children'!AG164</f>
        <v>0</v>
      </c>
      <c r="AI323" s="1339" t="e">
        <f t="shared" si="98"/>
        <v>#DIV/0!</v>
      </c>
      <c r="AJ323" s="1340" t="e">
        <f t="shared" si="99"/>
        <v>#DIV/0!</v>
      </c>
    </row>
    <row r="324" spans="1:36" s="1279" customFormat="1" ht="15.75" thickBot="1" x14ac:dyDescent="0.3">
      <c r="A324" s="1282"/>
      <c r="C324" s="1301">
        <v>0</v>
      </c>
      <c r="D324" s="1175">
        <f>'Data &amp; hypothesis Children'!C165</f>
        <v>0</v>
      </c>
      <c r="E324" s="1175">
        <f>'Data &amp; hypothesis Children'!D165</f>
        <v>0</v>
      </c>
      <c r="F324" s="1175">
        <f>'Data &amp; hypothesis Children'!E165</f>
        <v>0</v>
      </c>
      <c r="G324" s="1175">
        <f>'Data &amp; hypothesis Children'!F165</f>
        <v>0</v>
      </c>
      <c r="H324" s="1175">
        <f>'Data &amp; hypothesis Children'!G165</f>
        <v>0</v>
      </c>
      <c r="I324" s="1175">
        <f>'Data &amp; hypothesis Children'!H165</f>
        <v>0</v>
      </c>
      <c r="J324" s="1175">
        <f>'Data &amp; hypothesis Children'!I165</f>
        <v>0</v>
      </c>
      <c r="K324" s="1413">
        <f>'Data &amp; hypothesis Children'!J165</f>
        <v>0</v>
      </c>
      <c r="L324" s="1417">
        <f>'Data &amp; hypothesis Children'!K165</f>
        <v>0</v>
      </c>
      <c r="M324" s="1418">
        <f>'Data &amp; hypothesis Children'!L165</f>
        <v>0</v>
      </c>
      <c r="N324" s="1418">
        <f>'Data &amp; hypothesis Children'!M165</f>
        <v>0</v>
      </c>
      <c r="O324" s="1418">
        <f>'Data &amp; hypothesis Children'!N165</f>
        <v>0</v>
      </c>
      <c r="P324" s="1418">
        <f>'Data &amp; hypothesis Children'!O165</f>
        <v>0</v>
      </c>
      <c r="Q324" s="1418">
        <f>'Data &amp; hypothesis Children'!P165</f>
        <v>0</v>
      </c>
      <c r="R324" s="1418">
        <f>'Data &amp; hypothesis Children'!Q165</f>
        <v>0</v>
      </c>
      <c r="S324" s="1418">
        <f>'Data &amp; hypothesis Children'!R165</f>
        <v>0</v>
      </c>
      <c r="T324" s="1418">
        <f>'Data &amp; hypothesis Children'!S165</f>
        <v>0</v>
      </c>
      <c r="U324" s="1418">
        <f>'Data &amp; hypothesis Children'!T165</f>
        <v>0</v>
      </c>
      <c r="V324" s="1418">
        <f>'Data &amp; hypothesis Children'!U165</f>
        <v>0</v>
      </c>
      <c r="W324" s="1418">
        <f>'Data &amp; hypothesis Children'!V165</f>
        <v>0</v>
      </c>
      <c r="X324" s="1418">
        <f>'Data &amp; hypothesis Children'!W165</f>
        <v>0</v>
      </c>
      <c r="Y324" s="1418">
        <f>'Data &amp; hypothesis Children'!X165</f>
        <v>0</v>
      </c>
      <c r="Z324" s="1418">
        <f>'Data &amp; hypothesis Children'!Y165</f>
        <v>0</v>
      </c>
      <c r="AA324" s="1418">
        <f>'Data &amp; hypothesis Children'!Z165</f>
        <v>0</v>
      </c>
      <c r="AB324" s="1418">
        <f>'Data &amp; hypothesis Children'!AA165</f>
        <v>0</v>
      </c>
      <c r="AC324" s="1418">
        <f>'Data &amp; hypothesis Children'!AB165</f>
        <v>0</v>
      </c>
      <c r="AD324" s="1418">
        <f>'Data &amp; hypothesis Children'!AC165</f>
        <v>0</v>
      </c>
      <c r="AE324" s="1418">
        <f>'Data &amp; hypothesis Children'!AD165</f>
        <v>0</v>
      </c>
      <c r="AF324" s="1418">
        <f>'Data &amp; hypothesis Children'!AE165</f>
        <v>0</v>
      </c>
      <c r="AG324" s="1418">
        <f>'Data &amp; hypothesis Children'!AF165</f>
        <v>0</v>
      </c>
      <c r="AH324" s="1419">
        <f>'Data &amp; hypothesis Children'!AG165</f>
        <v>0</v>
      </c>
      <c r="AI324" s="1339" t="e">
        <f>H78</f>
        <v>#DIV/0!</v>
      </c>
      <c r="AJ324" s="1340" t="e">
        <f>H94</f>
        <v>#DIV/0!</v>
      </c>
    </row>
    <row r="325" spans="1:36" s="1304" customFormat="1" ht="26.25" thickBot="1" x14ac:dyDescent="0.25">
      <c r="A325" s="1303"/>
      <c r="C325" s="1305" t="str">
        <f>'TRAD-Children YEAR(1)'!B118</f>
        <v>Nb de patients-mois / produit - SANS SS</v>
      </c>
      <c r="D325" s="1306">
        <f t="shared" ref="D325:AE325" si="100">SUMIF(D314:D324, "X", $AI314:$AI324)</f>
        <v>0</v>
      </c>
      <c r="E325" s="1306">
        <f t="shared" si="100"/>
        <v>0</v>
      </c>
      <c r="F325" s="1306">
        <f t="shared" si="100"/>
        <v>0</v>
      </c>
      <c r="G325" s="1306">
        <f t="shared" si="100"/>
        <v>0</v>
      </c>
      <c r="H325" s="1306">
        <f t="shared" si="100"/>
        <v>0</v>
      </c>
      <c r="I325" s="1306">
        <f t="shared" si="100"/>
        <v>0</v>
      </c>
      <c r="J325" s="1306" t="e">
        <f t="shared" si="100"/>
        <v>#DIV/0!</v>
      </c>
      <c r="K325" s="1307">
        <f t="shared" si="100"/>
        <v>0</v>
      </c>
      <c r="L325" s="1308">
        <f t="shared" si="100"/>
        <v>0</v>
      </c>
      <c r="M325" s="1306" t="e">
        <f t="shared" si="100"/>
        <v>#DIV/0!</v>
      </c>
      <c r="N325" s="1306">
        <f t="shared" si="100"/>
        <v>0</v>
      </c>
      <c r="O325" s="1306" t="e">
        <f t="shared" si="100"/>
        <v>#DIV/0!</v>
      </c>
      <c r="P325" s="1306">
        <f t="shared" si="100"/>
        <v>0</v>
      </c>
      <c r="Q325" s="1306" t="e">
        <f t="shared" si="100"/>
        <v>#DIV/0!</v>
      </c>
      <c r="R325" s="1306">
        <f t="shared" si="100"/>
        <v>0</v>
      </c>
      <c r="S325" s="1306">
        <f t="shared" si="100"/>
        <v>0</v>
      </c>
      <c r="T325" s="1306">
        <f t="shared" si="100"/>
        <v>0</v>
      </c>
      <c r="U325" s="1306">
        <f t="shared" si="100"/>
        <v>0</v>
      </c>
      <c r="V325" s="1306" t="e">
        <f t="shared" si="100"/>
        <v>#DIV/0!</v>
      </c>
      <c r="W325" s="1306">
        <f t="shared" si="100"/>
        <v>0</v>
      </c>
      <c r="X325" s="1306">
        <f t="shared" si="100"/>
        <v>0</v>
      </c>
      <c r="Y325" s="1306">
        <f t="shared" si="100"/>
        <v>0</v>
      </c>
      <c r="Z325" s="1306">
        <f t="shared" si="100"/>
        <v>0</v>
      </c>
      <c r="AA325" s="1306">
        <f t="shared" si="100"/>
        <v>0</v>
      </c>
      <c r="AB325" s="1306">
        <f t="shared" si="100"/>
        <v>0</v>
      </c>
      <c r="AC325" s="1306">
        <f t="shared" si="100"/>
        <v>0</v>
      </c>
      <c r="AD325" s="1306">
        <f t="shared" si="100"/>
        <v>0</v>
      </c>
      <c r="AE325" s="1306" t="e">
        <f t="shared" si="100"/>
        <v>#DIV/0!</v>
      </c>
      <c r="AF325" s="1306" t="e">
        <f t="shared" ref="AF325" si="101">SUMIF(AF314:AF324, "X", $AI314:$AI324)</f>
        <v>#DIV/0!</v>
      </c>
      <c r="AG325" s="1306">
        <f>SUMIF(AG314:AG324, "X", $AI314:$AI324)</f>
        <v>0</v>
      </c>
      <c r="AH325" s="1306" t="e">
        <f>SUMIF(AH314:$AH$324, "X", $AI314:$AI324)</f>
        <v>#DIV/0!</v>
      </c>
    </row>
    <row r="326" spans="1:36" s="1304" customFormat="1" ht="26.25" thickBot="1" x14ac:dyDescent="0.25">
      <c r="A326" s="1303"/>
      <c r="C326" s="1305" t="str">
        <f>'TRAD-Children YEAR(1)'!B119</f>
        <v>Nb de patients-mois / produit - AVEC SS</v>
      </c>
      <c r="D326" s="1309">
        <f t="shared" ref="D326:AG326" si="102">SUMIF(D314:D324, "X", $AJ314:$AJ324)</f>
        <v>0</v>
      </c>
      <c r="E326" s="1309">
        <f t="shared" si="102"/>
        <v>0</v>
      </c>
      <c r="F326" s="1309">
        <f t="shared" si="102"/>
        <v>0</v>
      </c>
      <c r="G326" s="1309">
        <f t="shared" si="102"/>
        <v>0</v>
      </c>
      <c r="H326" s="1309">
        <f t="shared" si="102"/>
        <v>0</v>
      </c>
      <c r="I326" s="1309">
        <f t="shared" si="102"/>
        <v>0</v>
      </c>
      <c r="J326" s="1309" t="e">
        <f t="shared" si="102"/>
        <v>#DIV/0!</v>
      </c>
      <c r="K326" s="1310">
        <f t="shared" si="102"/>
        <v>0</v>
      </c>
      <c r="L326" s="1311">
        <f t="shared" si="102"/>
        <v>0</v>
      </c>
      <c r="M326" s="1309" t="e">
        <f t="shared" si="102"/>
        <v>#DIV/0!</v>
      </c>
      <c r="N326" s="1309">
        <f t="shared" si="102"/>
        <v>0</v>
      </c>
      <c r="O326" s="1309" t="e">
        <f t="shared" si="102"/>
        <v>#DIV/0!</v>
      </c>
      <c r="P326" s="1309">
        <f t="shared" si="102"/>
        <v>0</v>
      </c>
      <c r="Q326" s="1309" t="e">
        <f t="shared" si="102"/>
        <v>#DIV/0!</v>
      </c>
      <c r="R326" s="1309">
        <f t="shared" si="102"/>
        <v>0</v>
      </c>
      <c r="S326" s="1309">
        <f t="shared" si="102"/>
        <v>0</v>
      </c>
      <c r="T326" s="1309">
        <f t="shared" si="102"/>
        <v>0</v>
      </c>
      <c r="U326" s="1309">
        <f t="shared" si="102"/>
        <v>0</v>
      </c>
      <c r="V326" s="1309" t="e">
        <f t="shared" si="102"/>
        <v>#DIV/0!</v>
      </c>
      <c r="W326" s="1309">
        <f t="shared" si="102"/>
        <v>0</v>
      </c>
      <c r="X326" s="1309">
        <f t="shared" si="102"/>
        <v>0</v>
      </c>
      <c r="Y326" s="1309">
        <f t="shared" si="102"/>
        <v>0</v>
      </c>
      <c r="Z326" s="1309">
        <f t="shared" si="102"/>
        <v>0</v>
      </c>
      <c r="AA326" s="1309">
        <f t="shared" si="102"/>
        <v>0</v>
      </c>
      <c r="AB326" s="1309">
        <f t="shared" si="102"/>
        <v>0</v>
      </c>
      <c r="AC326" s="1309">
        <f t="shared" si="102"/>
        <v>0</v>
      </c>
      <c r="AD326" s="1309">
        <f t="shared" si="102"/>
        <v>0</v>
      </c>
      <c r="AE326" s="1309" t="e">
        <f t="shared" si="102"/>
        <v>#DIV/0!</v>
      </c>
      <c r="AF326" s="1309" t="e">
        <f t="shared" si="102"/>
        <v>#DIV/0!</v>
      </c>
      <c r="AG326" s="1309">
        <f t="shared" si="102"/>
        <v>0</v>
      </c>
      <c r="AH326" s="1309" t="e">
        <f>SUMIF(AH314:$AH$324, "X", $AJ314:$AJ324)</f>
        <v>#DIV/0!</v>
      </c>
    </row>
    <row r="327" spans="1:36" s="1304" customFormat="1" ht="26.25" thickBot="1" x14ac:dyDescent="0.25">
      <c r="A327" s="1303"/>
      <c r="C327" s="1305" t="str">
        <f>'TRAD-Children YEAR(1)'!B120</f>
        <v>Nb de cdt - Estimation période SANS SS</v>
      </c>
      <c r="D327" s="1312">
        <f t="shared" ref="D327:AH327" si="103">D325*D312</f>
        <v>0</v>
      </c>
      <c r="E327" s="1312">
        <f t="shared" si="103"/>
        <v>0</v>
      </c>
      <c r="F327" s="1312">
        <f t="shared" si="103"/>
        <v>0</v>
      </c>
      <c r="G327" s="1312">
        <f t="shared" si="103"/>
        <v>0</v>
      </c>
      <c r="H327" s="1312">
        <f t="shared" si="103"/>
        <v>0</v>
      </c>
      <c r="I327" s="1312">
        <f t="shared" si="103"/>
        <v>0</v>
      </c>
      <c r="J327" s="1312" t="e">
        <f t="shared" si="103"/>
        <v>#DIV/0!</v>
      </c>
      <c r="K327" s="1313">
        <f t="shared" si="103"/>
        <v>0</v>
      </c>
      <c r="L327" s="1314">
        <f t="shared" si="103"/>
        <v>0</v>
      </c>
      <c r="M327" s="1312" t="e">
        <f t="shared" si="103"/>
        <v>#DIV/0!</v>
      </c>
      <c r="N327" s="1312">
        <f t="shared" si="103"/>
        <v>0</v>
      </c>
      <c r="O327" s="1312" t="e">
        <f t="shared" si="103"/>
        <v>#DIV/0!</v>
      </c>
      <c r="P327" s="1312">
        <f t="shared" si="103"/>
        <v>0</v>
      </c>
      <c r="Q327" s="1312" t="e">
        <f t="shared" si="103"/>
        <v>#DIV/0!</v>
      </c>
      <c r="R327" s="1312">
        <f t="shared" ref="R327" si="104">R325*R312</f>
        <v>0</v>
      </c>
      <c r="S327" s="1312">
        <f t="shared" si="103"/>
        <v>0</v>
      </c>
      <c r="T327" s="1312">
        <f t="shared" si="103"/>
        <v>0</v>
      </c>
      <c r="U327" s="1312">
        <f t="shared" si="103"/>
        <v>0</v>
      </c>
      <c r="V327" s="1312" t="e">
        <f t="shared" si="103"/>
        <v>#DIV/0!</v>
      </c>
      <c r="W327" s="1312">
        <f t="shared" ref="W327:Y327" si="105">W325*W312</f>
        <v>0</v>
      </c>
      <c r="X327" s="1312">
        <f t="shared" ref="X327" si="106">X325*X312</f>
        <v>0</v>
      </c>
      <c r="Y327" s="1312">
        <f t="shared" si="105"/>
        <v>0</v>
      </c>
      <c r="Z327" s="1312">
        <f t="shared" ref="Z327:AF327" si="107">Z325*Z312</f>
        <v>0</v>
      </c>
      <c r="AA327" s="1312">
        <f t="shared" si="107"/>
        <v>0</v>
      </c>
      <c r="AB327" s="1312">
        <f t="shared" si="107"/>
        <v>0</v>
      </c>
      <c r="AC327" s="1312">
        <f t="shared" si="107"/>
        <v>0</v>
      </c>
      <c r="AD327" s="1312">
        <f t="shared" si="107"/>
        <v>0</v>
      </c>
      <c r="AE327" s="1312" t="e">
        <f t="shared" ref="AE327" si="108">AE325*AE312</f>
        <v>#DIV/0!</v>
      </c>
      <c r="AF327" s="1312" t="e">
        <f t="shared" si="107"/>
        <v>#DIV/0!</v>
      </c>
      <c r="AG327" s="1312">
        <f t="shared" si="103"/>
        <v>0</v>
      </c>
      <c r="AH327" s="1312" t="e">
        <f t="shared" si="103"/>
        <v>#DIV/0!</v>
      </c>
    </row>
    <row r="328" spans="1:36" s="1304" customFormat="1" ht="26.25" thickBot="1" x14ac:dyDescent="0.25">
      <c r="A328" s="1303"/>
      <c r="C328" s="1305" t="str">
        <f>'TRAD-Children YEAR(1)'!B121</f>
        <v>Nb de cdt - Estimation période AVEC SS</v>
      </c>
      <c r="D328" s="1315">
        <f t="shared" ref="D328:AH328" si="109">D326*D312</f>
        <v>0</v>
      </c>
      <c r="E328" s="1315">
        <f t="shared" si="109"/>
        <v>0</v>
      </c>
      <c r="F328" s="1315">
        <f t="shared" si="109"/>
        <v>0</v>
      </c>
      <c r="G328" s="1315">
        <f t="shared" si="109"/>
        <v>0</v>
      </c>
      <c r="H328" s="1315">
        <f t="shared" si="109"/>
        <v>0</v>
      </c>
      <c r="I328" s="1315">
        <f t="shared" si="109"/>
        <v>0</v>
      </c>
      <c r="J328" s="1315" t="e">
        <f t="shared" si="109"/>
        <v>#DIV/0!</v>
      </c>
      <c r="K328" s="1316">
        <f t="shared" si="109"/>
        <v>0</v>
      </c>
      <c r="L328" s="1317">
        <f t="shared" si="109"/>
        <v>0</v>
      </c>
      <c r="M328" s="1315" t="e">
        <f t="shared" si="109"/>
        <v>#DIV/0!</v>
      </c>
      <c r="N328" s="1315">
        <f t="shared" si="109"/>
        <v>0</v>
      </c>
      <c r="O328" s="1315" t="e">
        <f t="shared" si="109"/>
        <v>#DIV/0!</v>
      </c>
      <c r="P328" s="1315">
        <f t="shared" si="109"/>
        <v>0</v>
      </c>
      <c r="Q328" s="1315" t="e">
        <f t="shared" si="109"/>
        <v>#DIV/0!</v>
      </c>
      <c r="R328" s="1315">
        <f t="shared" ref="R328" si="110">R326*R312</f>
        <v>0</v>
      </c>
      <c r="S328" s="1315">
        <f t="shared" si="109"/>
        <v>0</v>
      </c>
      <c r="T328" s="1315">
        <f t="shared" si="109"/>
        <v>0</v>
      </c>
      <c r="U328" s="1315">
        <f t="shared" si="109"/>
        <v>0</v>
      </c>
      <c r="V328" s="1315" t="e">
        <f t="shared" si="109"/>
        <v>#DIV/0!</v>
      </c>
      <c r="W328" s="1315">
        <f t="shared" ref="W328:Y328" si="111">W326*W312</f>
        <v>0</v>
      </c>
      <c r="X328" s="1315">
        <f t="shared" ref="X328" si="112">X326*X312</f>
        <v>0</v>
      </c>
      <c r="Y328" s="1315">
        <f t="shared" si="111"/>
        <v>0</v>
      </c>
      <c r="Z328" s="1315">
        <f t="shared" ref="Z328:AF328" si="113">Z326*Z312</f>
        <v>0</v>
      </c>
      <c r="AA328" s="1315">
        <f t="shared" si="113"/>
        <v>0</v>
      </c>
      <c r="AB328" s="1315">
        <f t="shared" si="113"/>
        <v>0</v>
      </c>
      <c r="AC328" s="1315">
        <f t="shared" si="113"/>
        <v>0</v>
      </c>
      <c r="AD328" s="1315">
        <f t="shared" si="113"/>
        <v>0</v>
      </c>
      <c r="AE328" s="1315" t="e">
        <f t="shared" ref="AE328" si="114">AE326*AE312</f>
        <v>#DIV/0!</v>
      </c>
      <c r="AF328" s="1315" t="e">
        <f t="shared" si="113"/>
        <v>#DIV/0!</v>
      </c>
      <c r="AG328" s="1315">
        <f t="shared" si="109"/>
        <v>0</v>
      </c>
      <c r="AH328" s="1315" t="e">
        <f t="shared" si="109"/>
        <v>#DIV/0!</v>
      </c>
    </row>
    <row r="329" spans="1:36" s="1279" customFormat="1" x14ac:dyDescent="0.2">
      <c r="A329" s="1282"/>
    </row>
    <row r="330" spans="1:36" s="1279" customFormat="1" ht="13.5" thickBot="1" x14ac:dyDescent="0.25">
      <c r="A330" s="1282"/>
    </row>
    <row r="331" spans="1:36" s="1279" customFormat="1" ht="13.5" thickBot="1" x14ac:dyDescent="0.25">
      <c r="A331" s="1282"/>
      <c r="B331" s="1283" t="s">
        <v>660</v>
      </c>
      <c r="C331" s="1284"/>
      <c r="D331" s="1285"/>
      <c r="E331" s="1285"/>
      <c r="F331" s="1285"/>
      <c r="G331" s="1285"/>
      <c r="H331" s="1285"/>
      <c r="I331" s="1286"/>
    </row>
    <row r="332" spans="1:36" s="1279" customFormat="1" ht="13.5" thickBot="1" x14ac:dyDescent="0.25">
      <c r="A332" s="1282"/>
      <c r="B332" s="1323"/>
      <c r="C332" s="1324"/>
      <c r="D332" s="1325"/>
      <c r="E332" s="1325"/>
      <c r="F332" s="1325"/>
      <c r="G332" s="1325"/>
      <c r="H332" s="1325"/>
      <c r="I332" s="1325"/>
    </row>
    <row r="333" spans="1:36" s="1279" customFormat="1" ht="26.25" thickBot="1" x14ac:dyDescent="0.25">
      <c r="A333" s="1282"/>
      <c r="D333" s="1287" t="str">
        <f>'TRAD-Children YEAR(1)'!B90</f>
        <v>Solutions buvables</v>
      </c>
      <c r="E333" s="1288"/>
      <c r="F333" s="1288"/>
      <c r="G333" s="1288"/>
      <c r="H333" s="1288"/>
      <c r="I333" s="1288"/>
      <c r="J333" s="1284"/>
      <c r="K333" s="1284"/>
      <c r="L333" s="1289" t="str">
        <f>'TRAD-Children YEAR(1)'!B91</f>
        <v>Comprimés</v>
      </c>
      <c r="M333" s="1284"/>
      <c r="N333" s="1284"/>
      <c r="O333" s="1284"/>
      <c r="P333" s="1284"/>
      <c r="Q333" s="1284"/>
      <c r="R333" s="1284"/>
      <c r="S333" s="1284"/>
      <c r="T333" s="1284"/>
      <c r="U333" s="1284"/>
      <c r="V333" s="1284"/>
      <c r="W333" s="1945"/>
      <c r="X333" s="1945"/>
      <c r="Y333" s="1945"/>
      <c r="Z333" s="1284"/>
      <c r="AA333" s="1284"/>
      <c r="AB333" s="1284"/>
      <c r="AC333" s="1284"/>
      <c r="AD333" s="1284"/>
      <c r="AE333" s="1284"/>
      <c r="AF333" s="1284"/>
      <c r="AG333" s="1284"/>
      <c r="AH333" s="1284"/>
    </row>
    <row r="334" spans="1:36" s="1292" customFormat="1" ht="25.5" x14ac:dyDescent="0.2">
      <c r="A334" s="1291"/>
      <c r="C334" s="1332" t="str">
        <f>'TRAD-Children YEAR(1)'!B113</f>
        <v>Nb de boites / mois pour l'ensemble des patients</v>
      </c>
      <c r="D334" s="1329" t="s">
        <v>39</v>
      </c>
      <c r="E334" s="1329" t="s">
        <v>61</v>
      </c>
      <c r="F334" s="1329" t="s">
        <v>15</v>
      </c>
      <c r="G334" s="1329" t="s">
        <v>25</v>
      </c>
      <c r="H334" s="1329" t="s">
        <v>28</v>
      </c>
      <c r="I334" s="1329" t="s">
        <v>19</v>
      </c>
      <c r="J334" s="1329" t="s">
        <v>17</v>
      </c>
      <c r="K334" s="1333" t="s">
        <v>33</v>
      </c>
      <c r="L334" s="1334" t="s">
        <v>7</v>
      </c>
      <c r="M334" s="1330" t="s">
        <v>386</v>
      </c>
      <c r="N334" s="1330" t="s">
        <v>11</v>
      </c>
      <c r="O334" s="1330" t="s">
        <v>387</v>
      </c>
      <c r="P334" s="1330" t="s">
        <v>50</v>
      </c>
      <c r="Q334" s="1330" t="s">
        <v>392</v>
      </c>
      <c r="R334" s="1330" t="s">
        <v>81</v>
      </c>
      <c r="S334" s="1330" t="s">
        <v>140</v>
      </c>
      <c r="T334" s="1330" t="s">
        <v>635</v>
      </c>
      <c r="U334" s="1330" t="s">
        <v>586</v>
      </c>
      <c r="V334" s="1330" t="s">
        <v>575</v>
      </c>
      <c r="W334" s="1946"/>
      <c r="X334" s="1946"/>
      <c r="Y334" s="1946"/>
      <c r="Z334" s="1422" t="s">
        <v>15</v>
      </c>
      <c r="AA334" s="1330" t="s">
        <v>25</v>
      </c>
      <c r="AB334" s="1330" t="s">
        <v>648</v>
      </c>
      <c r="AC334" s="1330" t="s">
        <v>28</v>
      </c>
      <c r="AD334" s="1422" t="s">
        <v>19</v>
      </c>
      <c r="AE334" s="1586" t="s">
        <v>19</v>
      </c>
      <c r="AF334" s="1422" t="s">
        <v>17</v>
      </c>
      <c r="AG334" s="1330" t="s">
        <v>33</v>
      </c>
      <c r="AH334" s="1335" t="s">
        <v>638</v>
      </c>
    </row>
    <row r="335" spans="1:36" s="1292" customFormat="1" ht="77.25" thickBot="1" x14ac:dyDescent="0.25">
      <c r="A335" s="1291"/>
      <c r="C335" s="1332" t="str">
        <f>'TRAD-Children YEAR(1)'!B114</f>
        <v>Dosage</v>
      </c>
      <c r="D335" s="1329" t="s">
        <v>41</v>
      </c>
      <c r="E335" s="1329" t="s">
        <v>41</v>
      </c>
      <c r="F335" s="1329" t="s">
        <v>41</v>
      </c>
      <c r="G335" s="1329" t="s">
        <v>44</v>
      </c>
      <c r="H335" s="1329" t="s">
        <v>46</v>
      </c>
      <c r="I335" s="1329" t="s">
        <v>41</v>
      </c>
      <c r="J335" s="1329" t="s">
        <v>259</v>
      </c>
      <c r="K335" s="1333" t="s">
        <v>47</v>
      </c>
      <c r="L335" s="1336" t="s">
        <v>9</v>
      </c>
      <c r="M335" s="1331" t="s">
        <v>384</v>
      </c>
      <c r="N335" s="1331" t="s">
        <v>12</v>
      </c>
      <c r="O335" s="1331" t="s">
        <v>382</v>
      </c>
      <c r="P335" s="1331" t="s">
        <v>80</v>
      </c>
      <c r="Q335" s="1331" t="s">
        <v>131</v>
      </c>
      <c r="R335" s="1331" t="s">
        <v>733</v>
      </c>
      <c r="S335" s="1331" t="s">
        <v>334</v>
      </c>
      <c r="T335" s="1331" t="s">
        <v>636</v>
      </c>
      <c r="U335" s="1331" t="s">
        <v>649</v>
      </c>
      <c r="V335" s="1331" t="s">
        <v>636</v>
      </c>
      <c r="W335" s="1331"/>
      <c r="X335" s="1331"/>
      <c r="Y335" s="1331"/>
      <c r="Z335" s="1424" t="s">
        <v>16</v>
      </c>
      <c r="AA335" s="1331" t="s">
        <v>23</v>
      </c>
      <c r="AB335" s="1331" t="s">
        <v>639</v>
      </c>
      <c r="AC335" s="1331" t="s">
        <v>29</v>
      </c>
      <c r="AD335" s="1424" t="s">
        <v>20</v>
      </c>
      <c r="AE335" s="1424" t="s">
        <v>248</v>
      </c>
      <c r="AF335" s="1424" t="s">
        <v>20</v>
      </c>
      <c r="AG335" s="1331" t="s">
        <v>34</v>
      </c>
      <c r="AH335" s="1337" t="s">
        <v>637</v>
      </c>
      <c r="AI335" s="1320" t="str">
        <f>'TRAD-Children YEAR(1)'!B126</f>
        <v>Répartition des patients mois / tranches de poids</v>
      </c>
    </row>
    <row r="336" spans="1:36" s="1279" customFormat="1" ht="26.25" thickBot="1" x14ac:dyDescent="0.25">
      <c r="A336" s="1282"/>
      <c r="C336" s="1332" t="str">
        <f>'TRAD-Children YEAR(1)'!B115</f>
        <v>Nb de cdt/mois pour la tranche</v>
      </c>
      <c r="D336" s="1404">
        <f t="array" ref="D336:AH336">TRANSPOSE($G$224:$G$254)</f>
        <v>0</v>
      </c>
      <c r="E336" s="1404">
        <v>0</v>
      </c>
      <c r="F336" s="1404">
        <v>0</v>
      </c>
      <c r="G336" s="1404">
        <v>0</v>
      </c>
      <c r="H336" s="1404">
        <v>0</v>
      </c>
      <c r="I336" s="1404">
        <v>0</v>
      </c>
      <c r="J336" s="1404">
        <v>2.5</v>
      </c>
      <c r="K336" s="1405">
        <v>3</v>
      </c>
      <c r="L336" s="1406">
        <v>1</v>
      </c>
      <c r="M336" s="1407">
        <v>3</v>
      </c>
      <c r="N336" s="1407">
        <v>1</v>
      </c>
      <c r="O336" s="1407">
        <v>3</v>
      </c>
      <c r="P336" s="1407">
        <v>1</v>
      </c>
      <c r="Q336" s="1407">
        <v>3</v>
      </c>
      <c r="R336" s="1407">
        <v>3</v>
      </c>
      <c r="S336" s="1407">
        <v>1</v>
      </c>
      <c r="T336" s="1407">
        <v>3</v>
      </c>
      <c r="U336" s="1407">
        <v>1</v>
      </c>
      <c r="V336" s="1407">
        <v>3</v>
      </c>
      <c r="W336" s="1407">
        <v>1</v>
      </c>
      <c r="X336" s="1407">
        <v>1</v>
      </c>
      <c r="Y336" s="1407">
        <v>1</v>
      </c>
      <c r="Z336" s="1407">
        <v>1</v>
      </c>
      <c r="AA336" s="1407">
        <v>1</v>
      </c>
      <c r="AB336" s="1407">
        <v>3</v>
      </c>
      <c r="AC336" s="1407">
        <v>1</v>
      </c>
      <c r="AD336" s="1407">
        <v>1</v>
      </c>
      <c r="AE336" s="1407">
        <v>3</v>
      </c>
      <c r="AF336" s="1407">
        <v>1.5</v>
      </c>
      <c r="AG336" s="1407">
        <v>0.5</v>
      </c>
      <c r="AH336" s="1407">
        <v>2</v>
      </c>
      <c r="AI336" s="1338" t="s">
        <v>661</v>
      </c>
      <c r="AJ336" s="1281"/>
    </row>
    <row r="337" spans="1:36" s="1279" customFormat="1" ht="63.75" x14ac:dyDescent="0.2">
      <c r="A337" s="1282"/>
      <c r="B337" s="1293" t="str">
        <f>'TRAD-Children YEAR(1)'!B6</f>
        <v>Schéma thérapeutique</v>
      </c>
      <c r="C337" s="1332" t="str">
        <f>'TRAD-Children YEAR(1)'!B116</f>
        <v>Premières lignes</v>
      </c>
      <c r="D337" s="1297"/>
      <c r="E337" s="1297"/>
      <c r="F337" s="1297"/>
      <c r="G337" s="1297"/>
      <c r="H337" s="1297"/>
      <c r="I337" s="1297"/>
      <c r="J337" s="1297"/>
      <c r="K337" s="1298"/>
      <c r="L337" s="1299"/>
      <c r="M337" s="1297"/>
      <c r="N337" s="1297"/>
      <c r="O337" s="1297"/>
      <c r="P337" s="1297"/>
      <c r="Q337" s="1297"/>
      <c r="R337" s="1297"/>
      <c r="S337" s="1297"/>
      <c r="T337" s="1297"/>
      <c r="U337" s="1297"/>
      <c r="V337" s="1297"/>
      <c r="W337" s="1297"/>
      <c r="X337" s="1297"/>
      <c r="Y337" s="1297"/>
      <c r="Z337" s="1297"/>
      <c r="AA337" s="1297"/>
      <c r="AB337" s="1297"/>
      <c r="AC337" s="1297"/>
      <c r="AD337" s="1297"/>
      <c r="AE337" s="1297"/>
      <c r="AF337" s="1297"/>
      <c r="AG337" s="1297"/>
      <c r="AH337" s="1297"/>
      <c r="AI337" s="1318" t="str">
        <f>'TRAD-Children YEAR(1)'!B122</f>
        <v>nb de patients mois période quantifiée</v>
      </c>
      <c r="AJ337" s="1318" t="str">
        <f>'TRAD-Children YEAR(1)'!B123</f>
        <v>nb de patients mois avec période de sécurité</v>
      </c>
    </row>
    <row r="338" spans="1:36" s="1279" customFormat="1" ht="15" x14ac:dyDescent="0.25">
      <c r="A338" s="1282"/>
      <c r="C338" s="1319" t="str">
        <f t="array" ref="C338:C343">'Data &amp; hypothesis Children'!$C$26:$C$31</f>
        <v>D4T+3TC+NVP</v>
      </c>
      <c r="D338" s="1175">
        <f>'Data &amp; hypothesis Children'!C173</f>
        <v>0</v>
      </c>
      <c r="E338" s="1175">
        <f>'Data &amp; hypothesis Children'!D173</f>
        <v>0</v>
      </c>
      <c r="F338" s="1175">
        <f>'Data &amp; hypothesis Children'!E173</f>
        <v>0</v>
      </c>
      <c r="G338" s="1175">
        <f>'Data &amp; hypothesis Children'!F173</f>
        <v>0</v>
      </c>
      <c r="H338" s="1175">
        <f>'Data &amp; hypothesis Children'!G173</f>
        <v>0</v>
      </c>
      <c r="I338" s="1175">
        <f>'Data &amp; hypothesis Children'!H173</f>
        <v>0</v>
      </c>
      <c r="J338" s="1175">
        <f>'Data &amp; hypothesis Children'!I173</f>
        <v>0</v>
      </c>
      <c r="K338" s="1413">
        <f>'Data &amp; hypothesis Children'!J173</f>
        <v>0</v>
      </c>
      <c r="L338" s="1414">
        <f>'Data &amp; hypothesis Children'!K173</f>
        <v>0</v>
      </c>
      <c r="M338" s="1175">
        <f>'Data &amp; hypothesis Children'!L173</f>
        <v>0</v>
      </c>
      <c r="N338" s="1175">
        <f>'Data &amp; hypothesis Children'!M173</f>
        <v>0</v>
      </c>
      <c r="O338" s="1175">
        <f>'Data &amp; hypothesis Children'!N173</f>
        <v>0</v>
      </c>
      <c r="P338" s="1175">
        <f>'Data &amp; hypothesis Children'!O173</f>
        <v>0</v>
      </c>
      <c r="Q338" s="1175">
        <f>'Data &amp; hypothesis Children'!P173</f>
        <v>0</v>
      </c>
      <c r="R338" s="1175">
        <f>'Data &amp; hypothesis Children'!Q173</f>
        <v>0</v>
      </c>
      <c r="S338" s="1175">
        <f>'Data &amp; hypothesis Children'!R173</f>
        <v>0</v>
      </c>
      <c r="T338" s="1175">
        <f>'Data &amp; hypothesis Children'!S173</f>
        <v>0</v>
      </c>
      <c r="U338" s="1175">
        <f>'Data &amp; hypothesis Children'!T173</f>
        <v>0</v>
      </c>
      <c r="V338" s="1175">
        <f>'Data &amp; hypothesis Children'!U173</f>
        <v>0</v>
      </c>
      <c r="W338" s="1175">
        <f>'Data &amp; hypothesis Children'!V173</f>
        <v>0</v>
      </c>
      <c r="X338" s="1175">
        <f>'Data &amp; hypothesis Children'!W173</f>
        <v>0</v>
      </c>
      <c r="Y338" s="1175">
        <f>'Data &amp; hypothesis Children'!X173</f>
        <v>0</v>
      </c>
      <c r="Z338" s="1175">
        <f>'Data &amp; hypothesis Children'!Y173</f>
        <v>0</v>
      </c>
      <c r="AA338" s="1175">
        <f>'Data &amp; hypothesis Children'!Z173</f>
        <v>0</v>
      </c>
      <c r="AB338" s="1175">
        <f>'Data &amp; hypothesis Children'!AA173</f>
        <v>0</v>
      </c>
      <c r="AC338" s="1175">
        <f>'Data &amp; hypothesis Children'!AB173</f>
        <v>0</v>
      </c>
      <c r="AD338" s="1175">
        <f>'Data &amp; hypothesis Children'!AC173</f>
        <v>0</v>
      </c>
      <c r="AE338" s="1175">
        <f>'Data &amp; hypothesis Children'!AD173</f>
        <v>0</v>
      </c>
      <c r="AF338" s="1175">
        <f>'Data &amp; hypothesis Children'!AE173</f>
        <v>0</v>
      </c>
      <c r="AG338" s="1175">
        <f>'Data &amp; hypothesis Children'!AF173</f>
        <v>0</v>
      </c>
      <c r="AH338" s="1415">
        <f>'Data &amp; hypothesis Children'!AG173</f>
        <v>0</v>
      </c>
      <c r="AI338" s="1339" t="e">
        <f t="shared" ref="AI338:AI343" si="115">I69</f>
        <v>#DIV/0!</v>
      </c>
      <c r="AJ338" s="1340" t="e">
        <f t="shared" ref="AJ338:AJ343" si="116">I85</f>
        <v>#DIV/0!</v>
      </c>
    </row>
    <row r="339" spans="1:36" s="1279" customFormat="1" ht="15" x14ac:dyDescent="0.25">
      <c r="A339" s="1282"/>
      <c r="C339" s="1319" t="str">
        <v>AZT+3TC+NVP</v>
      </c>
      <c r="D339" s="1175">
        <f>'Data &amp; hypothesis Children'!C174</f>
        <v>0</v>
      </c>
      <c r="E339" s="1175">
        <f>'Data &amp; hypothesis Children'!D174</f>
        <v>0</v>
      </c>
      <c r="F339" s="1175">
        <f>'Data &amp; hypothesis Children'!E174</f>
        <v>0</v>
      </c>
      <c r="G339" s="1175">
        <f>'Data &amp; hypothesis Children'!F174</f>
        <v>0</v>
      </c>
      <c r="H339" s="1175">
        <f>'Data &amp; hypothesis Children'!G174</f>
        <v>0</v>
      </c>
      <c r="I339" s="1175">
        <f>'Data &amp; hypothesis Children'!H174</f>
        <v>0</v>
      </c>
      <c r="J339" s="1175">
        <f>'Data &amp; hypothesis Children'!I174</f>
        <v>0</v>
      </c>
      <c r="K339" s="1413">
        <f>'Data &amp; hypothesis Children'!J174</f>
        <v>0</v>
      </c>
      <c r="L339" s="1414">
        <f>'Data &amp; hypothesis Children'!K174</f>
        <v>0</v>
      </c>
      <c r="M339" s="1175" t="str">
        <f>'Data &amp; hypothesis Children'!L174</f>
        <v>X</v>
      </c>
      <c r="N339" s="1175">
        <f>'Data &amp; hypothesis Children'!M174</f>
        <v>0</v>
      </c>
      <c r="O339" s="1175">
        <f>'Data &amp; hypothesis Children'!N174</f>
        <v>0</v>
      </c>
      <c r="P339" s="1175">
        <f>'Data &amp; hypothesis Children'!O174</f>
        <v>0</v>
      </c>
      <c r="Q339" s="1175">
        <f>'Data &amp; hypothesis Children'!P174</f>
        <v>0</v>
      </c>
      <c r="R339" s="1175">
        <f>'Data &amp; hypothesis Children'!Q174</f>
        <v>0</v>
      </c>
      <c r="S339" s="1175">
        <f>'Data &amp; hypothesis Children'!R174</f>
        <v>0</v>
      </c>
      <c r="T339" s="1175">
        <f>'Data &amp; hypothesis Children'!S174</f>
        <v>0</v>
      </c>
      <c r="U339" s="1175">
        <f>'Data &amp; hypothesis Children'!T174</f>
        <v>0</v>
      </c>
      <c r="V339" s="1175">
        <f>'Data &amp; hypothesis Children'!U174</f>
        <v>0</v>
      </c>
      <c r="W339" s="1175">
        <f>'Data &amp; hypothesis Children'!V174</f>
        <v>0</v>
      </c>
      <c r="X339" s="1175">
        <f>'Data &amp; hypothesis Children'!W174</f>
        <v>0</v>
      </c>
      <c r="Y339" s="1175">
        <f>'Data &amp; hypothesis Children'!X174</f>
        <v>0</v>
      </c>
      <c r="Z339" s="1175">
        <f>'Data &amp; hypothesis Children'!Y174</f>
        <v>0</v>
      </c>
      <c r="AA339" s="1175">
        <f>'Data &amp; hypothesis Children'!Z174</f>
        <v>0</v>
      </c>
      <c r="AB339" s="1175">
        <f>'Data &amp; hypothesis Children'!AA174</f>
        <v>0</v>
      </c>
      <c r="AC339" s="1175">
        <f>'Data &amp; hypothesis Children'!AB174</f>
        <v>0</v>
      </c>
      <c r="AD339" s="1175">
        <f>'Data &amp; hypothesis Children'!AC174</f>
        <v>0</v>
      </c>
      <c r="AE339" s="1175">
        <f>'Data &amp; hypothesis Children'!AD174</f>
        <v>0</v>
      </c>
      <c r="AF339" s="1175">
        <f>'Data &amp; hypothesis Children'!AE174</f>
        <v>0</v>
      </c>
      <c r="AG339" s="1175">
        <f>'Data &amp; hypothesis Children'!AF174</f>
        <v>0</v>
      </c>
      <c r="AH339" s="1415">
        <f>'Data &amp; hypothesis Children'!AG174</f>
        <v>0</v>
      </c>
      <c r="AI339" s="1339" t="e">
        <f t="shared" si="115"/>
        <v>#DIV/0!</v>
      </c>
      <c r="AJ339" s="1340" t="e">
        <f t="shared" si="116"/>
        <v>#DIV/0!</v>
      </c>
    </row>
    <row r="340" spans="1:36" s="1279" customFormat="1" ht="15" x14ac:dyDescent="0.25">
      <c r="A340" s="1282"/>
      <c r="C340" s="1319" t="str">
        <v>AZT+3TC+EFV</v>
      </c>
      <c r="D340" s="1175">
        <f>'Data &amp; hypothesis Children'!C175</f>
        <v>0</v>
      </c>
      <c r="E340" s="1175">
        <f>'Data &amp; hypothesis Children'!D175</f>
        <v>0</v>
      </c>
      <c r="F340" s="1175">
        <f>'Data &amp; hypothesis Children'!E175</f>
        <v>0</v>
      </c>
      <c r="G340" s="1175">
        <f>'Data &amp; hypothesis Children'!F175</f>
        <v>0</v>
      </c>
      <c r="H340" s="1175">
        <f>'Data &amp; hypothesis Children'!G175</f>
        <v>0</v>
      </c>
      <c r="I340" s="1175">
        <f>'Data &amp; hypothesis Children'!H175</f>
        <v>0</v>
      </c>
      <c r="J340" s="1175">
        <f>'Data &amp; hypothesis Children'!I175</f>
        <v>0</v>
      </c>
      <c r="K340" s="1413">
        <f>'Data &amp; hypothesis Children'!J175</f>
        <v>0</v>
      </c>
      <c r="L340" s="1414">
        <f>'Data &amp; hypothesis Children'!K175</f>
        <v>0</v>
      </c>
      <c r="M340" s="1175">
        <f>'Data &amp; hypothesis Children'!L175</f>
        <v>0</v>
      </c>
      <c r="N340" s="1175">
        <f>'Data &amp; hypothesis Children'!M175</f>
        <v>0</v>
      </c>
      <c r="O340" s="1175" t="str">
        <f>'Data &amp; hypothesis Children'!N175</f>
        <v>X</v>
      </c>
      <c r="P340" s="1175">
        <f>'Data &amp; hypothesis Children'!O175</f>
        <v>0</v>
      </c>
      <c r="Q340" s="1175">
        <f>'Data &amp; hypothesis Children'!P175</f>
        <v>0</v>
      </c>
      <c r="R340" s="1175">
        <f>'Data &amp; hypothesis Children'!Q175</f>
        <v>0</v>
      </c>
      <c r="S340" s="1175">
        <f>'Data &amp; hypothesis Children'!R175</f>
        <v>0</v>
      </c>
      <c r="T340" s="1175">
        <f>'Data &amp; hypothesis Children'!S175</f>
        <v>0</v>
      </c>
      <c r="U340" s="1175">
        <f>'Data &amp; hypothesis Children'!T175</f>
        <v>0</v>
      </c>
      <c r="V340" s="1175">
        <f>'Data &amp; hypothesis Children'!U175</f>
        <v>0</v>
      </c>
      <c r="W340" s="1175">
        <f>'Data &amp; hypothesis Children'!V175</f>
        <v>0</v>
      </c>
      <c r="X340" s="1175">
        <f>'Data &amp; hypothesis Children'!W175</f>
        <v>0</v>
      </c>
      <c r="Y340" s="1175">
        <f>'Data &amp; hypothesis Children'!X175</f>
        <v>0</v>
      </c>
      <c r="Z340" s="1175">
        <f>'Data &amp; hypothesis Children'!Y175</f>
        <v>0</v>
      </c>
      <c r="AA340" s="1175">
        <f>'Data &amp; hypothesis Children'!Z175</f>
        <v>0</v>
      </c>
      <c r="AB340" s="1175">
        <f>'Data &amp; hypothesis Children'!AA175</f>
        <v>0</v>
      </c>
      <c r="AC340" s="1175">
        <f>'Data &amp; hypothesis Children'!AB175</f>
        <v>0</v>
      </c>
      <c r="AD340" s="1175">
        <f>'Data &amp; hypothesis Children'!AC175</f>
        <v>0</v>
      </c>
      <c r="AE340" s="1175">
        <f>'Data &amp; hypothesis Children'!AD175</f>
        <v>0</v>
      </c>
      <c r="AF340" s="1175" t="str">
        <f>'Data &amp; hypothesis Children'!AE175</f>
        <v>X</v>
      </c>
      <c r="AG340" s="1175">
        <f>'Data &amp; hypothesis Children'!AF175</f>
        <v>0</v>
      </c>
      <c r="AH340" s="1415">
        <f>'Data &amp; hypothesis Children'!AG175</f>
        <v>0</v>
      </c>
      <c r="AI340" s="1339" t="e">
        <f t="shared" si="115"/>
        <v>#DIV/0!</v>
      </c>
      <c r="AJ340" s="1340" t="e">
        <f t="shared" si="116"/>
        <v>#DIV/0!</v>
      </c>
    </row>
    <row r="341" spans="1:36" s="1279" customFormat="1" ht="15" x14ac:dyDescent="0.25">
      <c r="A341" s="1282"/>
      <c r="C341" s="1319" t="str">
        <v>LPV/r+3TC+ABC</v>
      </c>
      <c r="D341" s="1175">
        <f>'Data &amp; hypothesis Children'!C176</f>
        <v>0</v>
      </c>
      <c r="E341" s="1175">
        <f>'Data &amp; hypothesis Children'!D176</f>
        <v>0</v>
      </c>
      <c r="F341" s="1175">
        <f>'Data &amp; hypothesis Children'!E176</f>
        <v>0</v>
      </c>
      <c r="G341" s="1175">
        <f>'Data &amp; hypothesis Children'!F176</f>
        <v>0</v>
      </c>
      <c r="H341" s="1175">
        <f>'Data &amp; hypothesis Children'!G176</f>
        <v>0</v>
      </c>
      <c r="I341" s="1175">
        <f>'Data &amp; hypothesis Children'!H176</f>
        <v>0</v>
      </c>
      <c r="J341" s="1175">
        <f>'Data &amp; hypothesis Children'!I176</f>
        <v>0</v>
      </c>
      <c r="K341" s="1413">
        <f>'Data &amp; hypothesis Children'!J176</f>
        <v>0</v>
      </c>
      <c r="L341" s="1414">
        <f>'Data &amp; hypothesis Children'!K176</f>
        <v>0</v>
      </c>
      <c r="M341" s="1175">
        <f>'Data &amp; hypothesis Children'!L176</f>
        <v>0</v>
      </c>
      <c r="N341" s="1175">
        <f>'Data &amp; hypothesis Children'!M176</f>
        <v>0</v>
      </c>
      <c r="O341" s="1175">
        <f>'Data &amp; hypothesis Children'!N176</f>
        <v>0</v>
      </c>
      <c r="P341" s="1175">
        <f>'Data &amp; hypothesis Children'!O176</f>
        <v>0</v>
      </c>
      <c r="Q341" s="1175">
        <f>'Data &amp; hypothesis Children'!P176</f>
        <v>0</v>
      </c>
      <c r="R341" s="1175">
        <f>'Data &amp; hypothesis Children'!Q176</f>
        <v>0</v>
      </c>
      <c r="S341" s="1175">
        <f>'Data &amp; hypothesis Children'!R176</f>
        <v>0</v>
      </c>
      <c r="T341" s="1175">
        <f>'Data &amp; hypothesis Children'!S176</f>
        <v>0</v>
      </c>
      <c r="U341" s="1175">
        <f>'Data &amp; hypothesis Children'!T176</f>
        <v>0</v>
      </c>
      <c r="V341" s="1175">
        <f>'Data &amp; hypothesis Children'!U176</f>
        <v>0</v>
      </c>
      <c r="W341" s="1175">
        <f>'Data &amp; hypothesis Children'!V176</f>
        <v>0</v>
      </c>
      <c r="X341" s="1175">
        <f>'Data &amp; hypothesis Children'!W176</f>
        <v>0</v>
      </c>
      <c r="Y341" s="1175">
        <f>'Data &amp; hypothesis Children'!X176</f>
        <v>0</v>
      </c>
      <c r="Z341" s="1175">
        <f>'Data &amp; hypothesis Children'!Y176</f>
        <v>0</v>
      </c>
      <c r="AA341" s="1175">
        <f>'Data &amp; hypothesis Children'!Z176</f>
        <v>0</v>
      </c>
      <c r="AB341" s="1175">
        <f>'Data &amp; hypothesis Children'!AA176</f>
        <v>0</v>
      </c>
      <c r="AC341" s="1175">
        <f>'Data &amp; hypothesis Children'!AB176</f>
        <v>0</v>
      </c>
      <c r="AD341" s="1175">
        <f>'Data &amp; hypothesis Children'!AC176</f>
        <v>0</v>
      </c>
      <c r="AE341" s="1175">
        <f>'Data &amp; hypothesis Children'!AD176</f>
        <v>0</v>
      </c>
      <c r="AF341" s="1175">
        <f>'Data &amp; hypothesis Children'!AE176</f>
        <v>0</v>
      </c>
      <c r="AG341" s="1175">
        <f>'Data &amp; hypothesis Children'!AF176</f>
        <v>0</v>
      </c>
      <c r="AH341" s="1415">
        <f>'Data &amp; hypothesis Children'!AG176</f>
        <v>0</v>
      </c>
      <c r="AI341" s="1339" t="e">
        <f t="shared" si="115"/>
        <v>#DIV/0!</v>
      </c>
      <c r="AJ341" s="1340" t="e">
        <f t="shared" si="116"/>
        <v>#DIV/0!</v>
      </c>
    </row>
    <row r="342" spans="1:36" s="1279" customFormat="1" ht="15" x14ac:dyDescent="0.25">
      <c r="A342" s="1282"/>
      <c r="C342" s="1319" t="str">
        <v>ABC+3TC+NVP</v>
      </c>
      <c r="D342" s="1175">
        <f>'Data &amp; hypothesis Children'!C177</f>
        <v>0</v>
      </c>
      <c r="E342" s="1175">
        <f>'Data &amp; hypothesis Children'!D177</f>
        <v>0</v>
      </c>
      <c r="F342" s="1175">
        <f>'Data &amp; hypothesis Children'!E177</f>
        <v>0</v>
      </c>
      <c r="G342" s="1175">
        <f>'Data &amp; hypothesis Children'!F177</f>
        <v>0</v>
      </c>
      <c r="H342" s="1175">
        <f>'Data &amp; hypothesis Children'!G177</f>
        <v>0</v>
      </c>
      <c r="I342" s="1175">
        <f>'Data &amp; hypothesis Children'!H177</f>
        <v>0</v>
      </c>
      <c r="J342" s="1175">
        <f>'Data &amp; hypothesis Children'!I177</f>
        <v>0</v>
      </c>
      <c r="K342" s="1413">
        <f>'Data &amp; hypothesis Children'!J177</f>
        <v>0</v>
      </c>
      <c r="L342" s="1414">
        <f>'Data &amp; hypothesis Children'!K177</f>
        <v>0</v>
      </c>
      <c r="M342" s="1175">
        <f>'Data &amp; hypothesis Children'!L177</f>
        <v>0</v>
      </c>
      <c r="N342" s="1175">
        <f>'Data &amp; hypothesis Children'!M177</f>
        <v>0</v>
      </c>
      <c r="O342" s="1175">
        <f>'Data &amp; hypothesis Children'!N177</f>
        <v>0</v>
      </c>
      <c r="P342" s="1175">
        <f>'Data &amp; hypothesis Children'!O177</f>
        <v>0</v>
      </c>
      <c r="Q342" s="1175">
        <f>'Data &amp; hypothesis Children'!P177</f>
        <v>0</v>
      </c>
      <c r="R342" s="1175">
        <f>'Data &amp; hypothesis Children'!Q177</f>
        <v>0</v>
      </c>
      <c r="S342" s="1175">
        <f>'Data &amp; hypothesis Children'!R177</f>
        <v>0</v>
      </c>
      <c r="T342" s="1175">
        <f>'Data &amp; hypothesis Children'!S177</f>
        <v>0</v>
      </c>
      <c r="U342" s="1175">
        <f>'Data &amp; hypothesis Children'!T177</f>
        <v>0</v>
      </c>
      <c r="V342" s="1175" t="str">
        <f>'Data &amp; hypothesis Children'!U177</f>
        <v>X</v>
      </c>
      <c r="W342" s="1175">
        <f>'Data &amp; hypothesis Children'!V177</f>
        <v>0</v>
      </c>
      <c r="X342" s="1175">
        <f>'Data &amp; hypothesis Children'!W177</f>
        <v>0</v>
      </c>
      <c r="Y342" s="1175">
        <f>'Data &amp; hypothesis Children'!X177</f>
        <v>0</v>
      </c>
      <c r="Z342" s="1175">
        <f>'Data &amp; hypothesis Children'!Y177</f>
        <v>0</v>
      </c>
      <c r="AA342" s="1175">
        <f>'Data &amp; hypothesis Children'!Z177</f>
        <v>0</v>
      </c>
      <c r="AB342" s="1175">
        <f>'Data &amp; hypothesis Children'!AA177</f>
        <v>0</v>
      </c>
      <c r="AC342" s="1175">
        <f>'Data &amp; hypothesis Children'!AB177</f>
        <v>0</v>
      </c>
      <c r="AD342" s="1175">
        <f>'Data &amp; hypothesis Children'!AC177</f>
        <v>0</v>
      </c>
      <c r="AE342" s="1175" t="str">
        <f>'Data &amp; hypothesis Children'!AD177</f>
        <v>X</v>
      </c>
      <c r="AF342" s="1175">
        <f>'Data &amp; hypothesis Children'!AE177</f>
        <v>0</v>
      </c>
      <c r="AG342" s="1175">
        <f>'Data &amp; hypothesis Children'!AF177</f>
        <v>0</v>
      </c>
      <c r="AH342" s="1415">
        <f>'Data &amp; hypothesis Children'!AG177</f>
        <v>0</v>
      </c>
      <c r="AI342" s="1339" t="e">
        <f t="shared" si="115"/>
        <v>#DIV/0!</v>
      </c>
      <c r="AJ342" s="1340" t="e">
        <f t="shared" si="116"/>
        <v>#DIV/0!</v>
      </c>
    </row>
    <row r="343" spans="1:36" s="1279" customFormat="1" ht="15" x14ac:dyDescent="0.25">
      <c r="A343" s="1282"/>
      <c r="C343" s="1319" t="str">
        <v>AZT+3TC+LPV/r</v>
      </c>
      <c r="D343" s="1175">
        <f>'Data &amp; hypothesis Children'!C178</f>
        <v>0</v>
      </c>
      <c r="E343" s="1175">
        <f>'Data &amp; hypothesis Children'!D178</f>
        <v>0</v>
      </c>
      <c r="F343" s="1175">
        <f>'Data &amp; hypothesis Children'!E178</f>
        <v>0</v>
      </c>
      <c r="G343" s="1175">
        <f>'Data &amp; hypothesis Children'!F178</f>
        <v>0</v>
      </c>
      <c r="H343" s="1175">
        <f>'Data &amp; hypothesis Children'!G178</f>
        <v>0</v>
      </c>
      <c r="I343" s="1175">
        <f>'Data &amp; hypothesis Children'!H178</f>
        <v>0</v>
      </c>
      <c r="J343" s="1175">
        <f>'Data &amp; hypothesis Children'!I178</f>
        <v>0</v>
      </c>
      <c r="K343" s="1413">
        <f>'Data &amp; hypothesis Children'!J178</f>
        <v>0</v>
      </c>
      <c r="L343" s="1414">
        <f>'Data &amp; hypothesis Children'!K178</f>
        <v>0</v>
      </c>
      <c r="M343" s="1175">
        <f>'Data &amp; hypothesis Children'!L178</f>
        <v>0</v>
      </c>
      <c r="N343" s="1175">
        <f>'Data &amp; hypothesis Children'!M178</f>
        <v>0</v>
      </c>
      <c r="O343" s="1175" t="str">
        <f>'Data &amp; hypothesis Children'!N178</f>
        <v>X</v>
      </c>
      <c r="P343" s="1175">
        <f>'Data &amp; hypothesis Children'!O178</f>
        <v>0</v>
      </c>
      <c r="Q343" s="1175">
        <f>'Data &amp; hypothesis Children'!P178</f>
        <v>0</v>
      </c>
      <c r="R343" s="1175">
        <f>'Data &amp; hypothesis Children'!Q178</f>
        <v>0</v>
      </c>
      <c r="S343" s="1175">
        <f>'Data &amp; hypothesis Children'!R178</f>
        <v>0</v>
      </c>
      <c r="T343" s="1175">
        <f>'Data &amp; hypothesis Children'!S178</f>
        <v>0</v>
      </c>
      <c r="U343" s="1175">
        <f>'Data &amp; hypothesis Children'!T178</f>
        <v>0</v>
      </c>
      <c r="V343" s="1175">
        <f>'Data &amp; hypothesis Children'!U178</f>
        <v>0</v>
      </c>
      <c r="W343" s="1175">
        <f>'Data &amp; hypothesis Children'!V178</f>
        <v>0</v>
      </c>
      <c r="X343" s="1175">
        <f>'Data &amp; hypothesis Children'!W178</f>
        <v>0</v>
      </c>
      <c r="Y343" s="1175">
        <f>'Data &amp; hypothesis Children'!X178</f>
        <v>0</v>
      </c>
      <c r="Z343" s="1175">
        <f>'Data &amp; hypothesis Children'!Y178</f>
        <v>0</v>
      </c>
      <c r="AA343" s="1175">
        <f>'Data &amp; hypothesis Children'!Z178</f>
        <v>0</v>
      </c>
      <c r="AB343" s="1175">
        <f>'Data &amp; hypothesis Children'!AA178</f>
        <v>0</v>
      </c>
      <c r="AC343" s="1175">
        <f>'Data &amp; hypothesis Children'!AB178</f>
        <v>0</v>
      </c>
      <c r="AD343" s="1175">
        <f>'Data &amp; hypothesis Children'!AC178</f>
        <v>0</v>
      </c>
      <c r="AE343" s="1175">
        <f>'Data &amp; hypothesis Children'!AD178</f>
        <v>0</v>
      </c>
      <c r="AF343" s="1175">
        <f>'Data &amp; hypothesis Children'!AE178</f>
        <v>0</v>
      </c>
      <c r="AG343" s="1175">
        <f>'Data &amp; hypothesis Children'!AF178</f>
        <v>0</v>
      </c>
      <c r="AH343" s="1415" t="str">
        <f>'Data &amp; hypothesis Children'!AG178</f>
        <v>X</v>
      </c>
      <c r="AI343" s="1339" t="e">
        <f t="shared" si="115"/>
        <v>#DIV/0!</v>
      </c>
      <c r="AJ343" s="1340" t="e">
        <f t="shared" si="116"/>
        <v>#DIV/0!</v>
      </c>
    </row>
    <row r="344" spans="1:36" s="1279" customFormat="1" x14ac:dyDescent="0.2">
      <c r="A344" s="1282"/>
      <c r="C344" s="1296" t="str">
        <f>'TRAD-Children YEAR(1)'!$B$117</f>
        <v>Deuxièmes lignes</v>
      </c>
      <c r="D344" s="1410"/>
      <c r="E344" s="1410"/>
      <c r="F344" s="1410"/>
      <c r="G344" s="1410"/>
      <c r="H344" s="1410"/>
      <c r="I344" s="1410"/>
      <c r="J344" s="1410"/>
      <c r="K344" s="1411"/>
      <c r="L344" s="1412"/>
      <c r="M344" s="1410"/>
      <c r="N344" s="1410"/>
      <c r="O344" s="1410"/>
      <c r="P344" s="1410"/>
      <c r="Q344" s="1410"/>
      <c r="R344" s="1410"/>
      <c r="S344" s="1410"/>
      <c r="T344" s="1410"/>
      <c r="U344" s="1410"/>
      <c r="V344" s="1410"/>
      <c r="W344" s="1410"/>
      <c r="X344" s="1410"/>
      <c r="Y344" s="1410"/>
      <c r="Z344" s="1410"/>
      <c r="AA344" s="1410"/>
      <c r="AB344" s="1410"/>
      <c r="AC344" s="1410"/>
      <c r="AD344" s="1410"/>
      <c r="AE344" s="1410"/>
      <c r="AF344" s="1410"/>
      <c r="AG344" s="1410"/>
      <c r="AH344" s="1416"/>
      <c r="AI344" s="1339"/>
      <c r="AJ344" s="1340"/>
    </row>
    <row r="345" spans="1:36" s="1279" customFormat="1" ht="15" x14ac:dyDescent="0.25">
      <c r="A345" s="1282"/>
      <c r="C345" s="1301" t="str">
        <f t="array" ref="C345:C348">'Data &amp; hypothesis Children'!$C$32:$C$35</f>
        <v>ABC+3TC+EFV</v>
      </c>
      <c r="D345" s="1175">
        <f>'Data &amp; hypothesis Children'!C180</f>
        <v>0</v>
      </c>
      <c r="E345" s="1175">
        <f>'Data &amp; hypothesis Children'!D180</f>
        <v>0</v>
      </c>
      <c r="F345" s="1175">
        <f>'Data &amp; hypothesis Children'!E180</f>
        <v>0</v>
      </c>
      <c r="G345" s="1175">
        <f>'Data &amp; hypothesis Children'!F180</f>
        <v>0</v>
      </c>
      <c r="H345" s="1175">
        <f>'Data &amp; hypothesis Children'!G180</f>
        <v>0</v>
      </c>
      <c r="I345" s="1175">
        <f>'Data &amp; hypothesis Children'!H180</f>
        <v>0</v>
      </c>
      <c r="J345" s="1175">
        <f>'Data &amp; hypothesis Children'!I180</f>
        <v>0</v>
      </c>
      <c r="K345" s="1413">
        <f>'Data &amp; hypothesis Children'!J180</f>
        <v>0</v>
      </c>
      <c r="L345" s="1414">
        <f>'Data &amp; hypothesis Children'!K180</f>
        <v>0</v>
      </c>
      <c r="M345" s="1175">
        <f>'Data &amp; hypothesis Children'!L180</f>
        <v>0</v>
      </c>
      <c r="N345" s="1175">
        <f>'Data &amp; hypothesis Children'!M180</f>
        <v>0</v>
      </c>
      <c r="O345" s="1175">
        <f>'Data &amp; hypothesis Children'!N180</f>
        <v>0</v>
      </c>
      <c r="P345" s="1175">
        <f>'Data &amp; hypothesis Children'!O180</f>
        <v>0</v>
      </c>
      <c r="Q345" s="1175">
        <f>'Data &amp; hypothesis Children'!P180</f>
        <v>0</v>
      </c>
      <c r="R345" s="1175">
        <f>'Data &amp; hypothesis Children'!Q180</f>
        <v>0</v>
      </c>
      <c r="S345" s="1175">
        <f>'Data &amp; hypothesis Children'!R180</f>
        <v>0</v>
      </c>
      <c r="T345" s="1175">
        <f>'Data &amp; hypothesis Children'!S180</f>
        <v>0</v>
      </c>
      <c r="U345" s="1175">
        <f>'Data &amp; hypothesis Children'!T180</f>
        <v>0</v>
      </c>
      <c r="V345" s="1175" t="str">
        <f>'Data &amp; hypothesis Children'!U180</f>
        <v>X</v>
      </c>
      <c r="W345" s="1175">
        <f>'Data &amp; hypothesis Children'!V180</f>
        <v>0</v>
      </c>
      <c r="X345" s="1175">
        <f>'Data &amp; hypothesis Children'!W180</f>
        <v>0</v>
      </c>
      <c r="Y345" s="1175">
        <f>'Data &amp; hypothesis Children'!X180</f>
        <v>0</v>
      </c>
      <c r="Z345" s="1175">
        <f>'Data &amp; hypothesis Children'!Y180</f>
        <v>0</v>
      </c>
      <c r="AA345" s="1175">
        <f>'Data &amp; hypothesis Children'!Z180</f>
        <v>0</v>
      </c>
      <c r="AB345" s="1175">
        <f>'Data &amp; hypothesis Children'!AA180</f>
        <v>0</v>
      </c>
      <c r="AC345" s="1175">
        <f>'Data &amp; hypothesis Children'!AB180</f>
        <v>0</v>
      </c>
      <c r="AD345" s="1175">
        <f>'Data &amp; hypothesis Children'!AC180</f>
        <v>0</v>
      </c>
      <c r="AE345" s="1175">
        <f>'Data &amp; hypothesis Children'!AD180</f>
        <v>0</v>
      </c>
      <c r="AF345" s="1175" t="str">
        <f>'Data &amp; hypothesis Children'!AE180</f>
        <v>X</v>
      </c>
      <c r="AG345" s="1175">
        <f>'Data &amp; hypothesis Children'!AF180</f>
        <v>0</v>
      </c>
      <c r="AH345" s="1415">
        <f>'Data &amp; hypothesis Children'!AG180</f>
        <v>0</v>
      </c>
      <c r="AI345" s="1339" t="e">
        <f>I75</f>
        <v>#DIV/0!</v>
      </c>
      <c r="AJ345" s="1340" t="e">
        <f>I91</f>
        <v>#DIV/0!</v>
      </c>
    </row>
    <row r="346" spans="1:36" s="1279" customFormat="1" ht="15" x14ac:dyDescent="0.25">
      <c r="A346" s="1282"/>
      <c r="C346" s="1301" t="str">
        <v>TDF+3TC+LPV/r</v>
      </c>
      <c r="D346" s="1175">
        <f>'Data &amp; hypothesis Children'!C181</f>
        <v>0</v>
      </c>
      <c r="E346" s="1175">
        <f>'Data &amp; hypothesis Children'!D181</f>
        <v>0</v>
      </c>
      <c r="F346" s="1175">
        <f>'Data &amp; hypothesis Children'!E181</f>
        <v>0</v>
      </c>
      <c r="G346" s="1175">
        <f>'Data &amp; hypothesis Children'!F181</f>
        <v>0</v>
      </c>
      <c r="H346" s="1175">
        <f>'Data &amp; hypothesis Children'!G181</f>
        <v>0</v>
      </c>
      <c r="I346" s="1175">
        <f>'Data &amp; hypothesis Children'!H181</f>
        <v>0</v>
      </c>
      <c r="J346" s="1175">
        <f>'Data &amp; hypothesis Children'!I181</f>
        <v>0</v>
      </c>
      <c r="K346" s="1413">
        <f>'Data &amp; hypothesis Children'!J181</f>
        <v>0</v>
      </c>
      <c r="L346" s="1414">
        <f>'Data &amp; hypothesis Children'!K181</f>
        <v>0</v>
      </c>
      <c r="M346" s="1175">
        <f>'Data &amp; hypothesis Children'!L181</f>
        <v>0</v>
      </c>
      <c r="N346" s="1175">
        <f>'Data &amp; hypothesis Children'!M181</f>
        <v>0</v>
      </c>
      <c r="O346" s="1175">
        <f>'Data &amp; hypothesis Children'!N181</f>
        <v>0</v>
      </c>
      <c r="P346" s="1175">
        <f>'Data &amp; hypothesis Children'!O181</f>
        <v>0</v>
      </c>
      <c r="Q346" s="1175">
        <f>'Data &amp; hypothesis Children'!P181</f>
        <v>0</v>
      </c>
      <c r="R346" s="1175">
        <f>'Data &amp; hypothesis Children'!Q181</f>
        <v>0</v>
      </c>
      <c r="S346" s="1175">
        <f>'Data &amp; hypothesis Children'!R181</f>
        <v>0</v>
      </c>
      <c r="T346" s="1175">
        <f>'Data &amp; hypothesis Children'!S181</f>
        <v>0</v>
      </c>
      <c r="U346" s="1175">
        <f>'Data &amp; hypothesis Children'!T181</f>
        <v>0</v>
      </c>
      <c r="V346" s="1175">
        <f>'Data &amp; hypothesis Children'!U181</f>
        <v>0</v>
      </c>
      <c r="W346" s="1175">
        <f>'Data &amp; hypothesis Children'!V181</f>
        <v>0</v>
      </c>
      <c r="X346" s="1175" t="str">
        <f>'Data &amp; hypothesis Children'!W181</f>
        <v>X</v>
      </c>
      <c r="Y346" s="1175">
        <f>'Data &amp; hypothesis Children'!X181</f>
        <v>0</v>
      </c>
      <c r="Z346" s="1175">
        <f>'Data &amp; hypothesis Children'!Y181</f>
        <v>0</v>
      </c>
      <c r="AA346" s="1175">
        <f>'Data &amp; hypothesis Children'!Z181</f>
        <v>0</v>
      </c>
      <c r="AB346" s="1175">
        <f>'Data &amp; hypothesis Children'!AA181</f>
        <v>0</v>
      </c>
      <c r="AC346" s="1175">
        <f>'Data &amp; hypothesis Children'!AB181</f>
        <v>0</v>
      </c>
      <c r="AD346" s="1175">
        <f>'Data &amp; hypothesis Children'!AC181</f>
        <v>0</v>
      </c>
      <c r="AE346" s="1175">
        <f>'Data &amp; hypothesis Children'!AD181</f>
        <v>0</v>
      </c>
      <c r="AF346" s="1175">
        <f>'Data &amp; hypothesis Children'!AE181</f>
        <v>0</v>
      </c>
      <c r="AG346" s="1175">
        <f>'Data &amp; hypothesis Children'!AF181</f>
        <v>0</v>
      </c>
      <c r="AH346" s="1415" t="str">
        <f>'Data &amp; hypothesis Children'!AG181</f>
        <v>X</v>
      </c>
      <c r="AI346" s="1339" t="e">
        <f t="shared" ref="AI346:AI347" si="117">I76</f>
        <v>#DIV/0!</v>
      </c>
      <c r="AJ346" s="1340" t="e">
        <f t="shared" ref="AJ346:AJ347" si="118">I92</f>
        <v>#DIV/0!</v>
      </c>
    </row>
    <row r="347" spans="1:36" s="1279" customFormat="1" ht="15" x14ac:dyDescent="0.25">
      <c r="A347" s="1282"/>
      <c r="C347" s="1301" t="str">
        <v>AZT+3TC+EFV</v>
      </c>
      <c r="D347" s="1175">
        <f>'Data &amp; hypothesis Children'!C182</f>
        <v>0</v>
      </c>
      <c r="E347" s="1175">
        <f>'Data &amp; hypothesis Children'!D182</f>
        <v>0</v>
      </c>
      <c r="F347" s="1175">
        <f>'Data &amp; hypothesis Children'!E182</f>
        <v>0</v>
      </c>
      <c r="G347" s="1175">
        <f>'Data &amp; hypothesis Children'!F182</f>
        <v>0</v>
      </c>
      <c r="H347" s="1175">
        <f>'Data &amp; hypothesis Children'!G182</f>
        <v>0</v>
      </c>
      <c r="I347" s="1175">
        <f>'Data &amp; hypothesis Children'!H182</f>
        <v>0</v>
      </c>
      <c r="J347" s="1175">
        <f>'Data &amp; hypothesis Children'!I182</f>
        <v>0</v>
      </c>
      <c r="K347" s="1413">
        <f>'Data &amp; hypothesis Children'!J182</f>
        <v>0</v>
      </c>
      <c r="L347" s="1414">
        <f>'Data &amp; hypothesis Children'!K182</f>
        <v>0</v>
      </c>
      <c r="M347" s="1175">
        <f>'Data &amp; hypothesis Children'!L182</f>
        <v>0</v>
      </c>
      <c r="N347" s="1175">
        <f>'Data &amp; hypothesis Children'!M182</f>
        <v>0</v>
      </c>
      <c r="O347" s="1175">
        <f>'Data &amp; hypothesis Children'!N182</f>
        <v>0</v>
      </c>
      <c r="P347" s="1175">
        <f>'Data &amp; hypothesis Children'!O182</f>
        <v>0</v>
      </c>
      <c r="Q347" s="1175">
        <f>'Data &amp; hypothesis Children'!P182</f>
        <v>0</v>
      </c>
      <c r="R347" s="1175">
        <f>'Data &amp; hypothesis Children'!Q182</f>
        <v>0</v>
      </c>
      <c r="S347" s="1175">
        <f>'Data &amp; hypothesis Children'!R182</f>
        <v>0</v>
      </c>
      <c r="T347" s="1175">
        <f>'Data &amp; hypothesis Children'!S182</f>
        <v>0</v>
      </c>
      <c r="U347" s="1175">
        <f>'Data &amp; hypothesis Children'!T182</f>
        <v>0</v>
      </c>
      <c r="V347" s="1175">
        <f>'Data &amp; hypothesis Children'!U182</f>
        <v>0</v>
      </c>
      <c r="W347" s="1175">
        <f>'Data &amp; hypothesis Children'!V182</f>
        <v>0</v>
      </c>
      <c r="X347" s="1175">
        <f>'Data &amp; hypothesis Children'!W182</f>
        <v>0</v>
      </c>
      <c r="Y347" s="1175">
        <f>'Data &amp; hypothesis Children'!X182</f>
        <v>0</v>
      </c>
      <c r="Z347" s="1175">
        <f>'Data &amp; hypothesis Children'!Y182</f>
        <v>0</v>
      </c>
      <c r="AA347" s="1175">
        <f>'Data &amp; hypothesis Children'!Z182</f>
        <v>0</v>
      </c>
      <c r="AB347" s="1175">
        <f>'Data &amp; hypothesis Children'!AA182</f>
        <v>0</v>
      </c>
      <c r="AC347" s="1175">
        <f>'Data &amp; hypothesis Children'!AB182</f>
        <v>0</v>
      </c>
      <c r="AD347" s="1175">
        <f>'Data &amp; hypothesis Children'!AC182</f>
        <v>0</v>
      </c>
      <c r="AE347" s="1175">
        <f>'Data &amp; hypothesis Children'!AD182</f>
        <v>0</v>
      </c>
      <c r="AF347" s="1175">
        <f>'Data &amp; hypothesis Children'!AE182</f>
        <v>0</v>
      </c>
      <c r="AG347" s="1175">
        <f>'Data &amp; hypothesis Children'!AF182</f>
        <v>0</v>
      </c>
      <c r="AH347" s="1415">
        <f>'Data &amp; hypothesis Children'!AG182</f>
        <v>0</v>
      </c>
      <c r="AI347" s="1339" t="e">
        <f t="shared" si="117"/>
        <v>#DIV/0!</v>
      </c>
      <c r="AJ347" s="1340" t="e">
        <f t="shared" si="118"/>
        <v>#DIV/0!</v>
      </c>
    </row>
    <row r="348" spans="1:36" s="1279" customFormat="1" ht="15.75" thickBot="1" x14ac:dyDescent="0.3">
      <c r="A348" s="1282"/>
      <c r="C348" s="1301">
        <v>0</v>
      </c>
      <c r="D348" s="1175">
        <f>'Data &amp; hypothesis Children'!C183</f>
        <v>0</v>
      </c>
      <c r="E348" s="1175">
        <f>'Data &amp; hypothesis Children'!D183</f>
        <v>0</v>
      </c>
      <c r="F348" s="1175">
        <f>'Data &amp; hypothesis Children'!E183</f>
        <v>0</v>
      </c>
      <c r="G348" s="1175">
        <f>'Data &amp; hypothesis Children'!F183</f>
        <v>0</v>
      </c>
      <c r="H348" s="1175">
        <f>'Data &amp; hypothesis Children'!G183</f>
        <v>0</v>
      </c>
      <c r="I348" s="1175">
        <f>'Data &amp; hypothesis Children'!H183</f>
        <v>0</v>
      </c>
      <c r="J348" s="1175">
        <f>'Data &amp; hypothesis Children'!I183</f>
        <v>0</v>
      </c>
      <c r="K348" s="1413">
        <f>'Data &amp; hypothesis Children'!J183</f>
        <v>0</v>
      </c>
      <c r="L348" s="1417">
        <f>'Data &amp; hypothesis Children'!K183</f>
        <v>0</v>
      </c>
      <c r="M348" s="1418">
        <f>'Data &amp; hypothesis Children'!L183</f>
        <v>0</v>
      </c>
      <c r="N348" s="1418">
        <f>'Data &amp; hypothesis Children'!M183</f>
        <v>0</v>
      </c>
      <c r="O348" s="1418">
        <f>'Data &amp; hypothesis Children'!N183</f>
        <v>0</v>
      </c>
      <c r="P348" s="1418">
        <f>'Data &amp; hypothesis Children'!O183</f>
        <v>0</v>
      </c>
      <c r="Q348" s="1418">
        <f>'Data &amp; hypothesis Children'!P183</f>
        <v>0</v>
      </c>
      <c r="R348" s="1418">
        <f>'Data &amp; hypothesis Children'!Q183</f>
        <v>0</v>
      </c>
      <c r="S348" s="1418">
        <f>'Data &amp; hypothesis Children'!R183</f>
        <v>0</v>
      </c>
      <c r="T348" s="1418">
        <f>'Data &amp; hypothesis Children'!S183</f>
        <v>0</v>
      </c>
      <c r="U348" s="1418">
        <f>'Data &amp; hypothesis Children'!T183</f>
        <v>0</v>
      </c>
      <c r="V348" s="1418">
        <f>'Data &amp; hypothesis Children'!U183</f>
        <v>0</v>
      </c>
      <c r="W348" s="1418">
        <f>'Data &amp; hypothesis Children'!V183</f>
        <v>0</v>
      </c>
      <c r="X348" s="1418">
        <f>'Data &amp; hypothesis Children'!W183</f>
        <v>0</v>
      </c>
      <c r="Y348" s="1418">
        <f>'Data &amp; hypothesis Children'!X183</f>
        <v>0</v>
      </c>
      <c r="Z348" s="1418">
        <f>'Data &amp; hypothesis Children'!Y183</f>
        <v>0</v>
      </c>
      <c r="AA348" s="1418">
        <f>'Data &amp; hypothesis Children'!Z183</f>
        <v>0</v>
      </c>
      <c r="AB348" s="1418">
        <f>'Data &amp; hypothesis Children'!AA183</f>
        <v>0</v>
      </c>
      <c r="AC348" s="1418">
        <f>'Data &amp; hypothesis Children'!AB183</f>
        <v>0</v>
      </c>
      <c r="AD348" s="1418">
        <f>'Data &amp; hypothesis Children'!AC183</f>
        <v>0</v>
      </c>
      <c r="AE348" s="1418">
        <f>'Data &amp; hypothesis Children'!AD183</f>
        <v>0</v>
      </c>
      <c r="AF348" s="1418">
        <f>'Data &amp; hypothesis Children'!AE183</f>
        <v>0</v>
      </c>
      <c r="AG348" s="1418">
        <f>'Data &amp; hypothesis Children'!AF183</f>
        <v>0</v>
      </c>
      <c r="AH348" s="1419">
        <f>'Data &amp; hypothesis Children'!AG183</f>
        <v>0</v>
      </c>
      <c r="AI348" s="1339" t="e">
        <f>I78</f>
        <v>#DIV/0!</v>
      </c>
      <c r="AJ348" s="1340" t="e">
        <f>I94</f>
        <v>#DIV/0!</v>
      </c>
    </row>
    <row r="349" spans="1:36" s="1304" customFormat="1" ht="26.25" thickBot="1" x14ac:dyDescent="0.25">
      <c r="A349" s="1303"/>
      <c r="C349" s="1305" t="str">
        <f>'TRAD-Children YEAR(1)'!B118</f>
        <v>Nb de patients-mois / produit - SANS SS</v>
      </c>
      <c r="D349" s="1306">
        <f t="shared" ref="D349:AE349" si="119">SUMIF(D338:D348, "X", $AI338:$AI348)</f>
        <v>0</v>
      </c>
      <c r="E349" s="1306">
        <f t="shared" si="119"/>
        <v>0</v>
      </c>
      <c r="F349" s="1306">
        <f t="shared" si="119"/>
        <v>0</v>
      </c>
      <c r="G349" s="1306">
        <f t="shared" si="119"/>
        <v>0</v>
      </c>
      <c r="H349" s="1306">
        <f t="shared" si="119"/>
        <v>0</v>
      </c>
      <c r="I349" s="1306">
        <f t="shared" si="119"/>
        <v>0</v>
      </c>
      <c r="J349" s="1306">
        <f t="shared" si="119"/>
        <v>0</v>
      </c>
      <c r="K349" s="1307">
        <f t="shared" si="119"/>
        <v>0</v>
      </c>
      <c r="L349" s="1308">
        <f t="shared" si="119"/>
        <v>0</v>
      </c>
      <c r="M349" s="1306" t="e">
        <f t="shared" si="119"/>
        <v>#DIV/0!</v>
      </c>
      <c r="N349" s="1306">
        <f t="shared" si="119"/>
        <v>0</v>
      </c>
      <c r="O349" s="1306" t="e">
        <f t="shared" si="119"/>
        <v>#DIV/0!</v>
      </c>
      <c r="P349" s="1306">
        <f t="shared" si="119"/>
        <v>0</v>
      </c>
      <c r="Q349" s="1306">
        <f t="shared" si="119"/>
        <v>0</v>
      </c>
      <c r="R349" s="1306">
        <f t="shared" si="119"/>
        <v>0</v>
      </c>
      <c r="S349" s="1306">
        <f t="shared" si="119"/>
        <v>0</v>
      </c>
      <c r="T349" s="1306">
        <f t="shared" si="119"/>
        <v>0</v>
      </c>
      <c r="U349" s="1306">
        <f t="shared" si="119"/>
        <v>0</v>
      </c>
      <c r="V349" s="1306" t="e">
        <f t="shared" si="119"/>
        <v>#DIV/0!</v>
      </c>
      <c r="W349" s="1306">
        <f t="shared" si="119"/>
        <v>0</v>
      </c>
      <c r="X349" s="1306" t="e">
        <f t="shared" si="119"/>
        <v>#DIV/0!</v>
      </c>
      <c r="Y349" s="1306">
        <f t="shared" si="119"/>
        <v>0</v>
      </c>
      <c r="Z349" s="1306">
        <f t="shared" si="119"/>
        <v>0</v>
      </c>
      <c r="AA349" s="1306">
        <f t="shared" si="119"/>
        <v>0</v>
      </c>
      <c r="AB349" s="1306">
        <f t="shared" si="119"/>
        <v>0</v>
      </c>
      <c r="AC349" s="1306">
        <f t="shared" si="119"/>
        <v>0</v>
      </c>
      <c r="AD349" s="1306">
        <f t="shared" si="119"/>
        <v>0</v>
      </c>
      <c r="AE349" s="1306" t="e">
        <f t="shared" si="119"/>
        <v>#DIV/0!</v>
      </c>
      <c r="AF349" s="1306" t="e">
        <f t="shared" ref="AF349" si="120">SUMIF(AF338:AF348, "X", $AI338:$AI348)</f>
        <v>#DIV/0!</v>
      </c>
      <c r="AG349" s="1306">
        <f>SUMIF(AG338:AG348, "X", $AI338:$AI348)</f>
        <v>0</v>
      </c>
      <c r="AH349" s="1306" t="e">
        <f>SUMIF(AH338:$AH$348, "X", $AI338:$AI348)</f>
        <v>#DIV/0!</v>
      </c>
    </row>
    <row r="350" spans="1:36" s="1304" customFormat="1" ht="26.25" thickBot="1" x14ac:dyDescent="0.25">
      <c r="A350" s="1303"/>
      <c r="C350" s="1305" t="str">
        <f>'TRAD-Children YEAR(1)'!B119</f>
        <v>Nb de patients-mois / produit - AVEC SS</v>
      </c>
      <c r="D350" s="1309">
        <f t="shared" ref="D350:AG350" si="121">SUMIF(D338:D348, "X", $AJ338:$AJ348)</f>
        <v>0</v>
      </c>
      <c r="E350" s="1309">
        <f t="shared" si="121"/>
        <v>0</v>
      </c>
      <c r="F350" s="1309">
        <f t="shared" si="121"/>
        <v>0</v>
      </c>
      <c r="G350" s="1309">
        <f t="shared" si="121"/>
        <v>0</v>
      </c>
      <c r="H350" s="1309">
        <f t="shared" si="121"/>
        <v>0</v>
      </c>
      <c r="I350" s="1309">
        <f t="shared" si="121"/>
        <v>0</v>
      </c>
      <c r="J350" s="1309">
        <f t="shared" si="121"/>
        <v>0</v>
      </c>
      <c r="K350" s="1310">
        <f t="shared" si="121"/>
        <v>0</v>
      </c>
      <c r="L350" s="1311">
        <f t="shared" si="121"/>
        <v>0</v>
      </c>
      <c r="M350" s="1309" t="e">
        <f t="shared" si="121"/>
        <v>#DIV/0!</v>
      </c>
      <c r="N350" s="1309">
        <f t="shared" si="121"/>
        <v>0</v>
      </c>
      <c r="O350" s="1309" t="e">
        <f t="shared" si="121"/>
        <v>#DIV/0!</v>
      </c>
      <c r="P350" s="1309">
        <f t="shared" si="121"/>
        <v>0</v>
      </c>
      <c r="Q350" s="1309">
        <f t="shared" si="121"/>
        <v>0</v>
      </c>
      <c r="R350" s="1309">
        <f t="shared" si="121"/>
        <v>0</v>
      </c>
      <c r="S350" s="1309">
        <f t="shared" si="121"/>
        <v>0</v>
      </c>
      <c r="T350" s="1309">
        <f t="shared" si="121"/>
        <v>0</v>
      </c>
      <c r="U350" s="1309">
        <f t="shared" si="121"/>
        <v>0</v>
      </c>
      <c r="V350" s="1309" t="e">
        <f t="shared" si="121"/>
        <v>#DIV/0!</v>
      </c>
      <c r="W350" s="1309">
        <f t="shared" si="121"/>
        <v>0</v>
      </c>
      <c r="X350" s="1309" t="e">
        <f t="shared" si="121"/>
        <v>#DIV/0!</v>
      </c>
      <c r="Y350" s="1309">
        <f t="shared" si="121"/>
        <v>0</v>
      </c>
      <c r="Z350" s="1309">
        <f t="shared" si="121"/>
        <v>0</v>
      </c>
      <c r="AA350" s="1309">
        <f t="shared" si="121"/>
        <v>0</v>
      </c>
      <c r="AB350" s="1309">
        <f t="shared" si="121"/>
        <v>0</v>
      </c>
      <c r="AC350" s="1309">
        <f t="shared" si="121"/>
        <v>0</v>
      </c>
      <c r="AD350" s="1309">
        <f t="shared" si="121"/>
        <v>0</v>
      </c>
      <c r="AE350" s="1309" t="e">
        <f t="shared" si="121"/>
        <v>#DIV/0!</v>
      </c>
      <c r="AF350" s="1309" t="e">
        <f t="shared" si="121"/>
        <v>#DIV/0!</v>
      </c>
      <c r="AG350" s="1309">
        <f t="shared" si="121"/>
        <v>0</v>
      </c>
      <c r="AH350" s="1309" t="e">
        <f>SUMIF(AH338:$AH$348, "X", $AJ338:$AJ348)</f>
        <v>#DIV/0!</v>
      </c>
    </row>
    <row r="351" spans="1:36" s="1304" customFormat="1" ht="26.25" thickBot="1" x14ac:dyDescent="0.25">
      <c r="A351" s="1303"/>
      <c r="C351" s="1305" t="str">
        <f>'TRAD-Children YEAR(1)'!B120</f>
        <v>Nb de cdt - Estimation période SANS SS</v>
      </c>
      <c r="D351" s="1312">
        <f t="shared" ref="D351:AH351" si="122">D349*D336</f>
        <v>0</v>
      </c>
      <c r="E351" s="1312">
        <f t="shared" si="122"/>
        <v>0</v>
      </c>
      <c r="F351" s="1312">
        <f t="shared" si="122"/>
        <v>0</v>
      </c>
      <c r="G351" s="1312">
        <f t="shared" si="122"/>
        <v>0</v>
      </c>
      <c r="H351" s="1312">
        <f t="shared" si="122"/>
        <v>0</v>
      </c>
      <c r="I351" s="1312">
        <f t="shared" si="122"/>
        <v>0</v>
      </c>
      <c r="J351" s="1312">
        <f t="shared" si="122"/>
        <v>0</v>
      </c>
      <c r="K351" s="1313">
        <f t="shared" si="122"/>
        <v>0</v>
      </c>
      <c r="L351" s="1314">
        <f t="shared" si="122"/>
        <v>0</v>
      </c>
      <c r="M351" s="1312" t="e">
        <f t="shared" si="122"/>
        <v>#DIV/0!</v>
      </c>
      <c r="N351" s="1312">
        <f t="shared" si="122"/>
        <v>0</v>
      </c>
      <c r="O351" s="1312" t="e">
        <f t="shared" si="122"/>
        <v>#DIV/0!</v>
      </c>
      <c r="P351" s="1312">
        <f t="shared" si="122"/>
        <v>0</v>
      </c>
      <c r="Q351" s="1312">
        <f t="shared" si="122"/>
        <v>0</v>
      </c>
      <c r="R351" s="1312">
        <f t="shared" ref="R351" si="123">R349*R336</f>
        <v>0</v>
      </c>
      <c r="S351" s="1312">
        <f t="shared" si="122"/>
        <v>0</v>
      </c>
      <c r="T351" s="1312">
        <f t="shared" si="122"/>
        <v>0</v>
      </c>
      <c r="U351" s="1312">
        <f t="shared" si="122"/>
        <v>0</v>
      </c>
      <c r="V351" s="1312" t="e">
        <f t="shared" si="122"/>
        <v>#DIV/0!</v>
      </c>
      <c r="W351" s="1312">
        <f t="shared" ref="W351:Y351" si="124">W349*W336</f>
        <v>0</v>
      </c>
      <c r="X351" s="1312" t="e">
        <f t="shared" ref="X351" si="125">X349*X336</f>
        <v>#DIV/0!</v>
      </c>
      <c r="Y351" s="1312">
        <f t="shared" si="124"/>
        <v>0</v>
      </c>
      <c r="Z351" s="1312">
        <f t="shared" ref="Z351:AF351" si="126">Z349*Z336</f>
        <v>0</v>
      </c>
      <c r="AA351" s="1312">
        <f t="shared" si="126"/>
        <v>0</v>
      </c>
      <c r="AB351" s="1312">
        <f t="shared" si="126"/>
        <v>0</v>
      </c>
      <c r="AC351" s="1312">
        <f t="shared" si="126"/>
        <v>0</v>
      </c>
      <c r="AD351" s="1312">
        <f t="shared" si="126"/>
        <v>0</v>
      </c>
      <c r="AE351" s="1312" t="e">
        <f t="shared" ref="AE351" si="127">AE349*AE336</f>
        <v>#DIV/0!</v>
      </c>
      <c r="AF351" s="1312" t="e">
        <f t="shared" si="126"/>
        <v>#DIV/0!</v>
      </c>
      <c r="AG351" s="1312">
        <f t="shared" si="122"/>
        <v>0</v>
      </c>
      <c r="AH351" s="1312" t="e">
        <f t="shared" si="122"/>
        <v>#DIV/0!</v>
      </c>
    </row>
    <row r="352" spans="1:36" s="1304" customFormat="1" ht="26.25" thickBot="1" x14ac:dyDescent="0.25">
      <c r="A352" s="1303"/>
      <c r="C352" s="1305" t="str">
        <f>'TRAD-Children YEAR(1)'!B121</f>
        <v>Nb de cdt - Estimation période AVEC SS</v>
      </c>
      <c r="D352" s="1315">
        <f t="shared" ref="D352:AH352" si="128">D350*D336</f>
        <v>0</v>
      </c>
      <c r="E352" s="1315">
        <f t="shared" si="128"/>
        <v>0</v>
      </c>
      <c r="F352" s="1315">
        <f t="shared" si="128"/>
        <v>0</v>
      </c>
      <c r="G352" s="1315">
        <f t="shared" si="128"/>
        <v>0</v>
      </c>
      <c r="H352" s="1315">
        <f t="shared" si="128"/>
        <v>0</v>
      </c>
      <c r="I352" s="1315">
        <f t="shared" si="128"/>
        <v>0</v>
      </c>
      <c r="J352" s="1315">
        <f t="shared" si="128"/>
        <v>0</v>
      </c>
      <c r="K352" s="1316">
        <f t="shared" si="128"/>
        <v>0</v>
      </c>
      <c r="L352" s="1317">
        <f t="shared" si="128"/>
        <v>0</v>
      </c>
      <c r="M352" s="1315" t="e">
        <f t="shared" si="128"/>
        <v>#DIV/0!</v>
      </c>
      <c r="N352" s="1315">
        <f t="shared" si="128"/>
        <v>0</v>
      </c>
      <c r="O352" s="1315" t="e">
        <f t="shared" si="128"/>
        <v>#DIV/0!</v>
      </c>
      <c r="P352" s="1315">
        <f t="shared" si="128"/>
        <v>0</v>
      </c>
      <c r="Q352" s="1315">
        <f t="shared" si="128"/>
        <v>0</v>
      </c>
      <c r="R352" s="1315">
        <f t="shared" ref="R352" si="129">R350*R336</f>
        <v>0</v>
      </c>
      <c r="S352" s="1315">
        <f t="shared" si="128"/>
        <v>0</v>
      </c>
      <c r="T352" s="1315">
        <f t="shared" si="128"/>
        <v>0</v>
      </c>
      <c r="U352" s="1315">
        <f t="shared" si="128"/>
        <v>0</v>
      </c>
      <c r="V352" s="1315" t="e">
        <f t="shared" si="128"/>
        <v>#DIV/0!</v>
      </c>
      <c r="W352" s="1315">
        <f t="shared" ref="W352:Y352" si="130">W350*W336</f>
        <v>0</v>
      </c>
      <c r="X352" s="1315" t="e">
        <f t="shared" ref="X352" si="131">X350*X336</f>
        <v>#DIV/0!</v>
      </c>
      <c r="Y352" s="1315">
        <f t="shared" si="130"/>
        <v>0</v>
      </c>
      <c r="Z352" s="1315">
        <f t="shared" ref="Z352:AF352" si="132">Z350*Z336</f>
        <v>0</v>
      </c>
      <c r="AA352" s="1315">
        <f t="shared" si="132"/>
        <v>0</v>
      </c>
      <c r="AB352" s="1315">
        <f t="shared" si="132"/>
        <v>0</v>
      </c>
      <c r="AC352" s="1315">
        <f t="shared" si="132"/>
        <v>0</v>
      </c>
      <c r="AD352" s="1315">
        <f t="shared" si="132"/>
        <v>0</v>
      </c>
      <c r="AE352" s="1315" t="e">
        <f t="shared" ref="AE352" si="133">AE350*AE336</f>
        <v>#DIV/0!</v>
      </c>
      <c r="AF352" s="1315" t="e">
        <f t="shared" si="132"/>
        <v>#DIV/0!</v>
      </c>
      <c r="AG352" s="1315">
        <f t="shared" si="128"/>
        <v>0</v>
      </c>
      <c r="AH352" s="1315" t="e">
        <f t="shared" si="128"/>
        <v>#DIV/0!</v>
      </c>
    </row>
    <row r="353" spans="1:15" s="1279" customFormat="1" x14ac:dyDescent="0.2">
      <c r="A353" s="1282"/>
    </row>
    <row r="354" spans="1:15" x14ac:dyDescent="0.2">
      <c r="C354" s="528"/>
      <c r="F354" s="640"/>
      <c r="G354" s="640"/>
    </row>
    <row r="355" spans="1:15" s="263" customFormat="1" ht="16.5" thickBot="1" x14ac:dyDescent="0.3">
      <c r="A355" s="641" t="str">
        <f>'TRAD-Children YEAR(2)'!B14</f>
        <v>Quantification des besoins pour la prise en charge médicale pour la 3ème année selon la répartition envisagée</v>
      </c>
      <c r="B355" s="641"/>
      <c r="C355" s="641"/>
      <c r="D355" s="641"/>
      <c r="E355" s="641"/>
      <c r="F355" s="641"/>
      <c r="G355" s="641"/>
      <c r="H355" s="641"/>
      <c r="I355" s="641"/>
      <c r="J355" s="641"/>
      <c r="K355" s="641"/>
      <c r="L355" s="641"/>
    </row>
    <row r="356" spans="1:15" x14ac:dyDescent="0.2">
      <c r="B356" s="528"/>
      <c r="E356" s="640"/>
      <c r="F356" s="640"/>
    </row>
    <row r="357" spans="1:15" ht="15" x14ac:dyDescent="0.2">
      <c r="B357" s="2143" t="str">
        <f>'TRAD-Children YEAR(2)'!B21</f>
        <v>Quantification des besoins en ARV pour la prise en charge pédiatrique sur la 3ème année SANS stock de sécurité</v>
      </c>
      <c r="C357" s="2143"/>
      <c r="D357" s="2143"/>
      <c r="E357" s="2143"/>
      <c r="F357" s="2143"/>
      <c r="G357" s="2143"/>
      <c r="H357" s="2143"/>
      <c r="I357" s="2143"/>
      <c r="J357" s="2143"/>
      <c r="K357" s="2143"/>
      <c r="L357" s="2143"/>
      <c r="M357" s="2143"/>
    </row>
    <row r="358" spans="1:15" ht="13.5" thickBot="1" x14ac:dyDescent="0.25">
      <c r="B358" s="528"/>
      <c r="E358" s="640"/>
      <c r="F358" s="640"/>
    </row>
    <row r="359" spans="1:15" ht="13.5" thickBot="1" x14ac:dyDescent="0.25">
      <c r="B359" s="528"/>
      <c r="C359" s="528"/>
      <c r="D359" s="528"/>
      <c r="E359" s="2141" t="str">
        <f>'TRAD-Children YEAR(1)'!B86</f>
        <v>Poids envisagés</v>
      </c>
      <c r="F359" s="2142"/>
      <c r="G359" s="2142"/>
      <c r="H359" s="2192"/>
    </row>
    <row r="360" spans="1:15" ht="26.25" thickBot="1" x14ac:dyDescent="0.25">
      <c r="B360" s="642"/>
      <c r="C360" s="643" t="str">
        <f>'TRAD-Children YEAR(1)'!B113</f>
        <v>Nb de boites / mois pour l'ensemble des patients</v>
      </c>
      <c r="D360" s="369" t="str">
        <f>'TRAD-Children YEAR(1)'!B68</f>
        <v>Dosage</v>
      </c>
      <c r="E360" s="645" t="s">
        <v>206</v>
      </c>
      <c r="F360" s="646" t="s">
        <v>207</v>
      </c>
      <c r="G360" s="646" t="s">
        <v>208</v>
      </c>
      <c r="H360" s="647" t="s">
        <v>112</v>
      </c>
      <c r="I360" s="648" t="s">
        <v>129</v>
      </c>
      <c r="J360" s="649" t="s">
        <v>6</v>
      </c>
    </row>
    <row r="361" spans="1:15" x14ac:dyDescent="0.2">
      <c r="B361" s="650" t="str">
        <f>'TRAD-Children YEAR(1)'!B74</f>
        <v>sol buv</v>
      </c>
      <c r="C361" s="651" t="s">
        <v>39</v>
      </c>
      <c r="D361" s="651" t="s">
        <v>41</v>
      </c>
      <c r="E361" s="652">
        <f t="array" ref="E361:E391">TRANSPOSE($D$279:$AH$279)</f>
        <v>0</v>
      </c>
      <c r="F361" s="652">
        <f t="array" ref="F361:F391">TRANSPOSE($D$303:$AH$303)</f>
        <v>0</v>
      </c>
      <c r="G361" s="652">
        <f t="array" ref="G361:G391">TRANSPOSE($D$327:$AH$327)</f>
        <v>0</v>
      </c>
      <c r="H361" s="652">
        <f t="array" ref="H361:H391">TRANSPOSE($D$351:$AH$351)</f>
        <v>0</v>
      </c>
      <c r="I361" s="582">
        <f>G130</f>
        <v>0</v>
      </c>
      <c r="J361" s="653">
        <f>SUM(E361:I361)</f>
        <v>0</v>
      </c>
      <c r="L361" s="260">
        <v>279</v>
      </c>
      <c r="M361" s="260">
        <v>303</v>
      </c>
      <c r="N361" s="260">
        <v>327</v>
      </c>
      <c r="O361" s="260" t="s">
        <v>1591</v>
      </c>
    </row>
    <row r="362" spans="1:15" x14ac:dyDescent="0.2">
      <c r="B362" s="654"/>
      <c r="C362" s="655" t="s">
        <v>61</v>
      </c>
      <c r="D362" s="655" t="s">
        <v>41</v>
      </c>
      <c r="E362" s="656">
        <v>0</v>
      </c>
      <c r="F362" s="656">
        <v>0</v>
      </c>
      <c r="G362" s="656">
        <v>0</v>
      </c>
      <c r="H362" s="656">
        <v>0</v>
      </c>
      <c r="I362" s="585">
        <f>G129</f>
        <v>0</v>
      </c>
      <c r="J362" s="657">
        <f t="shared" ref="J362:J368" si="134">SUM(E362:I362)</f>
        <v>0</v>
      </c>
    </row>
    <row r="363" spans="1:15" x14ac:dyDescent="0.2">
      <c r="B363" s="654"/>
      <c r="C363" s="655" t="s">
        <v>15</v>
      </c>
      <c r="D363" s="655" t="s">
        <v>41</v>
      </c>
      <c r="E363" s="656">
        <v>0</v>
      </c>
      <c r="F363" s="656">
        <v>0</v>
      </c>
      <c r="G363" s="656">
        <v>0</v>
      </c>
      <c r="H363" s="656">
        <v>0</v>
      </c>
      <c r="I363" s="585">
        <f>G131</f>
        <v>0</v>
      </c>
      <c r="J363" s="657">
        <f t="shared" si="134"/>
        <v>0</v>
      </c>
    </row>
    <row r="364" spans="1:15" x14ac:dyDescent="0.2">
      <c r="B364" s="654"/>
      <c r="C364" s="655" t="s">
        <v>25</v>
      </c>
      <c r="D364" s="655" t="s">
        <v>44</v>
      </c>
      <c r="E364" s="656">
        <v>0</v>
      </c>
      <c r="F364" s="656">
        <v>0</v>
      </c>
      <c r="G364" s="656">
        <v>0</v>
      </c>
      <c r="H364" s="656">
        <v>0</v>
      </c>
      <c r="I364" s="585"/>
      <c r="J364" s="657">
        <f t="shared" si="134"/>
        <v>0</v>
      </c>
    </row>
    <row r="365" spans="1:15" x14ac:dyDescent="0.2">
      <c r="B365" s="654"/>
      <c r="C365" s="655" t="s">
        <v>28</v>
      </c>
      <c r="D365" s="655" t="s">
        <v>46</v>
      </c>
      <c r="E365" s="656">
        <v>0</v>
      </c>
      <c r="F365" s="656">
        <v>0</v>
      </c>
      <c r="G365" s="656">
        <v>0</v>
      </c>
      <c r="H365" s="656">
        <v>0</v>
      </c>
      <c r="I365" s="585"/>
      <c r="J365" s="657">
        <f t="shared" si="134"/>
        <v>0</v>
      </c>
    </row>
    <row r="366" spans="1:15" x14ac:dyDescent="0.2">
      <c r="B366" s="654"/>
      <c r="C366" s="655" t="s">
        <v>19</v>
      </c>
      <c r="D366" s="655" t="s">
        <v>41</v>
      </c>
      <c r="E366" s="656" t="e">
        <v>#DIV/0!</v>
      </c>
      <c r="F366" s="656" t="e">
        <v>#DIV/0!</v>
      </c>
      <c r="G366" s="656">
        <v>0</v>
      </c>
      <c r="H366" s="656">
        <v>0</v>
      </c>
      <c r="I366" s="585">
        <f>G132</f>
        <v>0</v>
      </c>
      <c r="J366" s="657" t="e">
        <f>SUM(E366:I366)</f>
        <v>#DIV/0!</v>
      </c>
    </row>
    <row r="367" spans="1:15" x14ac:dyDescent="0.2">
      <c r="B367" s="658"/>
      <c r="C367" s="659" t="s">
        <v>17</v>
      </c>
      <c r="D367" s="659" t="s">
        <v>259</v>
      </c>
      <c r="E367" s="660">
        <v>0</v>
      </c>
      <c r="F367" s="660" t="e">
        <v>#DIV/0!</v>
      </c>
      <c r="G367" s="660" t="e">
        <v>#DIV/0!</v>
      </c>
      <c r="H367" s="660">
        <v>0</v>
      </c>
      <c r="I367" s="672"/>
      <c r="J367" s="661" t="e">
        <f>SUM(E367:I367)</f>
        <v>#DIV/0!</v>
      </c>
    </row>
    <row r="368" spans="1:15" ht="13.5" thickBot="1" x14ac:dyDescent="0.25">
      <c r="B368" s="662"/>
      <c r="C368" s="663" t="s">
        <v>33</v>
      </c>
      <c r="D368" s="663" t="s">
        <v>47</v>
      </c>
      <c r="E368" s="664" t="e">
        <v>#DIV/0!</v>
      </c>
      <c r="F368" s="664" t="e">
        <v>#DIV/0!</v>
      </c>
      <c r="G368" s="664">
        <v>0</v>
      </c>
      <c r="H368" s="664">
        <v>0</v>
      </c>
      <c r="I368" s="673"/>
      <c r="J368" s="666" t="e">
        <f t="shared" si="134"/>
        <v>#DIV/0!</v>
      </c>
    </row>
    <row r="369" spans="2:10" ht="25.5" x14ac:dyDescent="0.2">
      <c r="B369" s="650" t="str">
        <f>'TRAD-Children YEAR(1)'!B52</f>
        <v>cp</v>
      </c>
      <c r="C369" s="408" t="str">
        <f t="array" ref="C369:D391">'Data &amp; hypothesis Children'!$C$238:$D$260</f>
        <v>AZT+ 3TC+ NVP adulte</v>
      </c>
      <c r="D369" s="409" t="str">
        <v>300/150/200 mg</v>
      </c>
      <c r="E369" s="1358">
        <v>0</v>
      </c>
      <c r="F369" s="1358">
        <v>0</v>
      </c>
      <c r="G369" s="1358">
        <v>0</v>
      </c>
      <c r="H369" s="1358">
        <v>0</v>
      </c>
      <c r="I369" s="585"/>
      <c r="J369" s="657">
        <f>SUM(E369:I369)</f>
        <v>0</v>
      </c>
    </row>
    <row r="370" spans="2:10" ht="25.5" x14ac:dyDescent="0.2">
      <c r="B370" s="667"/>
      <c r="C370" s="413" t="str">
        <v>AZT+ 3TC+ NVP bébé</v>
      </c>
      <c r="D370" s="414" t="str">
        <v>60/30/50 mg</v>
      </c>
      <c r="E370" s="656" t="e">
        <v>#DIV/0!</v>
      </c>
      <c r="F370" s="656" t="e">
        <v>#DIV/0!</v>
      </c>
      <c r="G370" s="656" t="e">
        <v>#DIV/0!</v>
      </c>
      <c r="H370" s="656" t="e">
        <v>#DIV/0!</v>
      </c>
      <c r="I370" s="585">
        <f>G135</f>
        <v>0</v>
      </c>
      <c r="J370" s="657" t="e">
        <f>SUM(E370:I370)</f>
        <v>#DIV/0!</v>
      </c>
    </row>
    <row r="371" spans="2:10" ht="25.5" x14ac:dyDescent="0.2">
      <c r="B371" s="668"/>
      <c r="C371" s="413" t="str">
        <v>AZT+ 3TC adulte</v>
      </c>
      <c r="D371" s="414" t="str">
        <v>300/150 mg</v>
      </c>
      <c r="E371" s="656">
        <v>0</v>
      </c>
      <c r="F371" s="656">
        <v>0</v>
      </c>
      <c r="G371" s="656">
        <v>0</v>
      </c>
      <c r="H371" s="656">
        <v>0</v>
      </c>
      <c r="I371" s="585"/>
      <c r="J371" s="1327">
        <f>SUM(E371:I371)</f>
        <v>0</v>
      </c>
    </row>
    <row r="372" spans="2:10" x14ac:dyDescent="0.2">
      <c r="B372" s="668"/>
      <c r="C372" s="413" t="str">
        <v>AZT+ 3TC bébé</v>
      </c>
      <c r="D372" s="414" t="str">
        <v>60/30 mg</v>
      </c>
      <c r="E372" s="656" t="e">
        <v>#DIV/0!</v>
      </c>
      <c r="F372" s="656" t="e">
        <v>#DIV/0!</v>
      </c>
      <c r="G372" s="656" t="e">
        <v>#DIV/0!</v>
      </c>
      <c r="H372" s="656" t="e">
        <v>#DIV/0!</v>
      </c>
      <c r="I372" s="585">
        <f>G136</f>
        <v>0</v>
      </c>
      <c r="J372" s="1327" t="e">
        <f>SUM(E372:I372)</f>
        <v>#DIV/0!</v>
      </c>
    </row>
    <row r="373" spans="2:10" ht="25.5" x14ac:dyDescent="0.2">
      <c r="B373" s="668"/>
      <c r="C373" s="413" t="str">
        <v>D4T+ 3TC+ NVP adulte</v>
      </c>
      <c r="D373" s="414" t="str">
        <v>30/150/200 mg</v>
      </c>
      <c r="E373" s="656">
        <v>0</v>
      </c>
      <c r="F373" s="656">
        <v>0</v>
      </c>
      <c r="G373" s="656">
        <v>0</v>
      </c>
      <c r="H373" s="656">
        <v>0</v>
      </c>
      <c r="I373" s="585"/>
      <c r="J373" s="1327">
        <f t="shared" ref="J373:J389" si="135">SUM(E373:I373)</f>
        <v>0</v>
      </c>
    </row>
    <row r="374" spans="2:10" ht="25.5" x14ac:dyDescent="0.2">
      <c r="B374" s="668"/>
      <c r="C374" s="413" t="str">
        <v>D4T+ 3TC+ NVP bébé</v>
      </c>
      <c r="D374" s="414" t="str">
        <v>6/30/50 mg</v>
      </c>
      <c r="E374" s="656">
        <v>0</v>
      </c>
      <c r="F374" s="656">
        <v>0</v>
      </c>
      <c r="G374" s="656" t="e">
        <v>#DIV/0!</v>
      </c>
      <c r="H374" s="656">
        <v>0</v>
      </c>
      <c r="I374" s="585">
        <f>G133</f>
        <v>0</v>
      </c>
      <c r="J374" s="1327" t="e">
        <f t="shared" si="135"/>
        <v>#DIV/0!</v>
      </c>
    </row>
    <row r="375" spans="2:10" x14ac:dyDescent="0.2">
      <c r="B375" s="668"/>
      <c r="C375" s="413" t="str">
        <v>D4T+ 3TC bébé</v>
      </c>
      <c r="D375" s="414" t="str">
        <v>6/30 mg</v>
      </c>
      <c r="E375" s="656">
        <v>0</v>
      </c>
      <c r="F375" s="656">
        <v>0</v>
      </c>
      <c r="G375" s="656">
        <v>0</v>
      </c>
      <c r="H375" s="656">
        <v>0</v>
      </c>
      <c r="I375" s="585">
        <f>G134</f>
        <v>0</v>
      </c>
      <c r="J375" s="1327">
        <f t="shared" si="135"/>
        <v>0</v>
      </c>
    </row>
    <row r="376" spans="2:10" ht="25.5" x14ac:dyDescent="0.2">
      <c r="B376" s="668"/>
      <c r="C376" s="413" t="str">
        <v>AZT+ 3TC+ ABC adulte</v>
      </c>
      <c r="D376" s="414" t="str">
        <v>300/150/300 mg</v>
      </c>
      <c r="E376" s="656">
        <v>0</v>
      </c>
      <c r="F376" s="656">
        <v>0</v>
      </c>
      <c r="G376" s="656">
        <v>0</v>
      </c>
      <c r="H376" s="656">
        <v>0</v>
      </c>
      <c r="I376" s="585"/>
      <c r="J376" s="1327">
        <f t="shared" si="135"/>
        <v>0</v>
      </c>
    </row>
    <row r="377" spans="2:10" ht="25.5" x14ac:dyDescent="0.2">
      <c r="B377" s="668"/>
      <c r="C377" s="413" t="str">
        <v>AZT+ 3TC+ ABC bébé</v>
      </c>
      <c r="D377" s="414" t="str">
        <v>60/30/60 mg</v>
      </c>
      <c r="E377" s="656">
        <v>0</v>
      </c>
      <c r="F377" s="656">
        <v>0</v>
      </c>
      <c r="G377" s="656">
        <v>0</v>
      </c>
      <c r="H377" s="656">
        <v>0</v>
      </c>
      <c r="I377" s="585"/>
      <c r="J377" s="1327">
        <f>SUM(E377:I377)</f>
        <v>0</v>
      </c>
    </row>
    <row r="378" spans="2:10" ht="25.5" x14ac:dyDescent="0.2">
      <c r="B378" s="668"/>
      <c r="C378" s="413" t="str">
        <v>ABC+ 3TC adulte</v>
      </c>
      <c r="D378" s="414" t="str">
        <v>600/300 mg</v>
      </c>
      <c r="E378" s="656" t="e">
        <v>#DIV/0!</v>
      </c>
      <c r="F378" s="656" t="e">
        <v>#DIV/0!</v>
      </c>
      <c r="G378" s="656">
        <v>0</v>
      </c>
      <c r="H378" s="656">
        <v>0</v>
      </c>
      <c r="I378" s="585"/>
      <c r="J378" s="1327" t="e">
        <f t="shared" si="135"/>
        <v>#DIV/0!</v>
      </c>
    </row>
    <row r="379" spans="2:10" x14ac:dyDescent="0.2">
      <c r="B379" s="1328"/>
      <c r="C379" s="418" t="str">
        <v>ABC+ 3TC bébé</v>
      </c>
      <c r="D379" s="419" t="str">
        <v>60/30 mg</v>
      </c>
      <c r="E379" s="1326">
        <v>0</v>
      </c>
      <c r="F379" s="1326" t="e">
        <v>#DIV/0!</v>
      </c>
      <c r="G379" s="1326" t="e">
        <v>#DIV/0!</v>
      </c>
      <c r="H379" s="1326" t="e">
        <v>#DIV/0!</v>
      </c>
      <c r="I379" s="585"/>
      <c r="J379" s="1327" t="e">
        <f t="shared" si="135"/>
        <v>#DIV/0!</v>
      </c>
    </row>
    <row r="380" spans="2:10" ht="25.5" x14ac:dyDescent="0.2">
      <c r="B380" s="1328"/>
      <c r="C380" s="418" t="str">
        <v>TDF+ FTC/3TC+ EFV adulte</v>
      </c>
      <c r="D380" s="419" t="str">
        <v>300/200/600 mg</v>
      </c>
      <c r="E380" s="1963">
        <v>0</v>
      </c>
      <c r="F380" s="1963">
        <v>0</v>
      </c>
      <c r="G380" s="1963">
        <v>0</v>
      </c>
      <c r="H380" s="1963">
        <v>0</v>
      </c>
      <c r="I380" s="585"/>
      <c r="J380" s="1327">
        <f t="shared" si="135"/>
        <v>0</v>
      </c>
    </row>
    <row r="381" spans="2:10" ht="25.5" x14ac:dyDescent="0.2">
      <c r="B381" s="1328"/>
      <c r="C381" s="418" t="str">
        <v>TDF+ FTC/3TC adulte</v>
      </c>
      <c r="D381" s="419" t="str">
        <v>300/200 mg</v>
      </c>
      <c r="E381" s="1963">
        <v>0</v>
      </c>
      <c r="F381" s="1963">
        <v>0</v>
      </c>
      <c r="G381" s="1963">
        <v>0</v>
      </c>
      <c r="H381" s="1963" t="e">
        <v>#DIV/0!</v>
      </c>
      <c r="I381" s="585"/>
      <c r="J381" s="1327" t="e">
        <f t="shared" si="135"/>
        <v>#DIV/0!</v>
      </c>
    </row>
    <row r="382" spans="2:10" x14ac:dyDescent="0.2">
      <c r="B382" s="1328"/>
      <c r="C382" s="418" t="str">
        <v>TDF adulte</v>
      </c>
      <c r="D382" s="419" t="str">
        <v>300 mg</v>
      </c>
      <c r="E382" s="1963">
        <v>0</v>
      </c>
      <c r="F382" s="1963">
        <v>0</v>
      </c>
      <c r="G382" s="1963">
        <v>0</v>
      </c>
      <c r="H382" s="1963">
        <v>0</v>
      </c>
      <c r="I382" s="585"/>
      <c r="J382" s="1327">
        <f t="shared" si="135"/>
        <v>0</v>
      </c>
    </row>
    <row r="383" spans="2:10" x14ac:dyDescent="0.2">
      <c r="B383" s="1328"/>
      <c r="C383" s="418" t="str">
        <v>3TC adulte</v>
      </c>
      <c r="D383" s="419" t="str">
        <v>150 mg</v>
      </c>
      <c r="E383" s="1326">
        <v>0</v>
      </c>
      <c r="F383" s="1326">
        <v>0</v>
      </c>
      <c r="G383" s="1326">
        <v>0</v>
      </c>
      <c r="H383" s="1326">
        <v>0</v>
      </c>
      <c r="I383" s="585"/>
      <c r="J383" s="1327">
        <f t="shared" si="135"/>
        <v>0</v>
      </c>
    </row>
    <row r="384" spans="2:10" ht="26.25" customHeight="1" x14ac:dyDescent="0.2">
      <c r="B384" s="668"/>
      <c r="C384" s="413" t="str">
        <v>ABC adulte</v>
      </c>
      <c r="D384" s="419" t="str">
        <v>300 mg</v>
      </c>
      <c r="E384" s="1358">
        <v>0</v>
      </c>
      <c r="F384" s="1358">
        <v>0</v>
      </c>
      <c r="G384" s="1358">
        <v>0</v>
      </c>
      <c r="H384" s="1358">
        <v>0</v>
      </c>
      <c r="I384" s="585"/>
      <c r="J384" s="1327">
        <f t="shared" si="135"/>
        <v>0</v>
      </c>
    </row>
    <row r="385" spans="2:13" x14ac:dyDescent="0.2">
      <c r="B385" s="668"/>
      <c r="C385" s="413" t="str">
        <v>ABC bébé</v>
      </c>
      <c r="D385" s="419" t="str">
        <v>60 mg</v>
      </c>
      <c r="E385" s="1358" t="e">
        <v>#DIV/0!</v>
      </c>
      <c r="F385" s="1358">
        <v>0</v>
      </c>
      <c r="G385" s="1358">
        <v>0</v>
      </c>
      <c r="H385" s="1358">
        <v>0</v>
      </c>
      <c r="I385" s="585"/>
      <c r="J385" s="1327" t="e">
        <f t="shared" si="135"/>
        <v>#DIV/0!</v>
      </c>
    </row>
    <row r="386" spans="2:13" x14ac:dyDescent="0.2">
      <c r="B386" s="668"/>
      <c r="C386" s="413" t="str">
        <v>DDI adulte</v>
      </c>
      <c r="D386" s="419" t="str">
        <v>250 mg</v>
      </c>
      <c r="E386" s="1358">
        <v>0</v>
      </c>
      <c r="F386" s="1358">
        <v>0</v>
      </c>
      <c r="G386" s="1358">
        <v>0</v>
      </c>
      <c r="H386" s="1358">
        <v>0</v>
      </c>
      <c r="I386" s="585"/>
      <c r="J386" s="1327">
        <f t="shared" si="135"/>
        <v>0</v>
      </c>
    </row>
    <row r="387" spans="2:13" x14ac:dyDescent="0.2">
      <c r="B387" s="668"/>
      <c r="C387" s="413" t="str">
        <v>NVP adulte</v>
      </c>
      <c r="D387" s="419" t="str">
        <v>200 mg</v>
      </c>
      <c r="E387" s="1358">
        <v>0</v>
      </c>
      <c r="F387" s="1358">
        <v>0</v>
      </c>
      <c r="G387" s="1358">
        <v>0</v>
      </c>
      <c r="H387" s="1358">
        <v>0</v>
      </c>
      <c r="I387" s="585"/>
      <c r="J387" s="1327">
        <f t="shared" si="135"/>
        <v>0</v>
      </c>
    </row>
    <row r="388" spans="2:13" x14ac:dyDescent="0.2">
      <c r="B388" s="668"/>
      <c r="C388" s="413" t="str">
        <v>NVP bébé</v>
      </c>
      <c r="D388" s="419" t="str">
        <v>50 mg</v>
      </c>
      <c r="E388" s="1358">
        <v>0</v>
      </c>
      <c r="F388" s="1358" t="e">
        <v>#DIV/0!</v>
      </c>
      <c r="G388" s="1358" t="e">
        <v>#DIV/0!</v>
      </c>
      <c r="H388" s="1358" t="e">
        <v>#DIV/0!</v>
      </c>
      <c r="I388" s="585"/>
      <c r="J388" s="1327" t="e">
        <f t="shared" si="135"/>
        <v>#DIV/0!</v>
      </c>
    </row>
    <row r="389" spans="2:13" x14ac:dyDescent="0.2">
      <c r="B389" s="668"/>
      <c r="C389" s="413" t="str">
        <v>EFV enfant</v>
      </c>
      <c r="D389" s="419" t="str">
        <v>200 mg</v>
      </c>
      <c r="E389" s="1358">
        <v>0</v>
      </c>
      <c r="F389" s="1358" t="e">
        <v>#DIV/0!</v>
      </c>
      <c r="G389" s="1358" t="e">
        <v>#DIV/0!</v>
      </c>
      <c r="H389" s="1358" t="e">
        <v>#DIV/0!</v>
      </c>
      <c r="I389" s="585"/>
      <c r="J389" s="1327" t="e">
        <f t="shared" si="135"/>
        <v>#DIV/0!</v>
      </c>
    </row>
    <row r="390" spans="2:13" x14ac:dyDescent="0.2">
      <c r="B390" s="668"/>
      <c r="C390" s="413" t="str">
        <v>LPV/r adulte</v>
      </c>
      <c r="D390" s="419" t="str">
        <v>200/50 mg</v>
      </c>
      <c r="E390" s="1358">
        <v>0</v>
      </c>
      <c r="F390" s="1358">
        <v>0</v>
      </c>
      <c r="G390" s="1358">
        <v>0</v>
      </c>
      <c r="H390" s="1358">
        <v>0</v>
      </c>
      <c r="I390" s="585"/>
      <c r="J390" s="657">
        <f>SUM(E390:I390)</f>
        <v>0</v>
      </c>
    </row>
    <row r="391" spans="2:13" ht="13.5" thickBot="1" x14ac:dyDescent="0.25">
      <c r="B391" s="669"/>
      <c r="C391" s="422" t="str">
        <v>LPV/r enfant</v>
      </c>
      <c r="D391" s="423" t="str">
        <v>100/25 mg</v>
      </c>
      <c r="E391" s="1359">
        <v>0</v>
      </c>
      <c r="F391" s="1359" t="e">
        <v>#DIV/0!</v>
      </c>
      <c r="G391" s="1359" t="e">
        <v>#DIV/0!</v>
      </c>
      <c r="H391" s="1359" t="e">
        <v>#DIV/0!</v>
      </c>
      <c r="I391" s="665"/>
      <c r="J391" s="666" t="e">
        <f>SUM(E391:I391)</f>
        <v>#DIV/0!</v>
      </c>
    </row>
    <row r="393" spans="2:13" ht="15" x14ac:dyDescent="0.2">
      <c r="B393" s="2143" t="str">
        <f>'TRAD-Children YEAR(2)'!B22</f>
        <v>Quantification des besoins en ARV pour la prise en charge pédiatrique sur la 3ème année AVEC stock de sécurité</v>
      </c>
      <c r="C393" s="2143"/>
      <c r="D393" s="2143"/>
      <c r="E393" s="2143"/>
      <c r="F393" s="2143"/>
      <c r="G393" s="2143"/>
      <c r="H393" s="2143"/>
      <c r="I393" s="2143"/>
      <c r="J393" s="2143"/>
      <c r="K393" s="2143"/>
      <c r="L393" s="2143"/>
      <c r="M393" s="2143"/>
    </row>
    <row r="394" spans="2:13" ht="13.5" thickBot="1" x14ac:dyDescent="0.25">
      <c r="B394" s="528"/>
      <c r="E394" s="640"/>
      <c r="F394" s="640"/>
    </row>
    <row r="395" spans="2:13" ht="13.5" thickBot="1" x14ac:dyDescent="0.25">
      <c r="B395" s="528"/>
      <c r="C395" s="528"/>
      <c r="D395" s="528"/>
      <c r="E395" s="2141" t="str">
        <f>'TRAD-Children YEAR(1)'!B86</f>
        <v>Poids envisagés</v>
      </c>
      <c r="F395" s="2142"/>
      <c r="G395" s="2142"/>
      <c r="H395" s="2192"/>
    </row>
    <row r="396" spans="2:13" ht="90" thickBot="1" x14ac:dyDescent="0.25">
      <c r="B396" s="642"/>
      <c r="C396" s="643" t="str">
        <f>'TRAD-Children YEAR(1)'!B113</f>
        <v>Nb de boites / mois pour l'ensemble des patients</v>
      </c>
      <c r="D396" s="369" t="str">
        <f>'TRAD-Children YEAR(1)'!B68</f>
        <v>Dosage</v>
      </c>
      <c r="E396" s="645" t="s">
        <v>206</v>
      </c>
      <c r="F396" s="646" t="s">
        <v>207</v>
      </c>
      <c r="G396" s="646" t="s">
        <v>208</v>
      </c>
      <c r="H396" s="647" t="s">
        <v>112</v>
      </c>
      <c r="I396" s="644" t="s">
        <v>129</v>
      </c>
      <c r="J396" s="649" t="str">
        <f>'TRAD-Children YEAR(1)'!B12</f>
        <v>TOTAL (nbre de boîtes / flacons)</v>
      </c>
      <c r="K396" s="643" t="str">
        <f>'TRAD-Children YEAR(1)'!B147</f>
        <v>Marge de sécurité (nb de boites / flacons)</v>
      </c>
      <c r="L396" s="643" t="str">
        <f>'TRAD-Children YEAR(1)'!B148</f>
        <v>Différence de marge de sécurité / année précédente (nb de boites / flacons)</v>
      </c>
    </row>
    <row r="397" spans="2:13" x14ac:dyDescent="0.2">
      <c r="B397" s="650" t="str">
        <f>'TRAD-Children YEAR(1)'!B74</f>
        <v>sol buv</v>
      </c>
      <c r="C397" s="651" t="s">
        <v>39</v>
      </c>
      <c r="D397" s="651" t="s">
        <v>41</v>
      </c>
      <c r="E397" s="652">
        <f t="array" ref="E397:E427">TRANSPOSE($D$280:$AH$280)</f>
        <v>0</v>
      </c>
      <c r="F397" s="652">
        <f t="array" ref="F397:F427">TRANSPOSE($D$304:$AH$304)</f>
        <v>0</v>
      </c>
      <c r="G397" s="652">
        <f t="array" ref="G397:G427">TRANSPOSE($D$328:$AH$328)</f>
        <v>0</v>
      </c>
      <c r="H397" s="652">
        <f t="array" ref="H397:H427">TRANSPOSE($D$352:$AH$352)</f>
        <v>0</v>
      </c>
      <c r="I397" s="582">
        <f>H130</f>
        <v>0</v>
      </c>
      <c r="J397" s="653">
        <f t="shared" ref="J397" si="136">SUM(E397:I397)</f>
        <v>0</v>
      </c>
      <c r="K397" s="1437">
        <f t="shared" ref="K397:K416" si="137">J397-J361</f>
        <v>0</v>
      </c>
      <c r="L397" s="670" t="str">
        <f>IF((K397-'Children YEAR2'!K397)&gt;0, K397-'Children YEAR2'!K397, "0")</f>
        <v>0</v>
      </c>
    </row>
    <row r="398" spans="2:13" x14ac:dyDescent="0.2">
      <c r="B398" s="654"/>
      <c r="C398" s="655" t="s">
        <v>61</v>
      </c>
      <c r="D398" s="655" t="s">
        <v>41</v>
      </c>
      <c r="E398" s="656">
        <v>0</v>
      </c>
      <c r="F398" s="656">
        <v>0</v>
      </c>
      <c r="G398" s="656">
        <v>0</v>
      </c>
      <c r="H398" s="656">
        <v>0</v>
      </c>
      <c r="I398" s="585">
        <f>H129</f>
        <v>0</v>
      </c>
      <c r="J398" s="657">
        <f t="shared" ref="J398:J427" si="138">SUM(E398:I398)</f>
        <v>0</v>
      </c>
      <c r="K398" s="1438">
        <f t="shared" si="137"/>
        <v>0</v>
      </c>
      <c r="L398" s="671" t="str">
        <f>IF((K398-'Children YEAR2'!K398)&gt;0, K398-'Children YEAR2'!K398, "0")</f>
        <v>0</v>
      </c>
    </row>
    <row r="399" spans="2:13" x14ac:dyDescent="0.2">
      <c r="B399" s="654"/>
      <c r="C399" s="655" t="s">
        <v>15</v>
      </c>
      <c r="D399" s="655" t="s">
        <v>41</v>
      </c>
      <c r="E399" s="656">
        <v>0</v>
      </c>
      <c r="F399" s="656">
        <v>0</v>
      </c>
      <c r="G399" s="656">
        <v>0</v>
      </c>
      <c r="H399" s="656">
        <v>0</v>
      </c>
      <c r="I399" s="585">
        <f>H131</f>
        <v>0</v>
      </c>
      <c r="J399" s="657">
        <f t="shared" si="138"/>
        <v>0</v>
      </c>
      <c r="K399" s="1438">
        <f t="shared" si="137"/>
        <v>0</v>
      </c>
      <c r="L399" s="671" t="str">
        <f>IF((K399-'Children YEAR2'!K399)&gt;0, K399-'Children YEAR2'!K399, "0")</f>
        <v>0</v>
      </c>
    </row>
    <row r="400" spans="2:13" x14ac:dyDescent="0.2">
      <c r="B400" s="654"/>
      <c r="C400" s="655" t="s">
        <v>25</v>
      </c>
      <c r="D400" s="655" t="s">
        <v>44</v>
      </c>
      <c r="E400" s="656">
        <v>0</v>
      </c>
      <c r="F400" s="656">
        <v>0</v>
      </c>
      <c r="G400" s="656">
        <v>0</v>
      </c>
      <c r="H400" s="656">
        <v>0</v>
      </c>
      <c r="I400" s="585"/>
      <c r="J400" s="657">
        <f t="shared" si="138"/>
        <v>0</v>
      </c>
      <c r="K400" s="1438">
        <f t="shared" si="137"/>
        <v>0</v>
      </c>
      <c r="L400" s="671" t="str">
        <f>IF((K400-'Children YEAR2'!K400)&gt;0, K400-'Children YEAR2'!K400, "0")</f>
        <v>0</v>
      </c>
    </row>
    <row r="401" spans="2:12" x14ac:dyDescent="0.2">
      <c r="B401" s="654"/>
      <c r="C401" s="655" t="s">
        <v>28</v>
      </c>
      <c r="D401" s="655" t="s">
        <v>46</v>
      </c>
      <c r="E401" s="656">
        <v>0</v>
      </c>
      <c r="F401" s="656">
        <v>0</v>
      </c>
      <c r="G401" s="656">
        <v>0</v>
      </c>
      <c r="H401" s="656">
        <v>0</v>
      </c>
      <c r="I401" s="585"/>
      <c r="J401" s="657">
        <f t="shared" si="138"/>
        <v>0</v>
      </c>
      <c r="K401" s="1438">
        <f t="shared" si="137"/>
        <v>0</v>
      </c>
      <c r="L401" s="671" t="str">
        <f>IF((K401-'Children YEAR2'!K401)&gt;0, K401-'Children YEAR2'!K401, "0")</f>
        <v>0</v>
      </c>
    </row>
    <row r="402" spans="2:12" x14ac:dyDescent="0.2">
      <c r="B402" s="654"/>
      <c r="C402" s="655" t="s">
        <v>19</v>
      </c>
      <c r="D402" s="655" t="s">
        <v>41</v>
      </c>
      <c r="E402" s="656" t="e">
        <v>#DIV/0!</v>
      </c>
      <c r="F402" s="656" t="e">
        <v>#DIV/0!</v>
      </c>
      <c r="G402" s="656">
        <v>0</v>
      </c>
      <c r="H402" s="656">
        <v>0</v>
      </c>
      <c r="I402" s="585">
        <f>H132</f>
        <v>0</v>
      </c>
      <c r="J402" s="657" t="e">
        <f t="shared" si="138"/>
        <v>#DIV/0!</v>
      </c>
      <c r="K402" s="1438" t="e">
        <f t="shared" si="137"/>
        <v>#DIV/0!</v>
      </c>
      <c r="L402" s="671" t="e">
        <f>IF((K402-'Children YEAR2'!K402)&gt;0, K402-'Children YEAR2'!K402, "0")</f>
        <v>#DIV/0!</v>
      </c>
    </row>
    <row r="403" spans="2:12" x14ac:dyDescent="0.2">
      <c r="B403" s="658"/>
      <c r="C403" s="659" t="s">
        <v>17</v>
      </c>
      <c r="D403" s="659" t="s">
        <v>259</v>
      </c>
      <c r="E403" s="660">
        <v>0</v>
      </c>
      <c r="F403" s="660" t="e">
        <v>#DIV/0!</v>
      </c>
      <c r="G403" s="660" t="e">
        <v>#DIV/0!</v>
      </c>
      <c r="H403" s="660">
        <v>0</v>
      </c>
      <c r="I403" s="672"/>
      <c r="J403" s="661" t="e">
        <f t="shared" si="138"/>
        <v>#DIV/0!</v>
      </c>
      <c r="K403" s="1439" t="e">
        <f t="shared" si="137"/>
        <v>#DIV/0!</v>
      </c>
      <c r="L403" s="671" t="e">
        <f>IF((K403-'Children YEAR2'!K403)&gt;0, K403-'Children YEAR2'!K403, "0")</f>
        <v>#DIV/0!</v>
      </c>
    </row>
    <row r="404" spans="2:12" ht="13.5" thickBot="1" x14ac:dyDescent="0.25">
      <c r="B404" s="662"/>
      <c r="C404" s="663" t="s">
        <v>33</v>
      </c>
      <c r="D404" s="663" t="s">
        <v>47</v>
      </c>
      <c r="E404" s="664" t="e">
        <v>#DIV/0!</v>
      </c>
      <c r="F404" s="664" t="e">
        <v>#DIV/0!</v>
      </c>
      <c r="G404" s="664">
        <v>0</v>
      </c>
      <c r="H404" s="664">
        <v>0</v>
      </c>
      <c r="I404" s="673"/>
      <c r="J404" s="666" t="e">
        <f t="shared" si="138"/>
        <v>#DIV/0!</v>
      </c>
      <c r="K404" s="1440" t="e">
        <f t="shared" si="137"/>
        <v>#DIV/0!</v>
      </c>
      <c r="L404" s="674" t="e">
        <f>IF((K404-'Children YEAR2'!K404)&gt;0, K404-'Children YEAR2'!K404, "0")</f>
        <v>#DIV/0!</v>
      </c>
    </row>
    <row r="405" spans="2:12" ht="25.5" x14ac:dyDescent="0.2">
      <c r="B405" s="650" t="str">
        <f>'TRAD-Children YEAR(1)'!B52</f>
        <v>cp</v>
      </c>
      <c r="C405" s="408" t="str">
        <f t="array" ref="C405:D427">'Data &amp; hypothesis Children'!$C$238:$D$260</f>
        <v>AZT+ 3TC+ NVP adulte</v>
      </c>
      <c r="D405" s="409" t="str">
        <v>300/150/200 mg</v>
      </c>
      <c r="E405" s="1358">
        <v>0</v>
      </c>
      <c r="F405" s="1358">
        <v>0</v>
      </c>
      <c r="G405" s="1358">
        <v>0</v>
      </c>
      <c r="H405" s="1358">
        <v>0</v>
      </c>
      <c r="I405" s="585"/>
      <c r="J405" s="657">
        <f t="shared" si="138"/>
        <v>0</v>
      </c>
      <c r="K405" s="1438">
        <f t="shared" si="137"/>
        <v>0</v>
      </c>
      <c r="L405" s="670" t="str">
        <f>IF((K405-'Children YEAR2'!K405)&gt;0, K405-'Children YEAR2'!K405, "0")</f>
        <v>0</v>
      </c>
    </row>
    <row r="406" spans="2:12" ht="25.5" x14ac:dyDescent="0.2">
      <c r="B406" s="667"/>
      <c r="C406" s="413" t="str">
        <v>AZT+ 3TC+ NVP bébé</v>
      </c>
      <c r="D406" s="414" t="str">
        <v>60/30/50 mg</v>
      </c>
      <c r="E406" s="656" t="e">
        <v>#DIV/0!</v>
      </c>
      <c r="F406" s="656" t="e">
        <v>#DIV/0!</v>
      </c>
      <c r="G406" s="656" t="e">
        <v>#DIV/0!</v>
      </c>
      <c r="H406" s="656" t="e">
        <v>#DIV/0!</v>
      </c>
      <c r="I406" s="585">
        <f>H135</f>
        <v>0</v>
      </c>
      <c r="J406" s="657" t="e">
        <f t="shared" si="138"/>
        <v>#DIV/0!</v>
      </c>
      <c r="K406" s="1438" t="e">
        <f t="shared" si="137"/>
        <v>#DIV/0!</v>
      </c>
      <c r="L406" s="671" t="e">
        <f>IF((K406-'Children YEAR2'!K406)&gt;0, K406-'Children YEAR2'!K406, "0")</f>
        <v>#DIV/0!</v>
      </c>
    </row>
    <row r="407" spans="2:12" ht="25.5" x14ac:dyDescent="0.2">
      <c r="B407" s="668"/>
      <c r="C407" s="413" t="str">
        <v>AZT+ 3TC adulte</v>
      </c>
      <c r="D407" s="414" t="str">
        <v>300/150 mg</v>
      </c>
      <c r="E407" s="656">
        <v>0</v>
      </c>
      <c r="F407" s="656">
        <v>0</v>
      </c>
      <c r="G407" s="656">
        <v>0</v>
      </c>
      <c r="H407" s="656">
        <v>0</v>
      </c>
      <c r="I407" s="585"/>
      <c r="J407" s="1327">
        <f t="shared" si="138"/>
        <v>0</v>
      </c>
      <c r="K407" s="1441">
        <f t="shared" si="137"/>
        <v>0</v>
      </c>
      <c r="L407" s="671" t="str">
        <f>IF((K407-'Children YEAR2'!K407)&gt;0, K407-'Children YEAR2'!K407, "0")</f>
        <v>0</v>
      </c>
    </row>
    <row r="408" spans="2:12" x14ac:dyDescent="0.2">
      <c r="B408" s="668"/>
      <c r="C408" s="413" t="str">
        <v>AZT+ 3TC bébé</v>
      </c>
      <c r="D408" s="414" t="str">
        <v>60/30 mg</v>
      </c>
      <c r="E408" s="656" t="e">
        <v>#DIV/0!</v>
      </c>
      <c r="F408" s="656" t="e">
        <v>#DIV/0!</v>
      </c>
      <c r="G408" s="656" t="e">
        <v>#DIV/0!</v>
      </c>
      <c r="H408" s="656" t="e">
        <v>#DIV/0!</v>
      </c>
      <c r="I408" s="585">
        <f>H136</f>
        <v>0</v>
      </c>
      <c r="J408" s="1327" t="e">
        <f t="shared" si="138"/>
        <v>#DIV/0!</v>
      </c>
      <c r="K408" s="1441" t="e">
        <f t="shared" si="137"/>
        <v>#DIV/0!</v>
      </c>
      <c r="L408" s="671" t="e">
        <f>IF((K408-'Children YEAR2'!K408)&gt;0, K408-'Children YEAR2'!K408, "0")</f>
        <v>#DIV/0!</v>
      </c>
    </row>
    <row r="409" spans="2:12" ht="25.5" x14ac:dyDescent="0.2">
      <c r="B409" s="668"/>
      <c r="C409" s="413" t="str">
        <v>D4T+ 3TC+ NVP adulte</v>
      </c>
      <c r="D409" s="414" t="str">
        <v>30/150/200 mg</v>
      </c>
      <c r="E409" s="656">
        <v>0</v>
      </c>
      <c r="F409" s="656">
        <v>0</v>
      </c>
      <c r="G409" s="656">
        <v>0</v>
      </c>
      <c r="H409" s="656">
        <v>0</v>
      </c>
      <c r="I409" s="585"/>
      <c r="J409" s="1327">
        <f t="shared" si="138"/>
        <v>0</v>
      </c>
      <c r="K409" s="1441">
        <f t="shared" si="137"/>
        <v>0</v>
      </c>
      <c r="L409" s="671" t="str">
        <f>IF((K409-'Children YEAR2'!K409)&gt;0, K409-'Children YEAR2'!K409, "0")</f>
        <v>0</v>
      </c>
    </row>
    <row r="410" spans="2:12" ht="25.5" x14ac:dyDescent="0.2">
      <c r="B410" s="668"/>
      <c r="C410" s="413" t="str">
        <v>D4T+ 3TC+ NVP bébé</v>
      </c>
      <c r="D410" s="414" t="str">
        <v>6/30/50 mg</v>
      </c>
      <c r="E410" s="656">
        <v>0</v>
      </c>
      <c r="F410" s="656">
        <v>0</v>
      </c>
      <c r="G410" s="656" t="e">
        <v>#DIV/0!</v>
      </c>
      <c r="H410" s="656">
        <v>0</v>
      </c>
      <c r="I410" s="585">
        <f>H133</f>
        <v>0</v>
      </c>
      <c r="J410" s="1327" t="e">
        <f t="shared" si="138"/>
        <v>#DIV/0!</v>
      </c>
      <c r="K410" s="1441" t="e">
        <f t="shared" si="137"/>
        <v>#DIV/0!</v>
      </c>
      <c r="L410" s="671" t="e">
        <f>IF((K410-'Children YEAR2'!K410)&gt;0, K410-'Children YEAR2'!K410, "0")</f>
        <v>#DIV/0!</v>
      </c>
    </row>
    <row r="411" spans="2:12" x14ac:dyDescent="0.2">
      <c r="B411" s="668"/>
      <c r="C411" s="413" t="str">
        <v>D4T+ 3TC bébé</v>
      </c>
      <c r="D411" s="414" t="str">
        <v>6/30 mg</v>
      </c>
      <c r="E411" s="656">
        <v>0</v>
      </c>
      <c r="F411" s="656">
        <v>0</v>
      </c>
      <c r="G411" s="656">
        <v>0</v>
      </c>
      <c r="H411" s="656">
        <v>0</v>
      </c>
      <c r="I411" s="585">
        <f>H134</f>
        <v>0</v>
      </c>
      <c r="J411" s="1327">
        <f t="shared" ref="J411" si="139">SUM(E411:I411)</f>
        <v>0</v>
      </c>
      <c r="K411" s="1441">
        <f t="shared" si="137"/>
        <v>0</v>
      </c>
      <c r="L411" s="671" t="str">
        <f>IF((K411-'Children YEAR2'!K411)&gt;0, K411-'Children YEAR2'!K411, "0")</f>
        <v>0</v>
      </c>
    </row>
    <row r="412" spans="2:12" ht="25.5" x14ac:dyDescent="0.2">
      <c r="B412" s="668"/>
      <c r="C412" s="413" t="str">
        <v>AZT+ 3TC+ ABC adulte</v>
      </c>
      <c r="D412" s="414" t="str">
        <v>300/150/300 mg</v>
      </c>
      <c r="E412" s="656">
        <v>0</v>
      </c>
      <c r="F412" s="656">
        <v>0</v>
      </c>
      <c r="G412" s="656">
        <v>0</v>
      </c>
      <c r="H412" s="656">
        <v>0</v>
      </c>
      <c r="I412" s="585"/>
      <c r="J412" s="1327">
        <f t="shared" si="138"/>
        <v>0</v>
      </c>
      <c r="K412" s="1441">
        <f t="shared" si="137"/>
        <v>0</v>
      </c>
      <c r="L412" s="671" t="str">
        <f>IF((K412-'Children YEAR2'!K412)&gt;0, K412-'Children YEAR2'!K412, "0")</f>
        <v>0</v>
      </c>
    </row>
    <row r="413" spans="2:12" ht="25.5" x14ac:dyDescent="0.2">
      <c r="B413" s="668"/>
      <c r="C413" s="413" t="str">
        <v>AZT+ 3TC+ ABC bébé</v>
      </c>
      <c r="D413" s="414" t="str">
        <v>60/30/60 mg</v>
      </c>
      <c r="E413" s="656">
        <v>0</v>
      </c>
      <c r="F413" s="656">
        <v>0</v>
      </c>
      <c r="G413" s="656">
        <v>0</v>
      </c>
      <c r="H413" s="656">
        <v>0</v>
      </c>
      <c r="I413" s="585"/>
      <c r="J413" s="1327">
        <f t="shared" si="138"/>
        <v>0</v>
      </c>
      <c r="K413" s="1441">
        <f t="shared" si="137"/>
        <v>0</v>
      </c>
      <c r="L413" s="671" t="str">
        <f>IF((K413-'Children YEAR2'!K413)&gt;0, K413-'Children YEAR2'!K413, "0")</f>
        <v>0</v>
      </c>
    </row>
    <row r="414" spans="2:12" ht="25.5" x14ac:dyDescent="0.2">
      <c r="B414" s="668"/>
      <c r="C414" s="413" t="str">
        <v>ABC+ 3TC adulte</v>
      </c>
      <c r="D414" s="414" t="str">
        <v>600/300 mg</v>
      </c>
      <c r="E414" s="656" t="e">
        <v>#DIV/0!</v>
      </c>
      <c r="F414" s="656" t="e">
        <v>#DIV/0!</v>
      </c>
      <c r="G414" s="656">
        <v>0</v>
      </c>
      <c r="H414" s="656">
        <v>0</v>
      </c>
      <c r="I414" s="585"/>
      <c r="J414" s="1327" t="e">
        <f t="shared" si="138"/>
        <v>#DIV/0!</v>
      </c>
      <c r="K414" s="1441" t="e">
        <f t="shared" si="137"/>
        <v>#DIV/0!</v>
      </c>
      <c r="L414" s="671" t="e">
        <f>IF((K414-'Children YEAR2'!K414)&gt;0, K414-'Children YEAR2'!K414, "0")</f>
        <v>#DIV/0!</v>
      </c>
    </row>
    <row r="415" spans="2:12" x14ac:dyDescent="0.2">
      <c r="B415" s="668"/>
      <c r="C415" s="418" t="str">
        <v>ABC+ 3TC bébé</v>
      </c>
      <c r="D415" s="419" t="str">
        <v>60/30 mg</v>
      </c>
      <c r="E415" s="1326">
        <v>0</v>
      </c>
      <c r="F415" s="1326" t="e">
        <v>#DIV/0!</v>
      </c>
      <c r="G415" s="1326" t="e">
        <v>#DIV/0!</v>
      </c>
      <c r="H415" s="1326" t="e">
        <v>#DIV/0!</v>
      </c>
      <c r="I415" s="585"/>
      <c r="J415" s="1327" t="e">
        <f t="shared" si="138"/>
        <v>#DIV/0!</v>
      </c>
      <c r="K415" s="1441" t="e">
        <f t="shared" si="137"/>
        <v>#DIV/0!</v>
      </c>
      <c r="L415" s="671" t="e">
        <f>IF((K415-'Children YEAR2'!K415)&gt;0, K415-'Children YEAR2'!K415, "0")</f>
        <v>#DIV/0!</v>
      </c>
    </row>
    <row r="416" spans="2:12" ht="25.5" x14ac:dyDescent="0.2">
      <c r="B416" s="668"/>
      <c r="C416" s="418" t="str">
        <v>TDF+ FTC/3TC+ EFV adulte</v>
      </c>
      <c r="D416" s="419" t="str">
        <v>300/200/600 mg</v>
      </c>
      <c r="E416" s="1963">
        <v>0</v>
      </c>
      <c r="F416" s="1963">
        <v>0</v>
      </c>
      <c r="G416" s="1963">
        <v>0</v>
      </c>
      <c r="H416" s="1963">
        <v>0</v>
      </c>
      <c r="I416" s="585"/>
      <c r="J416" s="1327">
        <f>SUM(E416:I416)</f>
        <v>0</v>
      </c>
      <c r="K416" s="1441">
        <f t="shared" si="137"/>
        <v>0</v>
      </c>
      <c r="L416" s="671" t="str">
        <f>IF((K416-'Children YEAR2'!K416)&gt;0, K416-'Children YEAR2'!K416, "0")</f>
        <v>0</v>
      </c>
    </row>
    <row r="417" spans="1:14" ht="25.5" x14ac:dyDescent="0.2">
      <c r="B417" s="668"/>
      <c r="C417" s="418" t="str">
        <v>TDF+ FTC/3TC adulte</v>
      </c>
      <c r="D417" s="419" t="str">
        <v>300/200 mg</v>
      </c>
      <c r="E417" s="1963">
        <v>0</v>
      </c>
      <c r="F417" s="1963">
        <v>0</v>
      </c>
      <c r="G417" s="1963">
        <v>0</v>
      </c>
      <c r="H417" s="1963" t="e">
        <v>#DIV/0!</v>
      </c>
      <c r="I417" s="585"/>
      <c r="J417" s="1327" t="e">
        <f t="shared" ref="J417:J418" si="140">SUM(E417:I417)</f>
        <v>#DIV/0!</v>
      </c>
      <c r="K417" s="1441" t="e">
        <f t="shared" ref="K417:K418" si="141">J417-J381</f>
        <v>#DIV/0!</v>
      </c>
      <c r="L417" s="671" t="e">
        <f>IF((K417-'Children YEAR2'!K417)&gt;0, K417-'Children YEAR2'!K417, "0")</f>
        <v>#DIV/0!</v>
      </c>
    </row>
    <row r="418" spans="1:14" x14ac:dyDescent="0.2">
      <c r="B418" s="668"/>
      <c r="C418" s="418" t="str">
        <v>TDF adulte</v>
      </c>
      <c r="D418" s="419" t="str">
        <v>300 mg</v>
      </c>
      <c r="E418" s="1963">
        <v>0</v>
      </c>
      <c r="F418" s="1963">
        <v>0</v>
      </c>
      <c r="G418" s="1963">
        <v>0</v>
      </c>
      <c r="H418" s="1963">
        <v>0</v>
      </c>
      <c r="I418" s="585"/>
      <c r="J418" s="1327">
        <f t="shared" si="140"/>
        <v>0</v>
      </c>
      <c r="K418" s="1441">
        <f t="shared" si="141"/>
        <v>0</v>
      </c>
      <c r="L418" s="671" t="str">
        <f>IF((K418-'Children YEAR2'!K418)&gt;0, K418-'Children YEAR2'!K418, "0")</f>
        <v>0</v>
      </c>
    </row>
    <row r="419" spans="1:14" x14ac:dyDescent="0.2">
      <c r="B419" s="668"/>
      <c r="C419" s="418" t="str">
        <v>3TC adulte</v>
      </c>
      <c r="D419" s="419" t="str">
        <v>150 mg</v>
      </c>
      <c r="E419" s="1326">
        <v>0</v>
      </c>
      <c r="F419" s="1326">
        <v>0</v>
      </c>
      <c r="G419" s="1326">
        <v>0</v>
      </c>
      <c r="H419" s="1326">
        <v>0</v>
      </c>
      <c r="I419" s="585"/>
      <c r="J419" s="1327">
        <f t="shared" si="138"/>
        <v>0</v>
      </c>
      <c r="K419" s="1441">
        <f t="shared" ref="K419:K427" si="142">J419-J383</f>
        <v>0</v>
      </c>
      <c r="L419" s="671" t="str">
        <f>IF((K419-'Children YEAR2'!K419)&gt;0, K419-'Children YEAR2'!K419, "0")</f>
        <v>0</v>
      </c>
    </row>
    <row r="420" spans="1:14" x14ac:dyDescent="0.2">
      <c r="B420" s="668"/>
      <c r="C420" s="413" t="str">
        <v>ABC adulte</v>
      </c>
      <c r="D420" s="419" t="str">
        <v>300 mg</v>
      </c>
      <c r="E420" s="1358">
        <v>0</v>
      </c>
      <c r="F420" s="1358">
        <v>0</v>
      </c>
      <c r="G420" s="1358">
        <v>0</v>
      </c>
      <c r="H420" s="1358">
        <v>0</v>
      </c>
      <c r="I420" s="585"/>
      <c r="J420" s="1327">
        <f t="shared" si="138"/>
        <v>0</v>
      </c>
      <c r="K420" s="1441">
        <f t="shared" si="142"/>
        <v>0</v>
      </c>
      <c r="L420" s="671" t="str">
        <f>IF((K420-'Children YEAR2'!K420)&gt;0, K420-'Children YEAR2'!K420, "0")</f>
        <v>0</v>
      </c>
    </row>
    <row r="421" spans="1:14" x14ac:dyDescent="0.2">
      <c r="B421" s="668"/>
      <c r="C421" s="413" t="str">
        <v>ABC bébé</v>
      </c>
      <c r="D421" s="419" t="str">
        <v>60 mg</v>
      </c>
      <c r="E421" s="1358" t="e">
        <v>#DIV/0!</v>
      </c>
      <c r="F421" s="1358">
        <v>0</v>
      </c>
      <c r="G421" s="1358">
        <v>0</v>
      </c>
      <c r="H421" s="1358">
        <v>0</v>
      </c>
      <c r="I421" s="585"/>
      <c r="J421" s="1327" t="e">
        <f t="shared" si="138"/>
        <v>#DIV/0!</v>
      </c>
      <c r="K421" s="1441" t="e">
        <f t="shared" si="142"/>
        <v>#DIV/0!</v>
      </c>
      <c r="L421" s="671" t="e">
        <f>IF((K421-'Children YEAR2'!K421)&gt;0, K421-'Children YEAR2'!K421, "0")</f>
        <v>#DIV/0!</v>
      </c>
    </row>
    <row r="422" spans="1:14" x14ac:dyDescent="0.2">
      <c r="B422" s="668"/>
      <c r="C422" s="413" t="str">
        <v>DDI adulte</v>
      </c>
      <c r="D422" s="419" t="str">
        <v>250 mg</v>
      </c>
      <c r="E422" s="1358">
        <v>0</v>
      </c>
      <c r="F422" s="1358">
        <v>0</v>
      </c>
      <c r="G422" s="1358">
        <v>0</v>
      </c>
      <c r="H422" s="1358">
        <v>0</v>
      </c>
      <c r="I422" s="585"/>
      <c r="J422" s="657">
        <f t="shared" si="138"/>
        <v>0</v>
      </c>
      <c r="K422" s="1438">
        <f t="shared" si="142"/>
        <v>0</v>
      </c>
      <c r="L422" s="671" t="str">
        <f>IF((K422-'Children YEAR2'!K422)&gt;0, K422-'Children YEAR2'!K422, "0")</f>
        <v>0</v>
      </c>
    </row>
    <row r="423" spans="1:14" x14ac:dyDescent="0.2">
      <c r="B423" s="668"/>
      <c r="C423" s="413" t="str">
        <v>NVP adulte</v>
      </c>
      <c r="D423" s="419" t="str">
        <v>200 mg</v>
      </c>
      <c r="E423" s="1358">
        <v>0</v>
      </c>
      <c r="F423" s="1358">
        <v>0</v>
      </c>
      <c r="G423" s="1358">
        <v>0</v>
      </c>
      <c r="H423" s="1358">
        <v>0</v>
      </c>
      <c r="I423" s="585"/>
      <c r="J423" s="657">
        <f t="shared" ref="J423" si="143">SUM(E423:I423)</f>
        <v>0</v>
      </c>
      <c r="K423" s="1438">
        <f t="shared" si="142"/>
        <v>0</v>
      </c>
      <c r="L423" s="671" t="str">
        <f>IF((K423-'Children YEAR2'!K423)&gt;0, K423-'Children YEAR2'!K423, "0")</f>
        <v>0</v>
      </c>
    </row>
    <row r="424" spans="1:14" x14ac:dyDescent="0.2">
      <c r="B424" s="668"/>
      <c r="C424" s="413" t="str">
        <v>NVP bébé</v>
      </c>
      <c r="D424" s="419" t="str">
        <v>50 mg</v>
      </c>
      <c r="E424" s="1358">
        <v>0</v>
      </c>
      <c r="F424" s="1358" t="e">
        <v>#DIV/0!</v>
      </c>
      <c r="G424" s="1358" t="e">
        <v>#DIV/0!</v>
      </c>
      <c r="H424" s="1358" t="e">
        <v>#DIV/0!</v>
      </c>
      <c r="I424" s="585"/>
      <c r="J424" s="657" t="e">
        <f t="shared" ref="J424" si="144">SUM(E424:I424)</f>
        <v>#DIV/0!</v>
      </c>
      <c r="K424" s="1438" t="e">
        <f t="shared" si="142"/>
        <v>#DIV/0!</v>
      </c>
      <c r="L424" s="671" t="e">
        <f>IF((K424-'Children YEAR2'!K424)&gt;0, K424-'Children YEAR2'!K424, "0")</f>
        <v>#DIV/0!</v>
      </c>
    </row>
    <row r="425" spans="1:14" x14ac:dyDescent="0.2">
      <c r="B425" s="668"/>
      <c r="C425" s="413" t="str">
        <v>EFV enfant</v>
      </c>
      <c r="D425" s="419" t="str">
        <v>200 mg</v>
      </c>
      <c r="E425" s="1358">
        <v>0</v>
      </c>
      <c r="F425" s="1358" t="e">
        <v>#DIV/0!</v>
      </c>
      <c r="G425" s="1358" t="e">
        <v>#DIV/0!</v>
      </c>
      <c r="H425" s="1358" t="e">
        <v>#DIV/0!</v>
      </c>
      <c r="I425" s="585"/>
      <c r="J425" s="657" t="e">
        <f t="shared" si="138"/>
        <v>#DIV/0!</v>
      </c>
      <c r="K425" s="1438" t="e">
        <f t="shared" si="142"/>
        <v>#DIV/0!</v>
      </c>
      <c r="L425" s="671" t="e">
        <f>IF((K425-'Children YEAR2'!K425)&gt;0, K425-'Children YEAR2'!K425, "0")</f>
        <v>#DIV/0!</v>
      </c>
    </row>
    <row r="426" spans="1:14" x14ac:dyDescent="0.2">
      <c r="B426" s="668"/>
      <c r="C426" s="413" t="str">
        <v>LPV/r adulte</v>
      </c>
      <c r="D426" s="419" t="str">
        <v>200/50 mg</v>
      </c>
      <c r="E426" s="1358">
        <v>0</v>
      </c>
      <c r="F426" s="1358">
        <v>0</v>
      </c>
      <c r="G426" s="1358">
        <v>0</v>
      </c>
      <c r="H426" s="1358">
        <v>0</v>
      </c>
      <c r="I426" s="585"/>
      <c r="J426" s="657">
        <f t="shared" si="138"/>
        <v>0</v>
      </c>
      <c r="K426" s="1438">
        <f t="shared" si="142"/>
        <v>0</v>
      </c>
      <c r="L426" s="671" t="str">
        <f>IF((K426-'Children YEAR2'!K426)&gt;0, K426-'Children YEAR2'!K426, "0")</f>
        <v>0</v>
      </c>
    </row>
    <row r="427" spans="1:14" ht="13.5" thickBot="1" x14ac:dyDescent="0.25">
      <c r="B427" s="669"/>
      <c r="C427" s="422" t="str">
        <v>LPV/r enfant</v>
      </c>
      <c r="D427" s="423" t="str">
        <v>100/25 mg</v>
      </c>
      <c r="E427" s="1359">
        <v>0</v>
      </c>
      <c r="F427" s="1359" t="e">
        <v>#DIV/0!</v>
      </c>
      <c r="G427" s="1359" t="e">
        <v>#DIV/0!</v>
      </c>
      <c r="H427" s="1359" t="e">
        <v>#DIV/0!</v>
      </c>
      <c r="I427" s="665"/>
      <c r="J427" s="666" t="e">
        <f t="shared" si="138"/>
        <v>#DIV/0!</v>
      </c>
      <c r="K427" s="1440" t="e">
        <f t="shared" si="142"/>
        <v>#DIV/0!</v>
      </c>
      <c r="L427" s="674" t="e">
        <f>IF((K427-'Children YEAR2'!K427)&gt;0, K427-'Children YEAR2'!K427, "0")</f>
        <v>#DIV/0!</v>
      </c>
    </row>
    <row r="430" spans="1:14" s="263" customFormat="1" ht="15.75" thickBot="1" x14ac:dyDescent="0.3">
      <c r="A430" s="2196" t="str">
        <f>'TRAD-Children YEAR(1)'!B132</f>
        <v>Synthèse</v>
      </c>
      <c r="B430" s="2196"/>
      <c r="C430" s="2196"/>
      <c r="D430" s="2196"/>
      <c r="E430" s="2196"/>
      <c r="F430" s="2196"/>
      <c r="G430" s="2196"/>
      <c r="H430" s="2196"/>
      <c r="I430" s="2196"/>
      <c r="J430" s="2196"/>
      <c r="K430" s="2196"/>
      <c r="L430" s="2196"/>
      <c r="M430" s="2196"/>
      <c r="N430" s="2196"/>
    </row>
    <row r="431" spans="1:14" x14ac:dyDescent="0.2">
      <c r="G431" s="497"/>
      <c r="H431" s="497"/>
    </row>
    <row r="432" spans="1:14" ht="15" x14ac:dyDescent="0.2">
      <c r="B432" s="2143" t="str">
        <f>'TRAD-Children YEAR(2)'!B31</f>
        <v>Quantification des besoins en ARV pour la prise en charge pédiatrique sur l'année 3</v>
      </c>
      <c r="C432" s="2143"/>
      <c r="D432" s="2143"/>
      <c r="E432" s="2143"/>
      <c r="F432" s="2143"/>
      <c r="G432" s="2143"/>
      <c r="H432" s="2143"/>
      <c r="I432" s="2143"/>
      <c r="J432" s="2143"/>
      <c r="K432" s="2143"/>
      <c r="L432" s="2143"/>
      <c r="M432" s="2143"/>
    </row>
    <row r="433" spans="2:12" ht="13.5" thickBot="1" x14ac:dyDescent="0.25">
      <c r="G433" s="675"/>
      <c r="H433" s="675"/>
    </row>
    <row r="434" spans="2:12" ht="102.75" thickBot="1" x14ac:dyDescent="0.25">
      <c r="B434" s="676"/>
      <c r="C434" s="368" t="str">
        <f>'TRAD-Children YEAR(1)'!B67</f>
        <v>Composition</v>
      </c>
      <c r="D434" s="369" t="str">
        <f>'TRAD-Children YEAR(1)'!B54</f>
        <v xml:space="preserve">Forme galénique </v>
      </c>
      <c r="E434" s="369" t="str">
        <f>'TRAD-Children YEAR(1)'!B68</f>
        <v>Dosage</v>
      </c>
      <c r="F434" s="369" t="str">
        <f>'TRAD-Children YEAR(1)'!B69</f>
        <v>Nom de spécialité</v>
      </c>
      <c r="G434" s="369"/>
      <c r="H434" s="369" t="str">
        <f>'TRAD-Children YEAR(1)'!B70</f>
        <v>Volume conditionnement primaire (mL)</v>
      </c>
      <c r="I434" s="370" t="str">
        <f>'TRAD-Children YEAR(1)'!B71</f>
        <v>Conditionement secondaire</v>
      </c>
      <c r="J434" s="643" t="str">
        <f>'TRAD-Children YEAR(1)'!B73</f>
        <v>Qtés totales Nb de boites / flacons</v>
      </c>
      <c r="K434" s="643" t="str">
        <f>'TRAD-Children YEAR(1)'!B148</f>
        <v>Différence de marge de sécurité / année précédente (nb de boites / flacons)</v>
      </c>
      <c r="L434" s="677" t="str">
        <f>'TRAD-Children YEAR(1)'!B149</f>
        <v>Total + Différence de marge (nb de boîtes / flacons)</v>
      </c>
    </row>
    <row r="435" spans="2:12" x14ac:dyDescent="0.2">
      <c r="B435" s="676" t="str">
        <f>'TRAD-Children YEAR(1)'!B90</f>
        <v>Solutions buvables</v>
      </c>
      <c r="C435" s="607" t="s">
        <v>39</v>
      </c>
      <c r="D435" s="611" t="str">
        <f>'TRAD-Children YEAR(1)'!B74</f>
        <v>sol buv</v>
      </c>
      <c r="E435" s="611" t="s">
        <v>41</v>
      </c>
      <c r="F435" s="374" t="s">
        <v>42</v>
      </c>
      <c r="G435" s="374"/>
      <c r="H435" s="410">
        <f>G141</f>
        <v>240</v>
      </c>
      <c r="I435" s="411">
        <f>H141</f>
        <v>1</v>
      </c>
      <c r="J435" s="678">
        <f>J361</f>
        <v>0</v>
      </c>
      <c r="K435" s="679" t="str">
        <f t="shared" ref="K435:K442" si="145">L397</f>
        <v>0</v>
      </c>
      <c r="L435" s="1360">
        <f>J435+K435</f>
        <v>0</v>
      </c>
    </row>
    <row r="436" spans="2:12" x14ac:dyDescent="0.2">
      <c r="B436" s="680"/>
      <c r="C436" s="608" t="s">
        <v>61</v>
      </c>
      <c r="D436" s="613" t="str">
        <f>'TRAD-Children YEAR(1)'!B74</f>
        <v>sol buv</v>
      </c>
      <c r="E436" s="613" t="s">
        <v>41</v>
      </c>
      <c r="F436" s="382" t="s">
        <v>133</v>
      </c>
      <c r="G436" s="382"/>
      <c r="H436" s="415">
        <f t="shared" ref="H436:I442" si="146">G142</f>
        <v>240</v>
      </c>
      <c r="I436" s="416">
        <f t="shared" si="146"/>
        <v>1</v>
      </c>
      <c r="J436" s="681">
        <f>J362</f>
        <v>0</v>
      </c>
      <c r="K436" s="682" t="str">
        <f t="shared" si="145"/>
        <v>0</v>
      </c>
      <c r="L436" s="1361">
        <f t="shared" ref="L436:L442" si="147">J436+K436</f>
        <v>0</v>
      </c>
    </row>
    <row r="437" spans="2:12" x14ac:dyDescent="0.2">
      <c r="B437" s="680"/>
      <c r="C437" s="615" t="s">
        <v>15</v>
      </c>
      <c r="D437" s="616" t="str">
        <f>'TRAD-Children YEAR(1)'!B74</f>
        <v>sol buv</v>
      </c>
      <c r="E437" s="616" t="s">
        <v>41</v>
      </c>
      <c r="F437" s="391" t="s">
        <v>43</v>
      </c>
      <c r="G437" s="391"/>
      <c r="H437" s="420">
        <f t="shared" si="146"/>
        <v>240</v>
      </c>
      <c r="I437" s="421">
        <f t="shared" si="146"/>
        <v>1</v>
      </c>
      <c r="J437" s="683">
        <f>ROUNDUP(J363, 0)</f>
        <v>0</v>
      </c>
      <c r="K437" s="684" t="str">
        <f t="shared" si="145"/>
        <v>0</v>
      </c>
      <c r="L437" s="1361">
        <f t="shared" si="147"/>
        <v>0</v>
      </c>
    </row>
    <row r="438" spans="2:12" x14ac:dyDescent="0.2">
      <c r="B438" s="680"/>
      <c r="C438" s="615" t="s">
        <v>25</v>
      </c>
      <c r="D438" s="616" t="str">
        <f>'TRAD-Children YEAR(1)'!B74</f>
        <v>sol buv</v>
      </c>
      <c r="E438" s="616" t="s">
        <v>44</v>
      </c>
      <c r="F438" s="391" t="s">
        <v>26</v>
      </c>
      <c r="G438" s="391"/>
      <c r="H438" s="420">
        <f t="shared" si="146"/>
        <v>240</v>
      </c>
      <c r="I438" s="421">
        <f t="shared" si="146"/>
        <v>1</v>
      </c>
      <c r="J438" s="683">
        <f>ROUNDUP(J364, 0)</f>
        <v>0</v>
      </c>
      <c r="K438" s="684" t="str">
        <f t="shared" si="145"/>
        <v>0</v>
      </c>
      <c r="L438" s="1361">
        <f t="shared" si="147"/>
        <v>0</v>
      </c>
    </row>
    <row r="439" spans="2:12" x14ac:dyDescent="0.2">
      <c r="B439" s="680"/>
      <c r="C439" s="615" t="s">
        <v>28</v>
      </c>
      <c r="D439" s="616" t="str">
        <f>'TRAD-Children YEAR(1)'!B74</f>
        <v>sol buv</v>
      </c>
      <c r="E439" s="616" t="s">
        <v>46</v>
      </c>
      <c r="F439" s="391" t="s">
        <v>30</v>
      </c>
      <c r="G439" s="391"/>
      <c r="H439" s="420">
        <f t="shared" si="146"/>
        <v>200</v>
      </c>
      <c r="I439" s="421">
        <f t="shared" si="146"/>
        <v>1</v>
      </c>
      <c r="J439" s="683">
        <f>J365</f>
        <v>0</v>
      </c>
      <c r="K439" s="684" t="str">
        <f t="shared" si="145"/>
        <v>0</v>
      </c>
      <c r="L439" s="1361">
        <f t="shared" si="147"/>
        <v>0</v>
      </c>
    </row>
    <row r="440" spans="2:12" x14ac:dyDescent="0.2">
      <c r="B440" s="680"/>
      <c r="C440" s="615" t="s">
        <v>19</v>
      </c>
      <c r="D440" s="616" t="str">
        <f>'TRAD-Children YEAR(1)'!B74</f>
        <v>sol buv</v>
      </c>
      <c r="E440" s="616" t="s">
        <v>41</v>
      </c>
      <c r="F440" s="391" t="s">
        <v>21</v>
      </c>
      <c r="G440" s="391"/>
      <c r="H440" s="420">
        <f t="shared" si="146"/>
        <v>240</v>
      </c>
      <c r="I440" s="421">
        <f t="shared" si="146"/>
        <v>1</v>
      </c>
      <c r="J440" s="683" t="e">
        <f>J366</f>
        <v>#DIV/0!</v>
      </c>
      <c r="K440" s="684" t="e">
        <f t="shared" si="145"/>
        <v>#DIV/0!</v>
      </c>
      <c r="L440" s="1361" t="e">
        <f t="shared" si="147"/>
        <v>#DIV/0!</v>
      </c>
    </row>
    <row r="441" spans="2:12" x14ac:dyDescent="0.2">
      <c r="B441" s="680"/>
      <c r="C441" s="615" t="s">
        <v>17</v>
      </c>
      <c r="D441" s="616" t="str">
        <f>'TRAD-Children YEAR(1)'!B74</f>
        <v>sol buv</v>
      </c>
      <c r="E441" s="616" t="s">
        <v>259</v>
      </c>
      <c r="F441" s="391" t="s">
        <v>249</v>
      </c>
      <c r="G441" s="391"/>
      <c r="H441" s="420">
        <f t="shared" si="146"/>
        <v>180</v>
      </c>
      <c r="I441" s="421">
        <f t="shared" si="146"/>
        <v>1</v>
      </c>
      <c r="J441" s="683" t="e">
        <f>J367</f>
        <v>#DIV/0!</v>
      </c>
      <c r="K441" s="684" t="e">
        <f t="shared" si="145"/>
        <v>#DIV/0!</v>
      </c>
      <c r="L441" s="1361" t="e">
        <f t="shared" si="147"/>
        <v>#DIV/0!</v>
      </c>
    </row>
    <row r="442" spans="2:12" ht="13.5" thickBot="1" x14ac:dyDescent="0.25">
      <c r="B442" s="685"/>
      <c r="C442" s="615" t="s">
        <v>33</v>
      </c>
      <c r="D442" s="616" t="str">
        <f>'TRAD-Children YEAR(1)'!B74</f>
        <v>sol buv</v>
      </c>
      <c r="E442" s="616" t="s">
        <v>47</v>
      </c>
      <c r="F442" s="391" t="s">
        <v>48</v>
      </c>
      <c r="G442" s="391"/>
      <c r="H442" s="420">
        <f t="shared" si="146"/>
        <v>60</v>
      </c>
      <c r="I442" s="421">
        <f t="shared" si="146"/>
        <v>4</v>
      </c>
      <c r="J442" s="683" t="e">
        <f>ROUNDUP(J368, 0)</f>
        <v>#DIV/0!</v>
      </c>
      <c r="K442" s="684" t="e">
        <f t="shared" si="145"/>
        <v>#DIV/0!</v>
      </c>
      <c r="L442" s="1362" t="e">
        <f t="shared" si="147"/>
        <v>#DIV/0!</v>
      </c>
    </row>
    <row r="443" spans="2:12" ht="102.75" thickBot="1" x14ac:dyDescent="0.25">
      <c r="B443" s="685"/>
      <c r="C443" s="368" t="str">
        <f>'TRAD-Children YEAR(1)'!B67</f>
        <v>Composition</v>
      </c>
      <c r="D443" s="369" t="str">
        <f>'TRAD-Children YEAR(1)'!B54</f>
        <v xml:space="preserve">Forme galénique </v>
      </c>
      <c r="E443" s="369" t="str">
        <f>'TRAD-Children YEAR(1)'!B68</f>
        <v>Dosage</v>
      </c>
      <c r="F443" s="369" t="str">
        <f>'TRAD-Children YEAR(1)'!B69</f>
        <v>Nom de spécialité</v>
      </c>
      <c r="G443" s="369" t="str">
        <f>'TRAD-Children YEAR(1)'!B135</f>
        <v>Nom de générique possible</v>
      </c>
      <c r="H443" s="369" t="str">
        <f>'TRAD-Children YEAR(1)'!B136</f>
        <v>Conditionnement</v>
      </c>
      <c r="I443" s="370"/>
      <c r="J443" s="643" t="str">
        <f>'TRAD-Children YEAR(1)'!B73</f>
        <v>Qtés totales Nb de boites / flacons</v>
      </c>
      <c r="K443" s="643" t="str">
        <f>'TRAD-Children YEAR(1)'!B148</f>
        <v>Différence de marge de sécurité / année précédente (nb de boites / flacons)</v>
      </c>
      <c r="L443" s="677" t="str">
        <f>'TRAD-Children YEAR(1)'!B149</f>
        <v>Total + Différence de marge (nb de boîtes / flacons)</v>
      </c>
    </row>
    <row r="444" spans="2:12" x14ac:dyDescent="0.2">
      <c r="B444" s="676" t="str">
        <f>'TRAD-Children YEAR(1)'!B91</f>
        <v>Comprimés</v>
      </c>
      <c r="C444" s="1978" t="str">
        <f t="array" ref="C444:C454">'Data &amp; hypothesis Children'!$C$238:$D$260</f>
        <v>AZT+ 3TC+ NVP adulte</v>
      </c>
      <c r="D444" s="611" t="str">
        <f>'TRAD-Children YEAR(1)'!B91</f>
        <v>Comprimés</v>
      </c>
      <c r="E444" s="611" t="s">
        <v>9</v>
      </c>
      <c r="F444" s="374"/>
      <c r="G444" s="374" t="s">
        <v>10</v>
      </c>
      <c r="H444" s="410">
        <f>'Available Stocks'!K13</f>
        <v>60</v>
      </c>
      <c r="I444" s="411"/>
      <c r="J444" s="678">
        <f t="shared" ref="J444:J450" si="148">J369</f>
        <v>0</v>
      </c>
      <c r="K444" s="679" t="str">
        <f t="shared" ref="K444:K450" si="149">L405</f>
        <v>0</v>
      </c>
      <c r="L444" s="1360">
        <f t="shared" ref="L444:L454" si="150">J444+K444</f>
        <v>0</v>
      </c>
    </row>
    <row r="445" spans="2:12" x14ac:dyDescent="0.2">
      <c r="B445" s="680"/>
      <c r="C445" s="1979" t="str">
        <v>AZT+ 3TC+ NVP bébé</v>
      </c>
      <c r="D445" s="841" t="str">
        <f>'TRAD-Children YEAR(1)'!B91</f>
        <v>Comprimés</v>
      </c>
      <c r="E445" s="841" t="s">
        <v>384</v>
      </c>
      <c r="F445" s="842"/>
      <c r="G445" s="842" t="s">
        <v>385</v>
      </c>
      <c r="H445" s="415">
        <f>'Available Stocks'!K14</f>
        <v>60</v>
      </c>
      <c r="I445" s="416"/>
      <c r="J445" s="683" t="e">
        <f t="shared" si="148"/>
        <v>#DIV/0!</v>
      </c>
      <c r="K445" s="684" t="e">
        <f t="shared" si="149"/>
        <v>#DIV/0!</v>
      </c>
      <c r="L445" s="1361" t="e">
        <f t="shared" si="150"/>
        <v>#DIV/0!</v>
      </c>
    </row>
    <row r="446" spans="2:12" x14ac:dyDescent="0.2">
      <c r="B446" s="680"/>
      <c r="C446" s="1979" t="str">
        <v>AZT+ 3TC adulte</v>
      </c>
      <c r="D446" s="613" t="str">
        <f>'TRAD-Children YEAR(1)'!B91</f>
        <v>Comprimés</v>
      </c>
      <c r="E446" s="613" t="s">
        <v>12</v>
      </c>
      <c r="F446" s="382" t="s">
        <v>13</v>
      </c>
      <c r="G446" s="382" t="s">
        <v>14</v>
      </c>
      <c r="H446" s="415">
        <f>'Available Stocks'!K18</f>
        <v>60</v>
      </c>
      <c r="I446" s="416"/>
      <c r="J446" s="683">
        <f t="shared" si="148"/>
        <v>0</v>
      </c>
      <c r="K446" s="684" t="str">
        <f t="shared" si="149"/>
        <v>0</v>
      </c>
      <c r="L446" s="1361">
        <f t="shared" si="150"/>
        <v>0</v>
      </c>
    </row>
    <row r="447" spans="2:12" x14ac:dyDescent="0.2">
      <c r="B447" s="680"/>
      <c r="C447" s="1979" t="str">
        <v>AZT+ 3TC bébé</v>
      </c>
      <c r="D447" s="841" t="str">
        <f>'TRAD-Children YEAR(1)'!B91</f>
        <v>Comprimés</v>
      </c>
      <c r="E447" s="841" t="s">
        <v>382</v>
      </c>
      <c r="F447" s="842"/>
      <c r="G447" s="842" t="s">
        <v>383</v>
      </c>
      <c r="H447" s="415">
        <f>'Available Stocks'!K19</f>
        <v>60</v>
      </c>
      <c r="I447" s="416"/>
      <c r="J447" s="683" t="e">
        <f t="shared" si="148"/>
        <v>#DIV/0!</v>
      </c>
      <c r="K447" s="684" t="e">
        <f t="shared" si="149"/>
        <v>#DIV/0!</v>
      </c>
      <c r="L447" s="1361" t="e">
        <f t="shared" si="150"/>
        <v>#DIV/0!</v>
      </c>
    </row>
    <row r="448" spans="2:12" x14ac:dyDescent="0.2">
      <c r="B448" s="680"/>
      <c r="C448" s="1979" t="str">
        <v>D4T+ 3TC+ NVP adulte</v>
      </c>
      <c r="D448" s="616" t="str">
        <f>'TRAD-Children YEAR(1)'!B91</f>
        <v>Comprimés</v>
      </c>
      <c r="E448" s="616" t="s">
        <v>80</v>
      </c>
      <c r="F448" s="391"/>
      <c r="G448" s="391" t="s">
        <v>79</v>
      </c>
      <c r="H448" s="415">
        <f>'Available Stocks'!K22</f>
        <v>60</v>
      </c>
      <c r="I448" s="421"/>
      <c r="J448" s="683">
        <f t="shared" si="148"/>
        <v>0</v>
      </c>
      <c r="K448" s="684" t="str">
        <f t="shared" si="149"/>
        <v>0</v>
      </c>
      <c r="L448" s="1361">
        <f t="shared" si="150"/>
        <v>0</v>
      </c>
    </row>
    <row r="449" spans="2:12" x14ac:dyDescent="0.2">
      <c r="B449" s="680"/>
      <c r="C449" s="1979" t="str">
        <v>D4T+ 3TC+ NVP bébé</v>
      </c>
      <c r="D449" s="613" t="str">
        <f>'TRAD-Children YEAR(1)'!B91</f>
        <v>Comprimés</v>
      </c>
      <c r="E449" s="613" t="s">
        <v>131</v>
      </c>
      <c r="F449" s="382"/>
      <c r="G449" s="382" t="s">
        <v>132</v>
      </c>
      <c r="H449" s="415">
        <f>'Available Stocks'!K23</f>
        <v>60</v>
      </c>
      <c r="I449" s="416"/>
      <c r="J449" s="683" t="e">
        <f t="shared" si="148"/>
        <v>#DIV/0!</v>
      </c>
      <c r="K449" s="684" t="e">
        <f t="shared" si="149"/>
        <v>#DIV/0!</v>
      </c>
      <c r="L449" s="1361" t="e">
        <f t="shared" si="150"/>
        <v>#DIV/0!</v>
      </c>
    </row>
    <row r="450" spans="2:12" x14ac:dyDescent="0.2">
      <c r="B450" s="680"/>
      <c r="C450" s="1979" t="str">
        <v>D4T+ 3TC bébé</v>
      </c>
      <c r="D450" s="613" t="str">
        <f>'TRAD-Children YEAR(1)'!B91</f>
        <v>Comprimés</v>
      </c>
      <c r="E450" s="613" t="s">
        <v>733</v>
      </c>
      <c r="F450" s="382"/>
      <c r="G450" s="382"/>
      <c r="H450" s="415">
        <f>'Available Stocks'!K24</f>
        <v>60</v>
      </c>
      <c r="I450" s="416"/>
      <c r="J450" s="683">
        <f t="shared" si="148"/>
        <v>0</v>
      </c>
      <c r="K450" s="684" t="str">
        <f t="shared" si="149"/>
        <v>0</v>
      </c>
      <c r="L450" s="1361">
        <f t="shared" ref="L450" si="151">J450+K450</f>
        <v>0</v>
      </c>
    </row>
    <row r="451" spans="2:12" x14ac:dyDescent="0.2">
      <c r="B451" s="680"/>
      <c r="C451" s="1979" t="str">
        <v>AZT+ 3TC+ ABC adulte</v>
      </c>
      <c r="D451" s="613" t="str">
        <f>'TRAD-Children YEAR(1)'!B91</f>
        <v>Comprimés</v>
      </c>
      <c r="E451" s="613" t="s">
        <v>334</v>
      </c>
      <c r="F451" s="382" t="s">
        <v>396</v>
      </c>
      <c r="G451" s="382"/>
      <c r="H451" s="415">
        <f>'Available Stocks'!K25</f>
        <v>60</v>
      </c>
      <c r="I451" s="416"/>
      <c r="J451" s="683">
        <f>J376</f>
        <v>0</v>
      </c>
      <c r="K451" s="684" t="str">
        <f t="shared" ref="K451:K454" si="152">L412</f>
        <v>0</v>
      </c>
      <c r="L451" s="1361">
        <f t="shared" si="150"/>
        <v>0</v>
      </c>
    </row>
    <row r="452" spans="2:12" x14ac:dyDescent="0.2">
      <c r="B452" s="680"/>
      <c r="C452" s="1979" t="str">
        <v>AZT+ 3TC+ ABC bébé</v>
      </c>
      <c r="D452" s="613" t="str">
        <f>'TRAD-Children YEAR(1)'!B91</f>
        <v>Comprimés</v>
      </c>
      <c r="E452" s="613" t="s">
        <v>636</v>
      </c>
      <c r="F452" s="382"/>
      <c r="G452" s="382"/>
      <c r="H452" s="415">
        <f>'Available Stocks'!K26</f>
        <v>30</v>
      </c>
      <c r="I452" s="416"/>
      <c r="J452" s="683">
        <f>J377</f>
        <v>0</v>
      </c>
      <c r="K452" s="684" t="str">
        <f t="shared" si="152"/>
        <v>0</v>
      </c>
      <c r="L452" s="1361">
        <f t="shared" si="150"/>
        <v>0</v>
      </c>
    </row>
    <row r="453" spans="2:12" x14ac:dyDescent="0.2">
      <c r="B453" s="680"/>
      <c r="C453" s="1979" t="str">
        <v>ABC+ 3TC adulte</v>
      </c>
      <c r="D453" s="613" t="str">
        <f>'TRAD-Children YEAR(1)'!B91</f>
        <v>Comprimés</v>
      </c>
      <c r="E453" s="613" t="s">
        <v>649</v>
      </c>
      <c r="F453" s="382" t="s">
        <v>642</v>
      </c>
      <c r="G453" s="382"/>
      <c r="H453" s="415">
        <f>'Available Stocks'!K27</f>
        <v>30</v>
      </c>
      <c r="I453" s="416"/>
      <c r="J453" s="683" t="e">
        <f>J378</f>
        <v>#DIV/0!</v>
      </c>
      <c r="K453" s="684" t="e">
        <f t="shared" si="152"/>
        <v>#DIV/0!</v>
      </c>
      <c r="L453" s="1361" t="e">
        <f t="shared" si="150"/>
        <v>#DIV/0!</v>
      </c>
    </row>
    <row r="454" spans="2:12" x14ac:dyDescent="0.2">
      <c r="B454" s="680"/>
      <c r="C454" s="1980" t="str">
        <v>ABC+ 3TC bébé</v>
      </c>
      <c r="D454" s="613" t="str">
        <f>'TRAD-Children YEAR(1)'!B91</f>
        <v>Comprimés</v>
      </c>
      <c r="E454" s="613" t="s">
        <v>636</v>
      </c>
      <c r="F454" s="382"/>
      <c r="G454" s="382"/>
      <c r="H454" s="415">
        <f>'Available Stocks'!K28</f>
        <v>30</v>
      </c>
      <c r="I454" s="416"/>
      <c r="J454" s="683" t="e">
        <f>J379</f>
        <v>#DIV/0!</v>
      </c>
      <c r="K454" s="684" t="e">
        <f t="shared" si="152"/>
        <v>#DIV/0!</v>
      </c>
      <c r="L454" s="1361" t="e">
        <f t="shared" si="150"/>
        <v>#DIV/0!</v>
      </c>
    </row>
    <row r="455" spans="2:12" x14ac:dyDescent="0.2">
      <c r="B455" s="680"/>
      <c r="C455" s="1980" t="s">
        <v>1610</v>
      </c>
      <c r="D455" s="613" t="s">
        <v>205</v>
      </c>
      <c r="F455" s="382"/>
      <c r="G455" s="382"/>
      <c r="H455" s="415">
        <f>IF('Data &amp; hypothesis Adults'!$D$221="X", 'Available Stocks'!$K$26, IF('Data &amp; hypothesis Adults'!$D$222="X", 'Available Stocks'!$K$28, 'Available Stocks'!$K$26))</f>
        <v>30</v>
      </c>
      <c r="I455" s="416"/>
      <c r="J455" s="683">
        <f t="shared" ref="J455:J457" si="153">J380</f>
        <v>0</v>
      </c>
      <c r="K455" s="684" t="str">
        <f t="shared" ref="K455:K457" si="154">L416</f>
        <v>0</v>
      </c>
      <c r="L455" s="1361">
        <f t="shared" ref="L455:L457" si="155">J455+K455</f>
        <v>0</v>
      </c>
    </row>
    <row r="456" spans="2:12" x14ac:dyDescent="0.2">
      <c r="B456" s="680"/>
      <c r="C456" s="1980" t="s">
        <v>1611</v>
      </c>
      <c r="D456" s="613" t="s">
        <v>205</v>
      </c>
      <c r="F456" s="382"/>
      <c r="G456" s="382"/>
      <c r="H456" s="415">
        <f>IF('Data &amp; hypothesis Adults'!$D$221="X", 'Available Stocks'!$K$27, IF('Data &amp; hypothesis Adults'!$D$222="X", 'Available Stocks'!$K$29, 'Available Stocks'!$K$27))</f>
        <v>30</v>
      </c>
      <c r="I456" s="416"/>
      <c r="J456" s="683" t="e">
        <f t="shared" si="153"/>
        <v>#DIV/0!</v>
      </c>
      <c r="K456" s="684" t="e">
        <f t="shared" si="154"/>
        <v>#DIV/0!</v>
      </c>
      <c r="L456" s="1361" t="e">
        <f t="shared" si="155"/>
        <v>#DIV/0!</v>
      </c>
    </row>
    <row r="457" spans="2:12" x14ac:dyDescent="0.2">
      <c r="B457" s="680"/>
      <c r="C457" s="1980" t="s">
        <v>1592</v>
      </c>
      <c r="D457" s="613" t="s">
        <v>205</v>
      </c>
      <c r="E457" s="613" t="s">
        <v>23</v>
      </c>
      <c r="F457" s="382"/>
      <c r="G457" s="382"/>
      <c r="H457" s="415">
        <f>'Available Stocks'!K44</f>
        <v>30</v>
      </c>
      <c r="I457" s="416"/>
      <c r="J457" s="683">
        <f t="shared" si="153"/>
        <v>0</v>
      </c>
      <c r="K457" s="684" t="str">
        <f t="shared" si="154"/>
        <v>0</v>
      </c>
      <c r="L457" s="1361">
        <f t="shared" si="155"/>
        <v>0</v>
      </c>
    </row>
    <row r="458" spans="2:12" x14ac:dyDescent="0.2">
      <c r="B458" s="680"/>
      <c r="C458" s="608" t="s">
        <v>15</v>
      </c>
      <c r="D458" s="613" t="str">
        <f>'TRAD-Children YEAR(1)'!B91</f>
        <v>Comprimés</v>
      </c>
      <c r="E458" s="613" t="s">
        <v>16</v>
      </c>
      <c r="F458" s="382"/>
      <c r="G458" s="382"/>
      <c r="H458" s="415">
        <f>'Available Stocks'!K29</f>
        <v>30</v>
      </c>
      <c r="I458" s="416"/>
      <c r="J458" s="683">
        <f t="shared" ref="J458:J461" si="156">J383</f>
        <v>0</v>
      </c>
      <c r="K458" s="684" t="str">
        <f>L419</f>
        <v>0</v>
      </c>
      <c r="L458" s="1361">
        <f t="shared" ref="L458:L461" si="157">J458+K458</f>
        <v>0</v>
      </c>
    </row>
    <row r="459" spans="2:12" x14ac:dyDescent="0.2">
      <c r="B459" s="680"/>
      <c r="C459" s="608" t="s">
        <v>25</v>
      </c>
      <c r="D459" s="613" t="str">
        <f>'TRAD-Children YEAR(1)'!B91</f>
        <v>Comprimés</v>
      </c>
      <c r="E459" s="613" t="s">
        <v>23</v>
      </c>
      <c r="F459" s="382" t="s">
        <v>26</v>
      </c>
      <c r="G459" s="382" t="s">
        <v>27</v>
      </c>
      <c r="H459" s="415">
        <f>'Available Stocks'!K35</f>
        <v>60</v>
      </c>
      <c r="I459" s="416"/>
      <c r="J459" s="683">
        <f t="shared" si="156"/>
        <v>0</v>
      </c>
      <c r="K459" s="684" t="str">
        <f>L420</f>
        <v>0</v>
      </c>
      <c r="L459" s="1361">
        <f t="shared" si="157"/>
        <v>0</v>
      </c>
    </row>
    <row r="460" spans="2:12" x14ac:dyDescent="0.2">
      <c r="B460" s="680"/>
      <c r="C460" s="615" t="s">
        <v>648</v>
      </c>
      <c r="D460" s="616" t="str">
        <f>'TRAD-Children YEAR(1)'!B91</f>
        <v>Comprimés</v>
      </c>
      <c r="E460" s="616" t="s">
        <v>639</v>
      </c>
      <c r="F460" s="391"/>
      <c r="G460" s="391"/>
      <c r="H460" s="415">
        <f>'Available Stocks'!K36</f>
        <v>60</v>
      </c>
      <c r="I460" s="421"/>
      <c r="J460" s="683" t="e">
        <f t="shared" si="156"/>
        <v>#DIV/0!</v>
      </c>
      <c r="K460" s="684" t="e">
        <f>L421</f>
        <v>#DIV/0!</v>
      </c>
      <c r="L460" s="1361" t="e">
        <f t="shared" si="157"/>
        <v>#DIV/0!</v>
      </c>
    </row>
    <row r="461" spans="2:12" x14ac:dyDescent="0.2">
      <c r="B461" s="680"/>
      <c r="C461" s="615" t="s">
        <v>28</v>
      </c>
      <c r="D461" s="616" t="str">
        <f>'TRAD-Children YEAR(1)'!B91</f>
        <v>Comprimés</v>
      </c>
      <c r="E461" s="616" t="s">
        <v>29</v>
      </c>
      <c r="F461" s="391" t="s">
        <v>30</v>
      </c>
      <c r="G461" s="391" t="s">
        <v>31</v>
      </c>
      <c r="H461" s="420">
        <f>'Available Stocks'!K42</f>
        <v>30</v>
      </c>
      <c r="I461" s="421"/>
      <c r="J461" s="683">
        <f t="shared" si="156"/>
        <v>0</v>
      </c>
      <c r="K461" s="684" t="str">
        <f>L422</f>
        <v>0</v>
      </c>
      <c r="L461" s="1361">
        <f t="shared" si="157"/>
        <v>0</v>
      </c>
    </row>
    <row r="462" spans="2:12" x14ac:dyDescent="0.2">
      <c r="B462" s="680"/>
      <c r="C462" s="615" t="s">
        <v>19</v>
      </c>
      <c r="D462" s="616" t="str">
        <f>'TRAD-Children YEAR(1)'!B91</f>
        <v>Comprimés</v>
      </c>
      <c r="E462" s="616" t="s">
        <v>20</v>
      </c>
      <c r="F462" s="391"/>
      <c r="G462" s="391"/>
      <c r="H462" s="420">
        <f>'Available Stocks'!K33</f>
        <v>60</v>
      </c>
      <c r="I462" s="421"/>
      <c r="J462" s="683">
        <f t="shared" ref="J462:J463" si="158">J387</f>
        <v>0</v>
      </c>
      <c r="K462" s="684" t="str">
        <f t="shared" ref="K462" si="159">L423</f>
        <v>0</v>
      </c>
      <c r="L462" s="1361">
        <f t="shared" ref="L462:L466" si="160">J462+K462</f>
        <v>0</v>
      </c>
    </row>
    <row r="463" spans="2:12" x14ac:dyDescent="0.2">
      <c r="B463" s="680"/>
      <c r="C463" s="615" t="s">
        <v>19</v>
      </c>
      <c r="D463" s="616" t="str">
        <f>'TRAD-Children YEAR(1)'!B91</f>
        <v>Comprimés</v>
      </c>
      <c r="E463" s="616" t="s">
        <v>248</v>
      </c>
      <c r="F463" s="391"/>
      <c r="G463" s="391"/>
      <c r="H463" s="420">
        <f>'Available Stocks'!K34</f>
        <v>60</v>
      </c>
      <c r="I463" s="421"/>
      <c r="J463" s="683" t="e">
        <f t="shared" si="158"/>
        <v>#DIV/0!</v>
      </c>
      <c r="K463" s="684" t="e">
        <f t="shared" ref="K463" si="161">L424</f>
        <v>#DIV/0!</v>
      </c>
      <c r="L463" s="1361" t="e">
        <f t="shared" ref="L463" si="162">J463+K463</f>
        <v>#DIV/0!</v>
      </c>
    </row>
    <row r="464" spans="2:12" x14ac:dyDescent="0.2">
      <c r="B464" s="680"/>
      <c r="C464" s="615" t="s">
        <v>17</v>
      </c>
      <c r="D464" s="616" t="s">
        <v>163</v>
      </c>
      <c r="E464" s="616" t="s">
        <v>20</v>
      </c>
      <c r="F464" s="391"/>
      <c r="G464" s="391"/>
      <c r="H464" s="420">
        <f>'Available Stocks'!K30</f>
        <v>30</v>
      </c>
      <c r="I464" s="421"/>
      <c r="J464" s="683" t="e">
        <f>J389</f>
        <v>#DIV/0!</v>
      </c>
      <c r="K464" s="684" t="e">
        <f>L425</f>
        <v>#DIV/0!</v>
      </c>
      <c r="L464" s="1361" t="e">
        <f t="shared" si="160"/>
        <v>#DIV/0!</v>
      </c>
    </row>
    <row r="465" spans="1:13" x14ac:dyDescent="0.2">
      <c r="B465" s="680"/>
      <c r="C465" s="615" t="s">
        <v>33</v>
      </c>
      <c r="D465" s="616" t="str">
        <f>'TRAD-Children YEAR(1)'!B91</f>
        <v>Comprimés</v>
      </c>
      <c r="E465" s="616" t="s">
        <v>34</v>
      </c>
      <c r="F465" s="391" t="s">
        <v>35</v>
      </c>
      <c r="G465" s="391" t="s">
        <v>36</v>
      </c>
      <c r="H465" s="420">
        <f>'Available Stocks'!K45</f>
        <v>120</v>
      </c>
      <c r="I465" s="421"/>
      <c r="J465" s="683">
        <f>J390</f>
        <v>0</v>
      </c>
      <c r="K465" s="684" t="str">
        <f>L426</f>
        <v>0</v>
      </c>
      <c r="L465" s="1361">
        <f t="shared" si="160"/>
        <v>0</v>
      </c>
    </row>
    <row r="466" spans="1:13" ht="13.5" thickBot="1" x14ac:dyDescent="0.25">
      <c r="B466" s="685"/>
      <c r="C466" s="609" t="s">
        <v>638</v>
      </c>
      <c r="D466" s="621" t="str">
        <f>'TRAD-Children YEAR(1)'!B91</f>
        <v>Comprimés</v>
      </c>
      <c r="E466" s="621" t="s">
        <v>637</v>
      </c>
      <c r="F466" s="424" t="s">
        <v>35</v>
      </c>
      <c r="G466" s="424"/>
      <c r="H466" s="425">
        <f>'Available Stocks'!K46</f>
        <v>60</v>
      </c>
      <c r="I466" s="426"/>
      <c r="J466" s="683" t="e">
        <f>J391</f>
        <v>#DIV/0!</v>
      </c>
      <c r="K466" s="684" t="e">
        <f>L427</f>
        <v>#DIV/0!</v>
      </c>
      <c r="L466" s="1361" t="e">
        <f t="shared" si="160"/>
        <v>#DIV/0!</v>
      </c>
    </row>
    <row r="469" spans="1:13" ht="15" x14ac:dyDescent="0.2">
      <c r="B469" s="2143" t="str">
        <f>'TRAD-Children YEAR(2)'!B36</f>
        <v>Répartition file active pédiatrique sous traitement à la fin de l'année 3</v>
      </c>
      <c r="C469" s="2143"/>
      <c r="D469" s="2143"/>
      <c r="E469" s="2143"/>
      <c r="F469" s="2143"/>
      <c r="G469" s="2143"/>
      <c r="H469" s="2143"/>
      <c r="I469" s="2143"/>
      <c r="J469" s="2143"/>
      <c r="K469" s="2143"/>
      <c r="L469" s="2143"/>
      <c r="M469" s="2143"/>
    </row>
    <row r="470" spans="1:13" ht="13.5" thickBot="1" x14ac:dyDescent="0.25"/>
    <row r="471" spans="1:13" ht="56.25" customHeight="1" thickBot="1" x14ac:dyDescent="0.25">
      <c r="A471" s="260"/>
      <c r="B471" s="528"/>
      <c r="D471" s="2211" t="str">
        <f>'TRAD-Children YEAR(1)'!B138</f>
        <v>SANS DEFALCATION des passages en 2èmes lignes sur les 1ères lignes</v>
      </c>
      <c r="E471" s="2212"/>
      <c r="F471" s="2211" t="str">
        <f>'TRAD-Children YEAR(1)'!B139</f>
        <v>AVEC DEFALCATION PROPORTIONNELLE à la répartition des patients en 1ère ligne</v>
      </c>
      <c r="G471" s="2212"/>
      <c r="H471" s="2211" t="str">
        <f>'TRAD-Children YEAR(1)'!B140</f>
        <v>AVEC DEFALCATION SUR SCHEMA MAJORITAIRE 1ère ligne</v>
      </c>
      <c r="I471" s="2212"/>
    </row>
    <row r="472" spans="1:13" ht="26.25" thickBot="1" x14ac:dyDescent="0.25">
      <c r="A472" s="260"/>
      <c r="B472" s="528"/>
      <c r="C472" s="368" t="str">
        <f>'TRAD-Children YEAR(1)'!B6</f>
        <v>Schéma thérapeutique</v>
      </c>
      <c r="D472" s="686" t="str">
        <f>'TRAD-Children YEAR(1)'!B141</f>
        <v>Nb d'enfants</v>
      </c>
      <c r="E472" s="687" t="s">
        <v>278</v>
      </c>
      <c r="F472" s="686" t="str">
        <f>'TRAD-Children YEAR(1)'!B141</f>
        <v>Nb d'enfants</v>
      </c>
      <c r="G472" s="687" t="s">
        <v>278</v>
      </c>
      <c r="H472" s="686" t="str">
        <f>'TRAD-Children YEAR(1)'!B141</f>
        <v>Nb d'enfants</v>
      </c>
      <c r="I472" s="687" t="s">
        <v>278</v>
      </c>
    </row>
    <row r="473" spans="1:13" x14ac:dyDescent="0.2">
      <c r="A473" s="260"/>
      <c r="B473" s="528" t="str">
        <f>'Data &amp; hypothesis Children'!B26</f>
        <v>1ères lignes</v>
      </c>
      <c r="C473" s="155" t="str">
        <f t="array" ref="C473:C482">'Data &amp; hypothesis Children'!$C$26:$C$35</f>
        <v>D4T+3TC+NVP</v>
      </c>
      <c r="D473" s="852" t="e">
        <f t="shared" ref="D473:D478" si="163">C10+F27</f>
        <v>#DIV/0!</v>
      </c>
      <c r="E473" s="854" t="e">
        <f>D473/D$483</f>
        <v>#DIV/0!</v>
      </c>
      <c r="F473" s="852" t="e">
        <f>C10+F27-(C10/H$10)*E$57</f>
        <v>#DIV/0!</v>
      </c>
      <c r="G473" s="854" t="e">
        <f>F473/F$483</f>
        <v>#DIV/0!</v>
      </c>
      <c r="H473" s="852" t="e">
        <f>C10+F27-E56</f>
        <v>#DIV/0!</v>
      </c>
      <c r="I473" s="854" t="e">
        <f>H473/H$483</f>
        <v>#DIV/0!</v>
      </c>
    </row>
    <row r="474" spans="1:13" x14ac:dyDescent="0.2">
      <c r="A474" s="260"/>
      <c r="B474" s="528"/>
      <c r="C474" s="156" t="str">
        <v>AZT+3TC+NVP</v>
      </c>
      <c r="D474" s="852" t="e">
        <f t="shared" si="163"/>
        <v>#DIV/0!</v>
      </c>
      <c r="E474" s="854" t="e">
        <f t="shared" ref="E474:E475" si="164">D474/D$483</f>
        <v>#DIV/0!</v>
      </c>
      <c r="F474" s="852" t="e">
        <f t="shared" ref="F474:F478" si="165">C11+F28-(C11/H$10)*E$57</f>
        <v>#DIV/0!</v>
      </c>
      <c r="G474" s="854" t="e">
        <f t="shared" ref="G474:I475" si="166">F474/F$483</f>
        <v>#DIV/0!</v>
      </c>
      <c r="H474" s="852" t="e">
        <f>C11+F28</f>
        <v>#DIV/0!</v>
      </c>
      <c r="I474" s="854" t="e">
        <f t="shared" si="166"/>
        <v>#DIV/0!</v>
      </c>
    </row>
    <row r="475" spans="1:13" x14ac:dyDescent="0.2">
      <c r="A475" s="260"/>
      <c r="B475" s="528"/>
      <c r="C475" s="156" t="str">
        <v>AZT+3TC+EFV</v>
      </c>
      <c r="D475" s="852" t="e">
        <f t="shared" si="163"/>
        <v>#DIV/0!</v>
      </c>
      <c r="E475" s="855" t="e">
        <f t="shared" si="164"/>
        <v>#DIV/0!</v>
      </c>
      <c r="F475" s="852" t="e">
        <f t="shared" si="165"/>
        <v>#DIV/0!</v>
      </c>
      <c r="G475" s="855" t="e">
        <f t="shared" si="166"/>
        <v>#DIV/0!</v>
      </c>
      <c r="H475" s="852" t="e">
        <f>C12+F29</f>
        <v>#DIV/0!</v>
      </c>
      <c r="I475" s="855" t="e">
        <f t="shared" si="166"/>
        <v>#DIV/0!</v>
      </c>
    </row>
    <row r="476" spans="1:13" x14ac:dyDescent="0.2">
      <c r="A476" s="260"/>
      <c r="B476" s="528"/>
      <c r="C476" s="156" t="str">
        <v>LPV/r+3TC+ABC</v>
      </c>
      <c r="D476" s="852" t="e">
        <f t="shared" si="163"/>
        <v>#DIV/0!</v>
      </c>
      <c r="E476" s="855" t="e">
        <f t="shared" ref="E476:E479" si="167">D476/D$483</f>
        <v>#DIV/0!</v>
      </c>
      <c r="F476" s="852" t="e">
        <f t="shared" si="165"/>
        <v>#DIV/0!</v>
      </c>
      <c r="G476" s="855" t="e">
        <f t="shared" ref="G476:G479" si="168">F476/F$483</f>
        <v>#DIV/0!</v>
      </c>
      <c r="H476" s="852" t="e">
        <f>C13+F30</f>
        <v>#DIV/0!</v>
      </c>
      <c r="I476" s="855" t="e">
        <f t="shared" ref="I476:I479" si="169">H476/H$483</f>
        <v>#DIV/0!</v>
      </c>
    </row>
    <row r="477" spans="1:13" x14ac:dyDescent="0.2">
      <c r="A477" s="260"/>
      <c r="B477" s="528"/>
      <c r="C477" s="156" t="str">
        <v>ABC+3TC+NVP</v>
      </c>
      <c r="D477" s="852" t="e">
        <f t="shared" si="163"/>
        <v>#DIV/0!</v>
      </c>
      <c r="E477" s="855" t="e">
        <f t="shared" si="167"/>
        <v>#DIV/0!</v>
      </c>
      <c r="F477" s="852" t="e">
        <f t="shared" si="165"/>
        <v>#DIV/0!</v>
      </c>
      <c r="G477" s="855" t="e">
        <f t="shared" si="168"/>
        <v>#DIV/0!</v>
      </c>
      <c r="H477" s="852" t="e">
        <f>C14+F31</f>
        <v>#DIV/0!</v>
      </c>
      <c r="I477" s="855" t="e">
        <f t="shared" si="169"/>
        <v>#DIV/0!</v>
      </c>
    </row>
    <row r="478" spans="1:13" x14ac:dyDescent="0.2">
      <c r="A478" s="260"/>
      <c r="B478" s="528"/>
      <c r="C478" s="1253" t="str">
        <v>AZT+3TC+LPV/r</v>
      </c>
      <c r="D478" s="852" t="e">
        <f t="shared" si="163"/>
        <v>#DIV/0!</v>
      </c>
      <c r="E478" s="855" t="e">
        <f t="shared" si="167"/>
        <v>#DIV/0!</v>
      </c>
      <c r="F478" s="852" t="e">
        <f t="shared" si="165"/>
        <v>#DIV/0!</v>
      </c>
      <c r="G478" s="855" t="e">
        <f t="shared" si="168"/>
        <v>#DIV/0!</v>
      </c>
      <c r="H478" s="852" t="e">
        <f>C15+F32</f>
        <v>#DIV/0!</v>
      </c>
      <c r="I478" s="855" t="e">
        <f t="shared" si="169"/>
        <v>#DIV/0!</v>
      </c>
    </row>
    <row r="479" spans="1:13" x14ac:dyDescent="0.2">
      <c r="A479" s="260"/>
      <c r="B479" s="528" t="str">
        <f>'Data &amp; hypothesis Children'!B32</f>
        <v>2èmes lignes</v>
      </c>
      <c r="C479" s="1948" t="str">
        <v>ABC+3TC+EFV</v>
      </c>
      <c r="D479" s="853" t="e">
        <f>C16+E53</f>
        <v>#DIV/0!</v>
      </c>
      <c r="E479" s="855" t="e">
        <f t="shared" si="167"/>
        <v>#DIV/0!</v>
      </c>
      <c r="F479" s="853" t="e">
        <f>C16+E53</f>
        <v>#DIV/0!</v>
      </c>
      <c r="G479" s="855" t="e">
        <f t="shared" si="168"/>
        <v>#DIV/0!</v>
      </c>
      <c r="H479" s="853" t="e">
        <f>C16+E53</f>
        <v>#DIV/0!</v>
      </c>
      <c r="I479" s="855" t="e">
        <f t="shared" si="169"/>
        <v>#DIV/0!</v>
      </c>
    </row>
    <row r="480" spans="1:13" x14ac:dyDescent="0.2">
      <c r="A480" s="260"/>
      <c r="B480" s="528"/>
      <c r="C480" s="156" t="str">
        <v>TDF+3TC+LPV/r</v>
      </c>
      <c r="D480" s="853" t="e">
        <f t="shared" ref="D480:D482" si="170">C17+E54</f>
        <v>#DIV/0!</v>
      </c>
      <c r="E480" s="855" t="e">
        <f t="shared" ref="E480:E482" si="171">D480/D$483</f>
        <v>#DIV/0!</v>
      </c>
      <c r="F480" s="853" t="e">
        <f t="shared" ref="F480:F482" si="172">C17+E54</f>
        <v>#DIV/0!</v>
      </c>
      <c r="G480" s="855" t="e">
        <f t="shared" ref="G480:G482" si="173">F480/F$483</f>
        <v>#DIV/0!</v>
      </c>
      <c r="H480" s="853" t="e">
        <f t="shared" ref="H480:H482" si="174">C17+E54</f>
        <v>#DIV/0!</v>
      </c>
      <c r="I480" s="855" t="e">
        <f t="shared" ref="I480:I482" si="175">H480/H$483</f>
        <v>#DIV/0!</v>
      </c>
    </row>
    <row r="481" spans="1:13" x14ac:dyDescent="0.2">
      <c r="A481" s="260"/>
      <c r="B481" s="528"/>
      <c r="C481" s="156" t="str">
        <v>AZT+3TC+EFV</v>
      </c>
      <c r="D481" s="853" t="e">
        <f t="shared" si="170"/>
        <v>#DIV/0!</v>
      </c>
      <c r="E481" s="855" t="e">
        <f t="shared" si="171"/>
        <v>#DIV/0!</v>
      </c>
      <c r="F481" s="853" t="e">
        <f t="shared" si="172"/>
        <v>#DIV/0!</v>
      </c>
      <c r="G481" s="855" t="e">
        <f t="shared" si="173"/>
        <v>#DIV/0!</v>
      </c>
      <c r="H481" s="853" t="e">
        <f t="shared" si="174"/>
        <v>#DIV/0!</v>
      </c>
      <c r="I481" s="855" t="e">
        <f t="shared" si="175"/>
        <v>#DIV/0!</v>
      </c>
    </row>
    <row r="482" spans="1:13" ht="13.5" thickBot="1" x14ac:dyDescent="0.25">
      <c r="A482" s="260"/>
      <c r="B482" s="528"/>
      <c r="C482" s="157">
        <v>0</v>
      </c>
      <c r="D482" s="853" t="e">
        <f t="shared" si="170"/>
        <v>#DIV/0!</v>
      </c>
      <c r="E482" s="855" t="e">
        <f t="shared" si="171"/>
        <v>#DIV/0!</v>
      </c>
      <c r="F482" s="853" t="e">
        <f t="shared" si="172"/>
        <v>#DIV/0!</v>
      </c>
      <c r="G482" s="855" t="e">
        <f t="shared" si="173"/>
        <v>#DIV/0!</v>
      </c>
      <c r="H482" s="853" t="e">
        <f t="shared" si="174"/>
        <v>#DIV/0!</v>
      </c>
      <c r="I482" s="855" t="e">
        <f t="shared" si="175"/>
        <v>#DIV/0!</v>
      </c>
    </row>
    <row r="483" spans="1:13" ht="14.25" thickTop="1" thickBot="1" x14ac:dyDescent="0.25">
      <c r="A483" s="260"/>
      <c r="C483" s="1400"/>
      <c r="D483" s="1401" t="e">
        <f>SUM(D473:D482)</f>
        <v>#DIV/0!</v>
      </c>
      <c r="E483" s="1399"/>
      <c r="F483" s="1401" t="e">
        <f>SUM(F473:F482)</f>
        <v>#DIV/0!</v>
      </c>
      <c r="G483" s="1399"/>
      <c r="H483" s="1401" t="e">
        <f>SUM(H473:H482)</f>
        <v>#DIV/0!</v>
      </c>
      <c r="I483" s="1399"/>
    </row>
    <row r="485" spans="1:13" x14ac:dyDescent="0.2">
      <c r="B485" s="688" t="str">
        <f>'TRAD-Children YEAR(1)'!B142</f>
        <v>Remarque</v>
      </c>
      <c r="C485" s="291"/>
      <c r="D485" s="291"/>
      <c r="E485" s="291"/>
      <c r="F485" s="291"/>
      <c r="G485" s="291"/>
      <c r="H485" s="291"/>
      <c r="I485" s="291"/>
      <c r="J485" s="291"/>
      <c r="K485" s="291"/>
      <c r="L485" s="291"/>
      <c r="M485" s="291"/>
    </row>
    <row r="486" spans="1:13" x14ac:dyDescent="0.2">
      <c r="C486" s="260" t="str">
        <f>'TRAD-Children YEAR(1)'!B143</f>
        <v>Pour plus de précision, une défalcation peut être prise en compte.</v>
      </c>
    </row>
    <row r="487" spans="1:13" ht="25.5" customHeight="1" x14ac:dyDescent="0.2">
      <c r="C487" s="2145" t="str">
        <f>'TRAD-Children YEAR(1)'!B144</f>
        <v>Les données défalquées sur le schéma majoritaire en 1ère ligne ont été prises en compte pour les années suivantes. (le schéma majoritaire est généralement le moins chers, cette option a été retenue dans le cadre d'une estimation budgétaire)</v>
      </c>
      <c r="D487" s="2145"/>
      <c r="E487" s="2145"/>
      <c r="F487" s="2145"/>
      <c r="G487" s="2145"/>
      <c r="H487" s="2145"/>
      <c r="I487" s="2145"/>
      <c r="J487" s="2145"/>
      <c r="K487" s="2145"/>
      <c r="L487" s="2145"/>
      <c r="M487" s="2145"/>
    </row>
    <row r="490" spans="1:13" s="1279" customFormat="1" x14ac:dyDescent="0.2">
      <c r="A490" s="1282"/>
    </row>
    <row r="491" spans="1:13" s="1281" customFormat="1" x14ac:dyDescent="0.2">
      <c r="A491" s="1280"/>
    </row>
  </sheetData>
  <sheetProtection password="D0E7" sheet="1" objects="1" scenarios="1" selectLockedCells="1"/>
  <mergeCells count="54">
    <mergeCell ref="F35:G35"/>
    <mergeCell ref="C487:M487"/>
    <mergeCell ref="A2:L2"/>
    <mergeCell ref="A22:L22"/>
    <mergeCell ref="B24:F24"/>
    <mergeCell ref="G24:K24"/>
    <mergeCell ref="L24:M24"/>
    <mergeCell ref="B46:F46"/>
    <mergeCell ref="G46:K46"/>
    <mergeCell ref="L46:M46"/>
    <mergeCell ref="F52:H52"/>
    <mergeCell ref="A60:L60"/>
    <mergeCell ref="M60:N60"/>
    <mergeCell ref="D101:E101"/>
    <mergeCell ref="B176:H176"/>
    <mergeCell ref="B65:F65"/>
    <mergeCell ref="C67:E67"/>
    <mergeCell ref="F67:I67"/>
    <mergeCell ref="B81:F81"/>
    <mergeCell ref="C83:E83"/>
    <mergeCell ref="F83:I83"/>
    <mergeCell ref="M97:N97"/>
    <mergeCell ref="B99:F99"/>
    <mergeCell ref="G99:K99"/>
    <mergeCell ref="L99:M99"/>
    <mergeCell ref="D102:E102"/>
    <mergeCell ref="F101:G101"/>
    <mergeCell ref="A97:L97"/>
    <mergeCell ref="D103:E103"/>
    <mergeCell ref="F103:F105"/>
    <mergeCell ref="G103:G105"/>
    <mergeCell ref="D104:E104"/>
    <mergeCell ref="D105:E105"/>
    <mergeCell ref="B393:M393"/>
    <mergeCell ref="B126:F126"/>
    <mergeCell ref="B138:F138"/>
    <mergeCell ref="G138:K138"/>
    <mergeCell ref="L138:M138"/>
    <mergeCell ref="B150:H150"/>
    <mergeCell ref="B163:H163"/>
    <mergeCell ref="B189:H189"/>
    <mergeCell ref="D191:G191"/>
    <mergeCell ref="C193:G193"/>
    <mergeCell ref="B357:M357"/>
    <mergeCell ref="E359:H359"/>
    <mergeCell ref="D221:G221"/>
    <mergeCell ref="C223:G223"/>
    <mergeCell ref="E395:H395"/>
    <mergeCell ref="A430:N430"/>
    <mergeCell ref="B432:M432"/>
    <mergeCell ref="B469:M469"/>
    <mergeCell ref="D471:E471"/>
    <mergeCell ref="F471:G471"/>
    <mergeCell ref="H471:I471"/>
  </mergeCells>
  <conditionalFormatting sqref="D338:AH348 D266:AH276 D290:AH300 D314:AH324">
    <cfRule type="cellIs" dxfId="9" priority="22" operator="equal">
      <formula>0</formula>
    </cfRule>
  </conditionalFormatting>
  <pageMargins left="0.78740157499999996" right="0.78740157499999996" top="0.984251969" bottom="0.984251969" header="0.4921259845" footer="0.4921259845"/>
  <pageSetup paperSize="9" orientation="portrait"/>
  <headerFooter alignWithMargins="0"/>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
    <tabColor indexed="61"/>
  </sheetPr>
  <dimension ref="A2:AJ491"/>
  <sheetViews>
    <sheetView showGridLines="0" zoomScale="70" zoomScaleNormal="70" zoomScalePageLayoutView="70" workbookViewId="0">
      <selection activeCell="F473" sqref="F473:F478"/>
    </sheetView>
  </sheetViews>
  <sheetFormatPr baseColWidth="10" defaultColWidth="12" defaultRowHeight="12.75" x14ac:dyDescent="0.2"/>
  <cols>
    <col min="1" max="1" width="15.1640625" style="528" customWidth="1"/>
    <col min="2" max="2" width="20" style="260" customWidth="1"/>
    <col min="3" max="3" width="26.5" style="260" customWidth="1"/>
    <col min="4" max="4" width="13.1640625" style="260" customWidth="1"/>
    <col min="5" max="5" width="17.1640625" style="260" bestFit="1" customWidth="1"/>
    <col min="6" max="6" width="15" style="260" customWidth="1"/>
    <col min="7" max="7" width="14.83203125" style="260" customWidth="1"/>
    <col min="8" max="8" width="12.5" style="260" bestFit="1" customWidth="1"/>
    <col min="9" max="9" width="13.1640625" style="260" customWidth="1"/>
    <col min="10" max="11" width="12" style="260"/>
    <col min="12" max="12" width="13.1640625" style="260" bestFit="1" customWidth="1"/>
    <col min="13" max="16384" width="12" style="260"/>
  </cols>
  <sheetData>
    <row r="2" spans="1:13" s="263" customFormat="1" ht="16.5" thickBot="1" x14ac:dyDescent="0.3">
      <c r="A2" s="2177" t="str">
        <f>'TRAD-Children YEAR(2)'!B5</f>
        <v>Répartition prévue au début de la 4ème année  pour les ENFANTS déjà pris en charge</v>
      </c>
      <c r="B2" s="2177"/>
      <c r="C2" s="2177"/>
      <c r="D2" s="2177"/>
      <c r="E2" s="2177"/>
      <c r="F2" s="2177"/>
      <c r="G2" s="2177"/>
      <c r="H2" s="2177"/>
      <c r="I2" s="2177"/>
      <c r="J2" s="2177"/>
      <c r="K2" s="2177"/>
      <c r="L2" s="2177"/>
      <c r="M2" s="262"/>
    </row>
    <row r="3" spans="1:13" ht="13.5" thickBot="1" x14ac:dyDescent="0.25">
      <c r="A3" s="260"/>
    </row>
    <row r="4" spans="1:13" s="524" customFormat="1" ht="16.5" thickBot="1" x14ac:dyDescent="0.3">
      <c r="B4" s="525" t="str">
        <f>'General Data'!D16</f>
        <v>Année 4</v>
      </c>
      <c r="C4" s="526">
        <f>'General Data'!E16</f>
        <v>0</v>
      </c>
      <c r="D4" s="527"/>
    </row>
    <row r="5" spans="1:13" ht="13.5" thickBot="1" x14ac:dyDescent="0.25"/>
    <row r="6" spans="1:13" s="524" customFormat="1" ht="16.5" thickBot="1" x14ac:dyDescent="0.3">
      <c r="B6" s="898" t="str">
        <f>'TRAD-Children YEAR(1)'!B2</f>
        <v>Période réellement quantifiée :</v>
      </c>
      <c r="C6" s="899"/>
      <c r="D6" s="900" t="str">
        <f>IF('General Data'!G26="NA", "0", 'General Data'!G26)</f>
        <v>0</v>
      </c>
      <c r="E6" s="901" t="s">
        <v>220</v>
      </c>
      <c r="G6" s="524" t="str">
        <f>'TRAD-Children YEAR(1)'!B4</f>
        <v>Facteur multiplicateur</v>
      </c>
      <c r="I6" s="524">
        <f>D6*(D6+1)/2</f>
        <v>0</v>
      </c>
    </row>
    <row r="7" spans="1:13" s="524" customFormat="1" ht="16.5" thickBot="1" x14ac:dyDescent="0.3">
      <c r="B7" s="898" t="str">
        <f>'TRAD-Children YEAR(1)'!B5</f>
        <v>Période quantifiée + tampon</v>
      </c>
      <c r="C7" s="899"/>
      <c r="D7" s="900">
        <f>D6+'General Data'!$E$30</f>
        <v>3</v>
      </c>
      <c r="E7" s="901" t="s">
        <v>220</v>
      </c>
      <c r="G7" s="524" t="str">
        <f>'TRAD-Children YEAR(1)'!B4</f>
        <v>Facteur multiplicateur</v>
      </c>
      <c r="I7" s="524">
        <f>D7*(D7+1)/2</f>
        <v>6</v>
      </c>
    </row>
    <row r="8" spans="1:13" ht="13.5" thickBot="1" x14ac:dyDescent="0.25"/>
    <row r="9" spans="1:13" ht="26.25" thickBot="1" x14ac:dyDescent="0.25">
      <c r="A9" s="260"/>
      <c r="B9" s="529" t="str">
        <f>'TRAD-Children YEAR(1)'!B6</f>
        <v>Schéma thérapeutique</v>
      </c>
      <c r="C9" s="529" t="str">
        <f>'TRAD-Children YEAR(2)'!B42</f>
        <v>Nb de patients prévus au début de la 4ème année</v>
      </c>
      <c r="D9" s="529" t="s">
        <v>278</v>
      </c>
    </row>
    <row r="10" spans="1:13" x14ac:dyDescent="0.2">
      <c r="A10" s="260"/>
      <c r="B10" s="155" t="str">
        <f t="array" ref="B10:B19">'Data &amp; hypothesis Children'!$C$26:$C$35</f>
        <v>D4T+3TC+NVP</v>
      </c>
      <c r="C10" s="2062" t="e">
        <f>'Children YEAR3'!H473+'Data &amp; hypothesis Children'!D$12*'Children YEAR4'!D10</f>
        <v>#DIV/0!</v>
      </c>
      <c r="D10" s="530" t="e">
        <f>'Children YEAR3'!G473</f>
        <v>#DIV/0!</v>
      </c>
      <c r="F10" s="266" t="str">
        <f>'TRAD-Children YEAR(1)'!B10</f>
        <v>Total Premières lignes</v>
      </c>
      <c r="G10" s="531"/>
      <c r="H10" s="532" t="e">
        <f>SUM(C10:C15)</f>
        <v>#DIV/0!</v>
      </c>
    </row>
    <row r="11" spans="1:13" ht="13.5" thickBot="1" x14ac:dyDescent="0.25">
      <c r="A11" s="260"/>
      <c r="B11" s="156" t="str">
        <v>AZT+3TC+NVP</v>
      </c>
      <c r="C11" s="2063" t="e">
        <f>'Children YEAR3'!H474+'Data &amp; hypothesis Children'!D$12*'Children YEAR4'!D11</f>
        <v>#DIV/0!</v>
      </c>
      <c r="D11" s="534" t="e">
        <f>'Children YEAR3'!G474</f>
        <v>#DIV/0!</v>
      </c>
      <c r="F11" s="535"/>
      <c r="G11" s="536" t="s">
        <v>51</v>
      </c>
      <c r="H11" s="537" t="e">
        <f>H10/C20</f>
        <v>#DIV/0!</v>
      </c>
    </row>
    <row r="12" spans="1:13" x14ac:dyDescent="0.2">
      <c r="A12" s="260"/>
      <c r="B12" s="156" t="str">
        <v>AZT+3TC+EFV</v>
      </c>
      <c r="C12" s="2063" t="e">
        <f>'Children YEAR3'!H475+'Data &amp; hypothesis Children'!D$12*'Children YEAR4'!D12</f>
        <v>#DIV/0!</v>
      </c>
      <c r="D12" s="534" t="e">
        <f>'Children YEAR3'!G475</f>
        <v>#DIV/0!</v>
      </c>
      <c r="F12" s="266" t="str">
        <f>'TRAD-Children YEAR(1)'!B11</f>
        <v>Total Deuxièmes lignes</v>
      </c>
      <c r="G12" s="531"/>
      <c r="H12" s="532" t="e">
        <f>C16+C19</f>
        <v>#DIV/0!</v>
      </c>
    </row>
    <row r="13" spans="1:13" ht="13.5" thickBot="1" x14ac:dyDescent="0.25">
      <c r="A13" s="260"/>
      <c r="B13" s="156" t="str">
        <v>LPV/r+3TC+ABC</v>
      </c>
      <c r="C13" s="2063" t="e">
        <f>'Children YEAR3'!H476+'Data &amp; hypothesis Children'!D$12*'Children YEAR4'!D13</f>
        <v>#DIV/0!</v>
      </c>
      <c r="D13" s="534" t="e">
        <f>'Children YEAR3'!G476</f>
        <v>#DIV/0!</v>
      </c>
      <c r="F13" s="535"/>
      <c r="G13" s="536" t="s">
        <v>51</v>
      </c>
      <c r="H13" s="537" t="e">
        <f>H12/C20</f>
        <v>#DIV/0!</v>
      </c>
    </row>
    <row r="14" spans="1:13" x14ac:dyDescent="0.2">
      <c r="A14" s="260"/>
      <c r="B14" s="156" t="str">
        <v>ABC+3TC+NVP</v>
      </c>
      <c r="C14" s="2063" t="e">
        <f>'Children YEAR3'!H477+'Data &amp; hypothesis Children'!D$12*'Children YEAR4'!D14</f>
        <v>#DIV/0!</v>
      </c>
      <c r="D14" s="534" t="e">
        <f>'Children YEAR3'!G477</f>
        <v>#DIV/0!</v>
      </c>
      <c r="F14" s="497"/>
      <c r="G14" s="522"/>
      <c r="H14" s="1270"/>
    </row>
    <row r="15" spans="1:13" x14ac:dyDescent="0.2">
      <c r="A15" s="260"/>
      <c r="B15" s="1253" t="str">
        <v>AZT+3TC+LPV/r</v>
      </c>
      <c r="C15" s="2064" t="e">
        <f>'Children YEAR3'!H478+'Data &amp; hypothesis Children'!D$12*'Children YEAR4'!D15</f>
        <v>#DIV/0!</v>
      </c>
      <c r="D15" s="1947" t="e">
        <f>'Children YEAR3'!G478</f>
        <v>#DIV/0!</v>
      </c>
    </row>
    <row r="16" spans="1:13" x14ac:dyDescent="0.2">
      <c r="A16" s="260"/>
      <c r="B16" s="1948" t="str">
        <v>ABC+3TC+EFV</v>
      </c>
      <c r="C16" s="2065" t="e">
        <f>'Children YEAR3'!H479+'Data &amp; hypothesis Children'!D$12*'Children YEAR4'!D16</f>
        <v>#DIV/0!</v>
      </c>
      <c r="D16" s="1949" t="e">
        <f>'Children YEAR3'!G479</f>
        <v>#DIV/0!</v>
      </c>
    </row>
    <row r="17" spans="1:16" x14ac:dyDescent="0.2">
      <c r="A17" s="260"/>
      <c r="B17" s="156" t="str">
        <v>TDF+3TC+LPV/r</v>
      </c>
      <c r="C17" s="2063" t="e">
        <f>'Children YEAR3'!H480+'Data &amp; hypothesis Children'!D$12*'Children YEAR4'!D17</f>
        <v>#DIV/0!</v>
      </c>
      <c r="D17" s="534" t="e">
        <f>'Children YEAR3'!G480</f>
        <v>#DIV/0!</v>
      </c>
    </row>
    <row r="18" spans="1:16" x14ac:dyDescent="0.2">
      <c r="A18" s="260"/>
      <c r="B18" s="156" t="str">
        <v>AZT+3TC+EFV</v>
      </c>
      <c r="C18" s="2063" t="e">
        <f>'Children YEAR3'!H481+'Data &amp; hypothesis Children'!D$12*'Children YEAR4'!D18</f>
        <v>#DIV/0!</v>
      </c>
      <c r="D18" s="534" t="e">
        <f>'Children YEAR3'!G481</f>
        <v>#DIV/0!</v>
      </c>
    </row>
    <row r="19" spans="1:16" ht="13.5" thickBot="1" x14ac:dyDescent="0.25">
      <c r="A19" s="260"/>
      <c r="B19" s="157">
        <v>0</v>
      </c>
      <c r="C19" s="2066" t="e">
        <f>'Children YEAR3'!H482+'Data &amp; hypothesis Children'!D$12*'Children YEAR4'!D19</f>
        <v>#DIV/0!</v>
      </c>
      <c r="D19" s="539" t="e">
        <f>'Children YEAR3'!G482</f>
        <v>#DIV/0!</v>
      </c>
    </row>
    <row r="20" spans="1:16" ht="14.25" thickTop="1" thickBot="1" x14ac:dyDescent="0.25">
      <c r="B20" s="540" t="s">
        <v>6</v>
      </c>
      <c r="C20" s="541" t="e">
        <f>SUM(C10:C19)</f>
        <v>#DIV/0!</v>
      </c>
      <c r="D20" s="542" t="e">
        <f>SUM(D10:D19)</f>
        <v>#DIV/0!</v>
      </c>
    </row>
    <row r="21" spans="1:16" x14ac:dyDescent="0.2">
      <c r="A21" s="260"/>
    </row>
    <row r="22" spans="1:16" s="263" customFormat="1" ht="16.5" thickBot="1" x14ac:dyDescent="0.3">
      <c r="A22" s="2177" t="str">
        <f>'TRAD-Children YEAR(2)'!B10</f>
        <v>Evolution de la file active sous traitement ARV à prévoir pour la 4ème année</v>
      </c>
      <c r="B22" s="2177"/>
      <c r="C22" s="2177"/>
      <c r="D22" s="2177"/>
      <c r="E22" s="2177"/>
      <c r="F22" s="2177"/>
      <c r="G22" s="2177"/>
      <c r="H22" s="2177"/>
      <c r="I22" s="2177"/>
      <c r="J22" s="2177"/>
      <c r="K22" s="2177"/>
      <c r="L22" s="2177"/>
      <c r="M22" s="262"/>
      <c r="N22" s="262"/>
      <c r="O22" s="262"/>
      <c r="P22" s="262"/>
    </row>
    <row r="23" spans="1:16" x14ac:dyDescent="0.2">
      <c r="A23" s="260"/>
    </row>
    <row r="24" spans="1:16" ht="15" x14ac:dyDescent="0.2">
      <c r="A24" s="260"/>
      <c r="B24" s="2143" t="str">
        <f>'TRAD-Children YEAR(1)'!B14</f>
        <v>Répartition des Initiations</v>
      </c>
      <c r="C24" s="2143"/>
      <c r="D24" s="2143"/>
      <c r="E24" s="2143"/>
      <c r="F24" s="2143"/>
      <c r="G24" s="2143"/>
      <c r="H24" s="2143"/>
      <c r="I24" s="2143"/>
      <c r="J24" s="2143"/>
      <c r="K24" s="2143"/>
      <c r="L24" s="2143"/>
      <c r="M24" s="2143"/>
      <c r="N24" s="497"/>
      <c r="O24" s="497"/>
      <c r="P24" s="497"/>
    </row>
    <row r="25" spans="1:16" ht="13.5" thickBot="1" x14ac:dyDescent="0.25"/>
    <row r="26" spans="1:16" s="545" customFormat="1" ht="64.5" thickBot="1" x14ac:dyDescent="0.25">
      <c r="A26" s="543"/>
      <c r="B26" s="544" t="str">
        <f>'TRAD-Children YEAR(1)'!B6</f>
        <v>Schéma thérapeutique</v>
      </c>
      <c r="C26" s="544" t="str">
        <f>'TRAD-Children YEAR(1)'!B15</f>
        <v>critères / schémas</v>
      </c>
      <c r="D26" s="544" t="s">
        <v>51</v>
      </c>
      <c r="E26" s="544" t="str">
        <f>'TRAD-Children YEAR(1)'!B16</f>
        <v>Nb de patients mensuels</v>
      </c>
      <c r="F26" s="894" t="str">
        <f>'TRAD-Children YEAR(1)'!B17</f>
        <v>Nb de nvx patients total sur la période</v>
      </c>
      <c r="G26" s="544" t="str">
        <f>'TRAD-Children YEAR(1)'!B18</f>
        <v>Nb de nvx patients total sur la période AVEC la marge de sécu</v>
      </c>
    </row>
    <row r="27" spans="1:16" x14ac:dyDescent="0.2">
      <c r="B27" s="155" t="str">
        <f t="array" ref="B27:B32">'Data &amp; hypothesis Children'!$C$26:$C$31</f>
        <v>D4T+3TC+NVP</v>
      </c>
      <c r="C27" s="546"/>
      <c r="D27" s="547">
        <f>'Data &amp; hypothesis Children'!G55</f>
        <v>0</v>
      </c>
      <c r="E27" s="548">
        <f t="shared" ref="E27:E32" si="0">D27*E$33</f>
        <v>0</v>
      </c>
      <c r="F27" s="548">
        <f t="shared" ref="F27:F32" si="1">E27*$D$6</f>
        <v>0</v>
      </c>
      <c r="G27" s="548">
        <f>E27*$D$7</f>
        <v>0</v>
      </c>
    </row>
    <row r="28" spans="1:16" x14ac:dyDescent="0.2">
      <c r="B28" s="156" t="str">
        <v>AZT+3TC+NVP</v>
      </c>
      <c r="C28" s="323"/>
      <c r="D28" s="550">
        <f>'Data &amp; hypothesis Children'!G56</f>
        <v>0</v>
      </c>
      <c r="E28" s="324">
        <f t="shared" si="0"/>
        <v>0</v>
      </c>
      <c r="F28" s="324">
        <f t="shared" si="1"/>
        <v>0</v>
      </c>
      <c r="G28" s="324">
        <f t="shared" ref="G28:G32" si="2">E28*$D$7</f>
        <v>0</v>
      </c>
    </row>
    <row r="29" spans="1:16" x14ac:dyDescent="0.2">
      <c r="B29" s="156" t="str">
        <v>AZT+3TC+EFV</v>
      </c>
      <c r="C29" s="323"/>
      <c r="D29" s="550">
        <f>'Data &amp; hypothesis Children'!G57</f>
        <v>0</v>
      </c>
      <c r="E29" s="324">
        <f t="shared" si="0"/>
        <v>0</v>
      </c>
      <c r="F29" s="324">
        <f t="shared" si="1"/>
        <v>0</v>
      </c>
      <c r="G29" s="324">
        <f t="shared" si="2"/>
        <v>0</v>
      </c>
    </row>
    <row r="30" spans="1:16" x14ac:dyDescent="0.2">
      <c r="B30" s="156" t="str">
        <v>LPV/r+3TC+ABC</v>
      </c>
      <c r="C30" s="323"/>
      <c r="D30" s="550">
        <f>'Data &amp; hypothesis Children'!G58</f>
        <v>0</v>
      </c>
      <c r="E30" s="324">
        <f t="shared" si="0"/>
        <v>0</v>
      </c>
      <c r="F30" s="324">
        <f t="shared" si="1"/>
        <v>0</v>
      </c>
      <c r="G30" s="324">
        <f t="shared" si="2"/>
        <v>0</v>
      </c>
    </row>
    <row r="31" spans="1:16" x14ac:dyDescent="0.2">
      <c r="B31" s="156" t="str">
        <v>ABC+3TC+NVP</v>
      </c>
      <c r="C31" s="323"/>
      <c r="D31" s="550">
        <f>'Data &amp; hypothesis Children'!G59</f>
        <v>0</v>
      </c>
      <c r="E31" s="324">
        <f t="shared" si="0"/>
        <v>0</v>
      </c>
      <c r="F31" s="324">
        <f t="shared" si="1"/>
        <v>0</v>
      </c>
      <c r="G31" s="324">
        <f t="shared" si="2"/>
        <v>0</v>
      </c>
    </row>
    <row r="32" spans="1:16" ht="13.5" thickBot="1" x14ac:dyDescent="0.25">
      <c r="B32" s="157" t="str">
        <v>AZT+3TC+LPV/r</v>
      </c>
      <c r="C32" s="538" t="s">
        <v>199</v>
      </c>
      <c r="D32" s="1271">
        <f>'Data &amp; hypothesis Children'!G60</f>
        <v>0</v>
      </c>
      <c r="E32" s="589">
        <f t="shared" si="0"/>
        <v>0</v>
      </c>
      <c r="F32" s="589">
        <f t="shared" si="1"/>
        <v>0</v>
      </c>
      <c r="G32" s="589">
        <f t="shared" si="2"/>
        <v>0</v>
      </c>
    </row>
    <row r="33" spans="1:17" ht="13.5" thickTop="1" x14ac:dyDescent="0.2">
      <c r="B33" s="260" t="s">
        <v>6</v>
      </c>
      <c r="C33" s="497"/>
      <c r="D33" s="347"/>
      <c r="E33" s="553">
        <f>'Data &amp; hypothesis Children'!E12</f>
        <v>0</v>
      </c>
      <c r="F33" s="347">
        <f>SUM(F27:F32)</f>
        <v>0</v>
      </c>
      <c r="G33" s="347">
        <f>SUM(G27:G32)</f>
        <v>0</v>
      </c>
    </row>
    <row r="34" spans="1:17" ht="13.5" thickBot="1" x14ac:dyDescent="0.25"/>
    <row r="35" spans="1:17" ht="64.5" thickBot="1" x14ac:dyDescent="0.25">
      <c r="A35" s="260"/>
      <c r="B35" s="554" t="str">
        <f>'TRAD-Children YEAR(1)'!B6</f>
        <v>Schéma thérapeutique</v>
      </c>
      <c r="C35" s="554"/>
      <c r="D35" s="544" t="str">
        <f>'TRAD-Children YEAR(1)'!B16</f>
        <v>Nb de patients mensuels</v>
      </c>
      <c r="E35" s="544" t="str">
        <f>'TRAD-Children YEAR(1)'!B19</f>
        <v>Total 
patients-mois</v>
      </c>
      <c r="F35" s="2189" t="str">
        <f>'TRAD-Children YEAR(1)'!B20</f>
        <v>Médicaments nécessaires</v>
      </c>
      <c r="G35" s="2189"/>
      <c r="H35" s="544" t="str">
        <f>'TRAD-Children YEAR(1)'!B21</f>
        <v>Total patients-mois AVEC Marge de sécurité</v>
      </c>
      <c r="I35" s="544" t="str">
        <f>'TRAD-Children YEAR(1)'!B22</f>
        <v>Nb de patients-mois Marge de sécurité</v>
      </c>
    </row>
    <row r="36" spans="1:17" x14ac:dyDescent="0.2">
      <c r="A36" s="260"/>
      <c r="B36" s="155" t="str">
        <f t="array" ref="B36:B41">'Data &amp; hypothesis Children'!$C$26:$C$31</f>
        <v>D4T+3TC+NVP</v>
      </c>
      <c r="C36" s="546"/>
      <c r="D36" s="548">
        <f t="shared" ref="D36:D41" si="3">$E27</f>
        <v>0</v>
      </c>
      <c r="E36" s="555">
        <f t="shared" ref="E36:E41" si="4">$I$6*D36</f>
        <v>0</v>
      </c>
      <c r="F36" s="546" t="s">
        <v>59</v>
      </c>
      <c r="G36" s="546"/>
      <c r="H36" s="555">
        <f t="shared" ref="H36:H41" si="5">D36*$I$7</f>
        <v>0</v>
      </c>
      <c r="I36" s="555">
        <f t="shared" ref="I36:I41" si="6">H36-E36</f>
        <v>0</v>
      </c>
    </row>
    <row r="37" spans="1:17" x14ac:dyDescent="0.2">
      <c r="A37" s="260"/>
      <c r="B37" s="156" t="str">
        <v>AZT+3TC+NVP</v>
      </c>
      <c r="C37" s="323"/>
      <c r="D37" s="324">
        <f t="shared" si="3"/>
        <v>0</v>
      </c>
      <c r="E37" s="1272">
        <f t="shared" si="4"/>
        <v>0</v>
      </c>
      <c r="F37" s="323" t="s">
        <v>57</v>
      </c>
      <c r="G37" s="323"/>
      <c r="H37" s="1272">
        <f t="shared" si="5"/>
        <v>0</v>
      </c>
      <c r="I37" s="1272">
        <f t="shared" si="6"/>
        <v>0</v>
      </c>
    </row>
    <row r="38" spans="1:17" x14ac:dyDescent="0.2">
      <c r="A38" s="260"/>
      <c r="B38" s="156" t="str">
        <v>AZT+3TC+EFV</v>
      </c>
      <c r="C38" s="323"/>
      <c r="D38" s="324">
        <f t="shared" si="3"/>
        <v>0</v>
      </c>
      <c r="E38" s="1272">
        <f t="shared" si="4"/>
        <v>0</v>
      </c>
      <c r="F38" s="323" t="s">
        <v>58</v>
      </c>
      <c r="G38" s="323" t="s">
        <v>17</v>
      </c>
      <c r="H38" s="1272">
        <f t="shared" si="5"/>
        <v>0</v>
      </c>
      <c r="I38" s="1272">
        <f t="shared" si="6"/>
        <v>0</v>
      </c>
    </row>
    <row r="39" spans="1:17" x14ac:dyDescent="0.2">
      <c r="A39" s="260"/>
      <c r="B39" s="156" t="str">
        <v>LPV/r+3TC+ABC</v>
      </c>
      <c r="C39" s="323" t="s">
        <v>53</v>
      </c>
      <c r="D39" s="324">
        <f t="shared" si="3"/>
        <v>0</v>
      </c>
      <c r="E39" s="1272">
        <f t="shared" si="4"/>
        <v>0</v>
      </c>
      <c r="F39" s="323" t="s">
        <v>58</v>
      </c>
      <c r="G39" s="323" t="s">
        <v>25</v>
      </c>
      <c r="H39" s="1272">
        <f t="shared" si="5"/>
        <v>0</v>
      </c>
      <c r="I39" s="1272">
        <f t="shared" si="6"/>
        <v>0</v>
      </c>
    </row>
    <row r="40" spans="1:17" x14ac:dyDescent="0.2">
      <c r="A40" s="260"/>
      <c r="B40" s="156" t="str">
        <v>ABC+3TC+NVP</v>
      </c>
      <c r="C40" s="323"/>
      <c r="D40" s="324">
        <f t="shared" si="3"/>
        <v>0</v>
      </c>
      <c r="E40" s="1272">
        <f t="shared" si="4"/>
        <v>0</v>
      </c>
      <c r="F40" s="323"/>
      <c r="G40" s="323"/>
      <c r="H40" s="1272">
        <f t="shared" si="5"/>
        <v>0</v>
      </c>
      <c r="I40" s="1272">
        <f t="shared" si="6"/>
        <v>0</v>
      </c>
    </row>
    <row r="41" spans="1:17" ht="13.5" thickBot="1" x14ac:dyDescent="0.25">
      <c r="A41" s="260"/>
      <c r="B41" s="157" t="str">
        <v>AZT+3TC+LPV/r</v>
      </c>
      <c r="C41" s="538" t="s">
        <v>199</v>
      </c>
      <c r="D41" s="589">
        <f t="shared" si="3"/>
        <v>0</v>
      </c>
      <c r="E41" s="557">
        <f t="shared" si="4"/>
        <v>0</v>
      </c>
      <c r="F41" s="538" t="s">
        <v>58</v>
      </c>
      <c r="G41" s="538" t="s">
        <v>33</v>
      </c>
      <c r="H41" s="557">
        <f t="shared" si="5"/>
        <v>0</v>
      </c>
      <c r="I41" s="557">
        <f t="shared" si="6"/>
        <v>0</v>
      </c>
    </row>
    <row r="42" spans="1:17" ht="14.25" thickTop="1" thickBot="1" x14ac:dyDescent="0.25">
      <c r="A42" s="260"/>
      <c r="B42" s="558" t="s">
        <v>288</v>
      </c>
      <c r="C42" s="559"/>
      <c r="D42" s="560">
        <f>SUM(D36:D41)</f>
        <v>0</v>
      </c>
      <c r="E42" s="561">
        <f>SUM(E36:E41)</f>
        <v>0</v>
      </c>
      <c r="F42" s="559"/>
      <c r="H42" s="562">
        <f>SUM(H36:H41)</f>
        <v>0</v>
      </c>
      <c r="I42" s="562">
        <f>SUM(I36:I41)</f>
        <v>0</v>
      </c>
    </row>
    <row r="43" spans="1:17" s="292" customFormat="1" x14ac:dyDescent="0.2">
      <c r="F43" s="522"/>
      <c r="G43" s="563"/>
    </row>
    <row r="44" spans="1:17" x14ac:dyDescent="0.2">
      <c r="A44" s="260"/>
      <c r="Q44" s="292"/>
    </row>
    <row r="45" spans="1:17" x14ac:dyDescent="0.2">
      <c r="A45" s="260"/>
      <c r="Q45" s="292"/>
    </row>
    <row r="46" spans="1:17" ht="15" x14ac:dyDescent="0.2">
      <c r="A46" s="260"/>
      <c r="B46" s="2143" t="str">
        <f>'TRAD-Children YEAR(1)'!B26</f>
        <v>Répartition des passages en 2ème ligne</v>
      </c>
      <c r="C46" s="2143"/>
      <c r="D46" s="2143"/>
      <c r="E46" s="2143"/>
      <c r="F46" s="2143"/>
      <c r="G46" s="2143"/>
      <c r="H46" s="2143"/>
      <c r="I46" s="2143"/>
      <c r="J46" s="2143"/>
      <c r="K46" s="2143"/>
      <c r="L46" s="2143"/>
      <c r="M46" s="2143"/>
      <c r="Q46" s="292"/>
    </row>
    <row r="47" spans="1:17" x14ac:dyDescent="0.2">
      <c r="A47" s="260"/>
      <c r="Q47" s="292"/>
    </row>
    <row r="48" spans="1:17" x14ac:dyDescent="0.2">
      <c r="A48" s="260"/>
      <c r="B48" s="528" t="str">
        <f>'TRAD-Children YEAR(1)'!B28</f>
        <v>Taux de passage en 2ème ligne</v>
      </c>
      <c r="C48" s="528"/>
      <c r="D48" s="564">
        <f>'Data &amp; hypothesis Children'!D70</f>
        <v>0</v>
      </c>
      <c r="E48" s="528"/>
      <c r="F48" s="528"/>
      <c r="G48" s="565" t="str">
        <f>'TRAD-Children YEAR(1)'!B29</f>
        <v>des patients à la fin de l'année, soit :</v>
      </c>
      <c r="H48" s="566" t="e">
        <f>ROUNDUP(D48*(C20+F33), 0)</f>
        <v>#DIV/0!</v>
      </c>
      <c r="I48" s="528" t="str">
        <f>'TRAD-Children YEAR(1)'!B32</f>
        <v>patients au total à la fin de l'année</v>
      </c>
    </row>
    <row r="49" spans="1:17" s="523" customFormat="1" ht="13.5" thickBot="1" x14ac:dyDescent="0.25">
      <c r="E49" s="567"/>
      <c r="G49" s="565" t="str">
        <f>'TRAD-Children YEAR(1)'!B30</f>
        <v>Actuellement en 2ème ligne :</v>
      </c>
      <c r="H49" s="568" t="e">
        <f>H12</f>
        <v>#DIV/0!</v>
      </c>
    </row>
    <row r="50" spans="1:17" ht="13.5" thickBot="1" x14ac:dyDescent="0.25">
      <c r="A50" s="260"/>
      <c r="C50" s="528"/>
      <c r="D50" s="569"/>
      <c r="E50" s="570"/>
      <c r="F50" s="571"/>
      <c r="G50" s="572" t="str">
        <f>'TRAD-Children YEAR(1)'!B31</f>
        <v>Nb de patients ayant switché dans l'année :</v>
      </c>
      <c r="H50" s="573" t="e">
        <f>IF(H48-H12&gt;0, H48-H12, 0)</f>
        <v>#DIV/0!</v>
      </c>
      <c r="J50" s="574" t="str">
        <f>'TRAD-Children YEAR(1)'!B33</f>
        <v>Proportion mensuelle :</v>
      </c>
      <c r="K50" s="575"/>
      <c r="L50" s="576" t="e">
        <f>H50/$D$6</f>
        <v>#DIV/0!</v>
      </c>
    </row>
    <row r="51" spans="1:17" ht="13.5" thickBot="1" x14ac:dyDescent="0.25">
      <c r="A51" s="260"/>
    </row>
    <row r="52" spans="1:17" ht="64.5" thickBot="1" x14ac:dyDescent="0.25">
      <c r="A52" s="260"/>
      <c r="B52" s="554" t="str">
        <f>'TRAD-Children YEAR(1)'!B34</f>
        <v>2èmes lignes</v>
      </c>
      <c r="C52" s="554" t="s">
        <v>51</v>
      </c>
      <c r="D52" s="544" t="str">
        <f>'TRAD-Children YEAR(1)'!B16</f>
        <v>Nb de patients mensuels</v>
      </c>
      <c r="E52" s="544" t="str">
        <f>'TRAD-Children YEAR(1)'!B35</f>
        <v>Nb de patients annuels / schéma</v>
      </c>
      <c r="F52" s="2189" t="str">
        <f>'TRAD-Children YEAR(1)'!B20</f>
        <v>Médicaments nécessaires</v>
      </c>
      <c r="G52" s="2189"/>
      <c r="H52" s="2189"/>
      <c r="I52" s="544" t="str">
        <f>'TRAD-Children YEAR(1)'!B39</f>
        <v>Nb de patients -mois</v>
      </c>
      <c r="J52" s="544" t="str">
        <f>'TRAD-Children YEAR(1)'!B21</f>
        <v>Total patients-mois AVEC Marge de sécurité</v>
      </c>
      <c r="K52" s="544" t="str">
        <f>'TRAD-Children YEAR(1)'!B23</f>
        <v>Nb de patients-mois Marge de sécurité SEULE</v>
      </c>
    </row>
    <row r="53" spans="1:17" x14ac:dyDescent="0.2">
      <c r="A53" s="260"/>
      <c r="B53" s="1950" t="str">
        <f t="array" ref="B53:B56">'Data &amp; hypothesis Children'!$C$32:$C$35</f>
        <v>ABC+3TC+EFV</v>
      </c>
      <c r="C53" s="1951">
        <f>'Data &amp; hypothesis Children'!F79</f>
        <v>0</v>
      </c>
      <c r="D53" s="1952" t="e">
        <f>$C53*$L$50</f>
        <v>#DIV/0!</v>
      </c>
      <c r="E53" s="1952" t="e">
        <f>D53*$D$6</f>
        <v>#DIV/0!</v>
      </c>
      <c r="F53" s="1952"/>
      <c r="G53" s="1952"/>
      <c r="H53" s="1952"/>
      <c r="I53" s="1953" t="e">
        <f>$I$6*D53</f>
        <v>#DIV/0!</v>
      </c>
      <c r="J53" s="1953" t="e">
        <f>D53*$I$7</f>
        <v>#DIV/0!</v>
      </c>
      <c r="K53" s="1954" t="e">
        <f>J53-I53</f>
        <v>#DIV/0!</v>
      </c>
    </row>
    <row r="54" spans="1:17" x14ac:dyDescent="0.2">
      <c r="A54" s="260"/>
      <c r="B54" s="1955" t="str">
        <v>TDF+3TC+LPV/r</v>
      </c>
      <c r="C54" s="1956">
        <f>'Data &amp; hypothesis Children'!F80</f>
        <v>0</v>
      </c>
      <c r="D54" s="734" t="e">
        <f t="shared" ref="D54:D55" si="7">$C54*$L$50</f>
        <v>#DIV/0!</v>
      </c>
      <c r="E54" s="734" t="e">
        <f t="shared" ref="E54:E55" si="8">D54*$D$6</f>
        <v>#DIV/0!</v>
      </c>
      <c r="F54" s="734"/>
      <c r="G54" s="734"/>
      <c r="H54" s="734"/>
      <c r="I54" s="1272" t="e">
        <f t="shared" ref="I54:I55" si="9">$I$6*D54</f>
        <v>#DIV/0!</v>
      </c>
      <c r="J54" s="1272" t="e">
        <f t="shared" ref="J54:J55" si="10">D54*$I$7</f>
        <v>#DIV/0!</v>
      </c>
      <c r="K54" s="1957" t="e">
        <f t="shared" ref="K54:K55" si="11">J54-I54</f>
        <v>#DIV/0!</v>
      </c>
    </row>
    <row r="55" spans="1:17" x14ac:dyDescent="0.2">
      <c r="A55" s="260"/>
      <c r="B55" s="1955" t="str">
        <v>AZT+3TC+EFV</v>
      </c>
      <c r="C55" s="1956">
        <f>'Data &amp; hypothesis Children'!F81</f>
        <v>0</v>
      </c>
      <c r="D55" s="734" t="e">
        <f t="shared" si="7"/>
        <v>#DIV/0!</v>
      </c>
      <c r="E55" s="734" t="e">
        <f t="shared" si="8"/>
        <v>#DIV/0!</v>
      </c>
      <c r="F55" s="734"/>
      <c r="G55" s="734"/>
      <c r="H55" s="734"/>
      <c r="I55" s="1272" t="e">
        <f t="shared" si="9"/>
        <v>#DIV/0!</v>
      </c>
      <c r="J55" s="1272" t="e">
        <f t="shared" si="10"/>
        <v>#DIV/0!</v>
      </c>
      <c r="K55" s="1957" t="e">
        <f t="shared" si="11"/>
        <v>#DIV/0!</v>
      </c>
    </row>
    <row r="56" spans="1:17" ht="13.5" thickBot="1" x14ac:dyDescent="0.25">
      <c r="A56" s="260"/>
      <c r="B56" s="1958">
        <v>0</v>
      </c>
      <c r="C56" s="1273">
        <f>'Data &amp; hypothesis Children'!F82</f>
        <v>0</v>
      </c>
      <c r="D56" s="1197" t="e">
        <f>$C56*$L$50</f>
        <v>#DIV/0!</v>
      </c>
      <c r="E56" s="1197" t="e">
        <f>D56*$D$6</f>
        <v>#DIV/0!</v>
      </c>
      <c r="F56" s="1197"/>
      <c r="G56" s="1197"/>
      <c r="H56" s="1197"/>
      <c r="I56" s="557" t="e">
        <f>$I$6*D56</f>
        <v>#DIV/0!</v>
      </c>
      <c r="J56" s="557" t="e">
        <f>D56*$I$7</f>
        <v>#DIV/0!</v>
      </c>
      <c r="K56" s="1959" t="e">
        <f>J56-I56</f>
        <v>#DIV/0!</v>
      </c>
    </row>
    <row r="57" spans="1:17" ht="14.25" thickTop="1" thickBot="1" x14ac:dyDescent="0.25">
      <c r="A57" s="260"/>
      <c r="B57" s="528" t="s">
        <v>6</v>
      </c>
      <c r="C57" s="528"/>
      <c r="D57" s="577" t="e">
        <f>SUM(D53:D56)</f>
        <v>#DIV/0!</v>
      </c>
      <c r="E57" s="577" t="e">
        <f>SUM(E53:E56)</f>
        <v>#DIV/0!</v>
      </c>
      <c r="F57" s="577"/>
      <c r="G57" s="577"/>
      <c r="H57" s="577"/>
      <c r="I57" s="562" t="e">
        <f>SUM(I53:I56)</f>
        <v>#DIV/0!</v>
      </c>
      <c r="J57" s="562" t="e">
        <f>SUM(J53:J56)</f>
        <v>#DIV/0!</v>
      </c>
      <c r="K57" s="562" t="e">
        <f>SUM(K53:K56)</f>
        <v>#DIV/0!</v>
      </c>
    </row>
    <row r="58" spans="1:17" x14ac:dyDescent="0.2">
      <c r="A58" s="260"/>
      <c r="I58" s="292"/>
    </row>
    <row r="59" spans="1:17" x14ac:dyDescent="0.2">
      <c r="A59" s="260"/>
      <c r="Q59" s="292"/>
    </row>
    <row r="60" spans="1:17" s="263" customFormat="1" ht="16.5" thickBot="1" x14ac:dyDescent="0.3">
      <c r="A60" s="2177" t="str">
        <f>'TRAD-Children YEAR(1)'!B24</f>
        <v>Répartition de la FA sous traitement en nb de patients - mois / poids / schéma</v>
      </c>
      <c r="B60" s="2177"/>
      <c r="C60" s="2177"/>
      <c r="D60" s="2177"/>
      <c r="E60" s="2177"/>
      <c r="F60" s="2177"/>
      <c r="G60" s="2177"/>
      <c r="H60" s="2177"/>
      <c r="I60" s="2177"/>
      <c r="J60" s="2177"/>
      <c r="K60" s="2177"/>
      <c r="L60" s="2177"/>
      <c r="M60" s="2177"/>
      <c r="N60" s="2177"/>
    </row>
    <row r="61" spans="1:17" ht="13.5" thickBot="1" x14ac:dyDescent="0.25">
      <c r="A61" s="260"/>
      <c r="Q61" s="292"/>
    </row>
    <row r="62" spans="1:17" ht="13.5" thickBot="1" x14ac:dyDescent="0.25">
      <c r="A62" s="260"/>
      <c r="B62" s="554" t="str">
        <f>'TRAD-Children YEAR(1)'!B36</f>
        <v>Poids (kg)</v>
      </c>
      <c r="C62" s="544" t="s">
        <v>206</v>
      </c>
      <c r="D62" s="544" t="s">
        <v>207</v>
      </c>
      <c r="E62" s="544" t="s">
        <v>208</v>
      </c>
      <c r="F62" s="544" t="s">
        <v>112</v>
      </c>
      <c r="Q62" s="292"/>
    </row>
    <row r="63" spans="1:17" ht="13.5" thickBot="1" x14ac:dyDescent="0.25">
      <c r="A63" s="260"/>
      <c r="B63" s="554" t="str">
        <f>'TRAD-Children YEAR(1)'!B37</f>
        <v>Pourcentage</v>
      </c>
      <c r="C63" s="579">
        <f>'Data &amp; hypothesis Children'!C44</f>
        <v>0.25</v>
      </c>
      <c r="D63" s="579">
        <f>'Data &amp; hypothesis Children'!D44</f>
        <v>0.5</v>
      </c>
      <c r="E63" s="580">
        <f>'Data &amp; hypothesis Children'!E44</f>
        <v>0.13</v>
      </c>
      <c r="F63" s="580">
        <f>'Data &amp; hypothesis Children'!F44</f>
        <v>0.12</v>
      </c>
      <c r="Q63" s="292"/>
    </row>
    <row r="64" spans="1:17" x14ac:dyDescent="0.2">
      <c r="A64" s="260"/>
      <c r="Q64" s="292"/>
    </row>
    <row r="65" spans="1:17" ht="15" x14ac:dyDescent="0.2">
      <c r="A65" s="260"/>
      <c r="B65" s="2191" t="str">
        <f>'TRAD-Children YEAR(1)'!B38</f>
        <v>SANS marge de sécurité</v>
      </c>
      <c r="C65" s="2191"/>
      <c r="D65" s="2191"/>
      <c r="E65" s="2191"/>
      <c r="F65" s="2191"/>
      <c r="Q65" s="292"/>
    </row>
    <row r="66" spans="1:17" x14ac:dyDescent="0.2">
      <c r="A66" s="260"/>
      <c r="C66" s="291"/>
      <c r="D66" s="291"/>
      <c r="E66" s="291"/>
      <c r="F66" s="291"/>
      <c r="G66" s="291"/>
      <c r="H66" s="291"/>
      <c r="I66" s="291"/>
      <c r="Q66" s="292"/>
    </row>
    <row r="67" spans="1:17" ht="13.5" thickBot="1" x14ac:dyDescent="0.25">
      <c r="A67" s="260"/>
      <c r="C67" s="2168" t="str">
        <f>'TRAD-Children YEAR(1)'!B39</f>
        <v>Nb de patients -mois</v>
      </c>
      <c r="D67" s="2168"/>
      <c r="E67" s="2190"/>
      <c r="F67" s="2168" t="s">
        <v>212</v>
      </c>
      <c r="G67" s="2168"/>
      <c r="H67" s="2168"/>
      <c r="I67" s="2168"/>
      <c r="Q67" s="292"/>
    </row>
    <row r="68" spans="1:17" ht="39" thickBot="1" x14ac:dyDescent="0.25">
      <c r="A68" s="260"/>
      <c r="B68" s="529" t="s">
        <v>180</v>
      </c>
      <c r="C68" s="529" t="s">
        <v>210</v>
      </c>
      <c r="D68" s="529" t="s">
        <v>289</v>
      </c>
      <c r="E68" s="581" t="s">
        <v>260</v>
      </c>
      <c r="F68" s="544" t="s">
        <v>206</v>
      </c>
      <c r="G68" s="544" t="s">
        <v>207</v>
      </c>
      <c r="H68" s="544" t="s">
        <v>208</v>
      </c>
      <c r="I68" s="544" t="s">
        <v>112</v>
      </c>
      <c r="O68" s="292"/>
    </row>
    <row r="69" spans="1:17" x14ac:dyDescent="0.2">
      <c r="A69" s="260"/>
      <c r="B69" s="155" t="str">
        <f t="array" ref="B69:B78">'Data &amp; hypothesis Children'!$C$26:$C$35</f>
        <v>D4T+3TC+NVP</v>
      </c>
      <c r="C69" s="582" t="e">
        <f t="shared" ref="C69:C74" si="12">$D$6*C10</f>
        <v>#DIV/0!</v>
      </c>
      <c r="D69" s="582">
        <f t="shared" ref="D69:D74" si="13">E36</f>
        <v>0</v>
      </c>
      <c r="E69" s="583" t="e">
        <f>SUM(C69:D69)</f>
        <v>#DIV/0!</v>
      </c>
      <c r="F69" s="584" t="e">
        <f t="shared" ref="F69:I70" si="14">C$63*$E69</f>
        <v>#DIV/0!</v>
      </c>
      <c r="G69" s="584" t="e">
        <f t="shared" si="14"/>
        <v>#DIV/0!</v>
      </c>
      <c r="H69" s="584" t="e">
        <f t="shared" si="14"/>
        <v>#DIV/0!</v>
      </c>
      <c r="I69" s="584" t="e">
        <f t="shared" si="14"/>
        <v>#DIV/0!</v>
      </c>
      <c r="O69" s="292"/>
    </row>
    <row r="70" spans="1:17" x14ac:dyDescent="0.2">
      <c r="A70" s="260"/>
      <c r="B70" s="156" t="str">
        <v>AZT+3TC+NVP</v>
      </c>
      <c r="C70" s="585" t="e">
        <f t="shared" si="12"/>
        <v>#DIV/0!</v>
      </c>
      <c r="D70" s="585">
        <f t="shared" si="13"/>
        <v>0</v>
      </c>
      <c r="E70" s="586" t="e">
        <f t="shared" ref="E70:E78" si="15">SUM(C70:D70)</f>
        <v>#DIV/0!</v>
      </c>
      <c r="F70" s="587" t="e">
        <f t="shared" si="14"/>
        <v>#DIV/0!</v>
      </c>
      <c r="G70" s="587" t="e">
        <f t="shared" si="14"/>
        <v>#DIV/0!</v>
      </c>
      <c r="H70" s="587" t="e">
        <f t="shared" si="14"/>
        <v>#DIV/0!</v>
      </c>
      <c r="I70" s="587" t="e">
        <f t="shared" si="14"/>
        <v>#DIV/0!</v>
      </c>
      <c r="O70" s="292"/>
    </row>
    <row r="71" spans="1:17" x14ac:dyDescent="0.2">
      <c r="A71" s="260"/>
      <c r="B71" s="156" t="str">
        <v>AZT+3TC+EFV</v>
      </c>
      <c r="C71" s="585" t="e">
        <f t="shared" si="12"/>
        <v>#DIV/0!</v>
      </c>
      <c r="D71" s="585">
        <f t="shared" si="13"/>
        <v>0</v>
      </c>
      <c r="E71" s="586" t="e">
        <f t="shared" si="15"/>
        <v>#DIV/0!</v>
      </c>
      <c r="F71" s="588"/>
      <c r="G71" s="587" t="e">
        <f>(C$63+D$63)*$E71</f>
        <v>#DIV/0!</v>
      </c>
      <c r="H71" s="587" t="e">
        <f t="shared" ref="H71:I78" si="16">E$63*$E71</f>
        <v>#DIV/0!</v>
      </c>
      <c r="I71" s="587" t="e">
        <f t="shared" si="16"/>
        <v>#DIV/0!</v>
      </c>
      <c r="O71" s="292"/>
    </row>
    <row r="72" spans="1:17" x14ac:dyDescent="0.2">
      <c r="A72" s="260"/>
      <c r="B72" s="156" t="str">
        <v>LPV/r+3TC+ABC</v>
      </c>
      <c r="C72" s="585" t="e">
        <f t="shared" si="12"/>
        <v>#DIV/0!</v>
      </c>
      <c r="D72" s="585">
        <f t="shared" si="13"/>
        <v>0</v>
      </c>
      <c r="E72" s="586" t="e">
        <f t="shared" si="15"/>
        <v>#DIV/0!</v>
      </c>
      <c r="F72" s="587" t="e">
        <f t="shared" ref="F72:G78" si="17">C$63*$E72</f>
        <v>#DIV/0!</v>
      </c>
      <c r="G72" s="587" t="e">
        <f t="shared" si="17"/>
        <v>#DIV/0!</v>
      </c>
      <c r="H72" s="587" t="e">
        <f t="shared" si="16"/>
        <v>#DIV/0!</v>
      </c>
      <c r="I72" s="587" t="e">
        <f t="shared" si="16"/>
        <v>#DIV/0!</v>
      </c>
      <c r="O72" s="292"/>
    </row>
    <row r="73" spans="1:17" x14ac:dyDescent="0.2">
      <c r="A73" s="260"/>
      <c r="B73" s="156" t="str">
        <v>ABC+3TC+NVP</v>
      </c>
      <c r="C73" s="585" t="e">
        <f t="shared" si="12"/>
        <v>#DIV/0!</v>
      </c>
      <c r="D73" s="585">
        <f t="shared" si="13"/>
        <v>0</v>
      </c>
      <c r="E73" s="586" t="e">
        <f t="shared" si="15"/>
        <v>#DIV/0!</v>
      </c>
      <c r="F73" s="587" t="e">
        <f t="shared" si="17"/>
        <v>#DIV/0!</v>
      </c>
      <c r="G73" s="587" t="e">
        <f t="shared" si="17"/>
        <v>#DIV/0!</v>
      </c>
      <c r="H73" s="587" t="e">
        <f t="shared" si="16"/>
        <v>#DIV/0!</v>
      </c>
      <c r="I73" s="587" t="e">
        <f t="shared" si="16"/>
        <v>#DIV/0!</v>
      </c>
      <c r="O73" s="292"/>
    </row>
    <row r="74" spans="1:17" x14ac:dyDescent="0.2">
      <c r="A74" s="260"/>
      <c r="B74" s="1253" t="str">
        <v>AZT+3TC+LPV/r</v>
      </c>
      <c r="C74" s="772" t="e">
        <f t="shared" si="12"/>
        <v>#DIV/0!</v>
      </c>
      <c r="D74" s="772">
        <f t="shared" si="13"/>
        <v>0</v>
      </c>
      <c r="E74" s="1276" t="e">
        <f t="shared" si="15"/>
        <v>#DIV/0!</v>
      </c>
      <c r="F74" s="777" t="e">
        <f t="shared" si="17"/>
        <v>#DIV/0!</v>
      </c>
      <c r="G74" s="777" t="e">
        <f t="shared" si="17"/>
        <v>#DIV/0!</v>
      </c>
      <c r="H74" s="777" t="e">
        <f t="shared" si="16"/>
        <v>#DIV/0!</v>
      </c>
      <c r="I74" s="777" t="e">
        <f t="shared" si="16"/>
        <v>#DIV/0!</v>
      </c>
      <c r="O74" s="292"/>
    </row>
    <row r="75" spans="1:17" x14ac:dyDescent="0.2">
      <c r="A75" s="260"/>
      <c r="B75" s="1948" t="str">
        <v>ABC+3TC+EFV</v>
      </c>
      <c r="C75" s="771" t="e">
        <f>$D$6*C16</f>
        <v>#DIV/0!</v>
      </c>
      <c r="D75" s="771" t="e">
        <f>I53</f>
        <v>#DIV/0!</v>
      </c>
      <c r="E75" s="1274" t="e">
        <f t="shared" si="15"/>
        <v>#DIV/0!</v>
      </c>
      <c r="F75" s="1275" t="e">
        <f t="shared" si="17"/>
        <v>#DIV/0!</v>
      </c>
      <c r="G75" s="1275" t="e">
        <f t="shared" si="17"/>
        <v>#DIV/0!</v>
      </c>
      <c r="H75" s="1275" t="e">
        <f t="shared" si="16"/>
        <v>#DIV/0!</v>
      </c>
      <c r="I75" s="1275" t="e">
        <f t="shared" si="16"/>
        <v>#DIV/0!</v>
      </c>
      <c r="O75" s="292"/>
    </row>
    <row r="76" spans="1:17" x14ac:dyDescent="0.2">
      <c r="A76" s="260"/>
      <c r="B76" s="156" t="str">
        <v>TDF+3TC+LPV/r</v>
      </c>
      <c r="C76" s="771" t="e">
        <f t="shared" ref="C76:C77" si="18">$D$6*C17</f>
        <v>#DIV/0!</v>
      </c>
      <c r="D76" s="771" t="e">
        <f t="shared" ref="D76:D77" si="19">I54</f>
        <v>#DIV/0!</v>
      </c>
      <c r="E76" s="1274" t="e">
        <f t="shared" ref="E76:E77" si="20">SUM(C76:D76)</f>
        <v>#DIV/0!</v>
      </c>
      <c r="F76" s="1275" t="e">
        <f t="shared" ref="F76:F77" si="21">C$63*$E76</f>
        <v>#DIV/0!</v>
      </c>
      <c r="G76" s="1275" t="e">
        <f t="shared" ref="G76:G77" si="22">D$63*$E76</f>
        <v>#DIV/0!</v>
      </c>
      <c r="H76" s="1275" t="e">
        <f t="shared" ref="H76:H77" si="23">E$63*$E76</f>
        <v>#DIV/0!</v>
      </c>
      <c r="I76" s="1275" t="e">
        <f t="shared" ref="I76:I77" si="24">F$63*$E76</f>
        <v>#DIV/0!</v>
      </c>
      <c r="O76" s="292"/>
    </row>
    <row r="77" spans="1:17" x14ac:dyDescent="0.2">
      <c r="A77" s="260"/>
      <c r="B77" s="156" t="str">
        <v>AZT+3TC+EFV</v>
      </c>
      <c r="C77" s="771" t="e">
        <f t="shared" si="18"/>
        <v>#DIV/0!</v>
      </c>
      <c r="D77" s="771" t="e">
        <f t="shared" si="19"/>
        <v>#DIV/0!</v>
      </c>
      <c r="E77" s="1274" t="e">
        <f t="shared" si="20"/>
        <v>#DIV/0!</v>
      </c>
      <c r="F77" s="1275" t="e">
        <f t="shared" si="21"/>
        <v>#DIV/0!</v>
      </c>
      <c r="G77" s="1275" t="e">
        <f t="shared" si="22"/>
        <v>#DIV/0!</v>
      </c>
      <c r="H77" s="1275" t="e">
        <f t="shared" si="23"/>
        <v>#DIV/0!</v>
      </c>
      <c r="I77" s="1275" t="e">
        <f t="shared" si="24"/>
        <v>#DIV/0!</v>
      </c>
      <c r="O77" s="292"/>
    </row>
    <row r="78" spans="1:17" ht="13.5" thickBot="1" x14ac:dyDescent="0.25">
      <c r="A78" s="260"/>
      <c r="B78" s="157">
        <v>0</v>
      </c>
      <c r="C78" s="589" t="e">
        <f>$D$6*C19</f>
        <v>#DIV/0!</v>
      </c>
      <c r="D78" s="589" t="e">
        <f>I56</f>
        <v>#DIV/0!</v>
      </c>
      <c r="E78" s="590" t="e">
        <f t="shared" si="15"/>
        <v>#DIV/0!</v>
      </c>
      <c r="F78" s="591" t="e">
        <f t="shared" si="17"/>
        <v>#DIV/0!</v>
      </c>
      <c r="G78" s="591" t="e">
        <f t="shared" si="17"/>
        <v>#DIV/0!</v>
      </c>
      <c r="H78" s="591" t="e">
        <f t="shared" si="16"/>
        <v>#DIV/0!</v>
      </c>
      <c r="I78" s="591" t="e">
        <f t="shared" si="16"/>
        <v>#DIV/0!</v>
      </c>
      <c r="O78" s="292"/>
    </row>
    <row r="79" spans="1:17" ht="13.5" thickTop="1" x14ac:dyDescent="0.2">
      <c r="A79" s="260"/>
      <c r="B79" s="592"/>
      <c r="C79" s="592"/>
      <c r="D79" s="592"/>
      <c r="E79" s="592"/>
      <c r="O79" s="292"/>
    </row>
    <row r="80" spans="1:17" x14ac:dyDescent="0.2">
      <c r="A80" s="260"/>
      <c r="B80" s="593"/>
      <c r="C80" s="593"/>
      <c r="D80" s="593"/>
      <c r="E80" s="593"/>
      <c r="O80" s="292"/>
    </row>
    <row r="81" spans="1:17" ht="15" x14ac:dyDescent="0.2">
      <c r="A81" s="260"/>
      <c r="B81" s="2191" t="s">
        <v>261</v>
      </c>
      <c r="C81" s="2191"/>
      <c r="D81" s="2191"/>
      <c r="E81" s="2191"/>
      <c r="F81" s="2191"/>
      <c r="Q81" s="292"/>
    </row>
    <row r="82" spans="1:17" x14ac:dyDescent="0.2">
      <c r="A82" s="260"/>
      <c r="C82" s="291"/>
      <c r="D82" s="291"/>
      <c r="E82" s="291"/>
      <c r="F82" s="291"/>
      <c r="G82" s="291"/>
      <c r="H82" s="291"/>
      <c r="I82" s="291"/>
      <c r="Q82" s="292"/>
    </row>
    <row r="83" spans="1:17" ht="13.5" thickBot="1" x14ac:dyDescent="0.25">
      <c r="A83" s="260"/>
      <c r="C83" s="2168" t="s">
        <v>211</v>
      </c>
      <c r="D83" s="2168"/>
      <c r="E83" s="2190"/>
      <c r="F83" s="2168" t="str">
        <f>'TRAD-Children YEAR(1)'!B40</f>
        <v>Répartition des patients mois / tranches de poids</v>
      </c>
      <c r="G83" s="2168"/>
      <c r="H83" s="2168"/>
      <c r="I83" s="2168"/>
      <c r="Q83" s="292"/>
    </row>
    <row r="84" spans="1:17" ht="39" thickBot="1" x14ac:dyDescent="0.25">
      <c r="A84" s="260"/>
      <c r="B84" s="529" t="str">
        <f>'TRAD-Children YEAR(1)'!B6</f>
        <v>Schéma thérapeutique</v>
      </c>
      <c r="C84" s="529" t="str">
        <f>'TRAD-Children YEAR(1)'!B41</f>
        <v>Enfants présents au début de l'année</v>
      </c>
      <c r="D84" s="529" t="str">
        <f>'TRAD-Children YEAR(1)'!B42</f>
        <v>Initiations et passages en 2ème lignes</v>
      </c>
      <c r="E84" s="581" t="str">
        <f>'TRAD-Children YEAR(1)'!B43</f>
        <v>Total annuel en nb de patients -mois</v>
      </c>
      <c r="F84" s="544" t="s">
        <v>206</v>
      </c>
      <c r="G84" s="544" t="s">
        <v>207</v>
      </c>
      <c r="H84" s="544" t="s">
        <v>208</v>
      </c>
      <c r="I84" s="544" t="s">
        <v>112</v>
      </c>
      <c r="O84" s="292"/>
    </row>
    <row r="85" spans="1:17" x14ac:dyDescent="0.2">
      <c r="A85" s="260"/>
      <c r="B85" s="155" t="str">
        <f t="array" ref="B85:B94">'Data &amp; hypothesis Children'!$C$26:$C$35</f>
        <v>D4T+3TC+NVP</v>
      </c>
      <c r="C85" s="582" t="e">
        <f t="shared" ref="C85:C91" si="25">$D$7*C10</f>
        <v>#DIV/0!</v>
      </c>
      <c r="D85" s="582">
        <f t="shared" ref="D85:D90" si="26">H36</f>
        <v>0</v>
      </c>
      <c r="E85" s="583" t="e">
        <f t="shared" ref="E85:E91" si="27">SUM(C85:D85)</f>
        <v>#DIV/0!</v>
      </c>
      <c r="F85" s="584" t="e">
        <f t="shared" ref="F85:I86" si="28">C$63*$E85</f>
        <v>#DIV/0!</v>
      </c>
      <c r="G85" s="584" t="e">
        <f t="shared" si="28"/>
        <v>#DIV/0!</v>
      </c>
      <c r="H85" s="584" t="e">
        <f t="shared" si="28"/>
        <v>#DIV/0!</v>
      </c>
      <c r="I85" s="584" t="e">
        <f t="shared" si="28"/>
        <v>#DIV/0!</v>
      </c>
      <c r="O85" s="292"/>
    </row>
    <row r="86" spans="1:17" x14ac:dyDescent="0.2">
      <c r="A86" s="260"/>
      <c r="B86" s="156" t="str">
        <v>AZT+3TC+NVP</v>
      </c>
      <c r="C86" s="585" t="e">
        <f t="shared" si="25"/>
        <v>#DIV/0!</v>
      </c>
      <c r="D86" s="585">
        <f t="shared" si="26"/>
        <v>0</v>
      </c>
      <c r="E86" s="586" t="e">
        <f t="shared" si="27"/>
        <v>#DIV/0!</v>
      </c>
      <c r="F86" s="587" t="e">
        <f t="shared" si="28"/>
        <v>#DIV/0!</v>
      </c>
      <c r="G86" s="587" t="e">
        <f t="shared" si="28"/>
        <v>#DIV/0!</v>
      </c>
      <c r="H86" s="587" t="e">
        <f t="shared" si="28"/>
        <v>#DIV/0!</v>
      </c>
      <c r="I86" s="587" t="e">
        <f t="shared" si="28"/>
        <v>#DIV/0!</v>
      </c>
      <c r="O86" s="292"/>
    </row>
    <row r="87" spans="1:17" x14ac:dyDescent="0.2">
      <c r="A87" s="260"/>
      <c r="B87" s="156" t="str">
        <v>AZT+3TC+EFV</v>
      </c>
      <c r="C87" s="585" t="e">
        <f t="shared" si="25"/>
        <v>#DIV/0!</v>
      </c>
      <c r="D87" s="585">
        <f t="shared" si="26"/>
        <v>0</v>
      </c>
      <c r="E87" s="586" t="e">
        <f t="shared" si="27"/>
        <v>#DIV/0!</v>
      </c>
      <c r="F87" s="588"/>
      <c r="G87" s="587" t="e">
        <f>(C$63+D$63)*$E87</f>
        <v>#DIV/0!</v>
      </c>
      <c r="H87" s="587" t="e">
        <f t="shared" ref="H87:I91" si="29">E$63*$E87</f>
        <v>#DIV/0!</v>
      </c>
      <c r="I87" s="587" t="e">
        <f t="shared" si="29"/>
        <v>#DIV/0!</v>
      </c>
      <c r="O87" s="292"/>
    </row>
    <row r="88" spans="1:17" x14ac:dyDescent="0.2">
      <c r="A88" s="260"/>
      <c r="B88" s="156" t="str">
        <v>LPV/r+3TC+ABC</v>
      </c>
      <c r="C88" s="585" t="e">
        <f t="shared" si="25"/>
        <v>#DIV/0!</v>
      </c>
      <c r="D88" s="585">
        <f t="shared" si="26"/>
        <v>0</v>
      </c>
      <c r="E88" s="586" t="e">
        <f t="shared" si="27"/>
        <v>#DIV/0!</v>
      </c>
      <c r="F88" s="587" t="e">
        <f t="shared" ref="F88:G91" si="30">C$63*$E88</f>
        <v>#DIV/0!</v>
      </c>
      <c r="G88" s="587" t="e">
        <f t="shared" si="30"/>
        <v>#DIV/0!</v>
      </c>
      <c r="H88" s="587" t="e">
        <f t="shared" si="29"/>
        <v>#DIV/0!</v>
      </c>
      <c r="I88" s="587" t="e">
        <f t="shared" si="29"/>
        <v>#DIV/0!</v>
      </c>
      <c r="O88" s="292"/>
    </row>
    <row r="89" spans="1:17" x14ac:dyDescent="0.2">
      <c r="A89" s="260"/>
      <c r="B89" s="156" t="str">
        <v>ABC+3TC+NVP</v>
      </c>
      <c r="C89" s="585" t="e">
        <f t="shared" si="25"/>
        <v>#DIV/0!</v>
      </c>
      <c r="D89" s="585">
        <f t="shared" si="26"/>
        <v>0</v>
      </c>
      <c r="E89" s="586" t="e">
        <f t="shared" si="27"/>
        <v>#DIV/0!</v>
      </c>
      <c r="F89" s="587" t="e">
        <f t="shared" si="30"/>
        <v>#DIV/0!</v>
      </c>
      <c r="G89" s="587" t="e">
        <f t="shared" si="30"/>
        <v>#DIV/0!</v>
      </c>
      <c r="H89" s="587" t="e">
        <f t="shared" si="29"/>
        <v>#DIV/0!</v>
      </c>
      <c r="I89" s="587" t="e">
        <f t="shared" si="29"/>
        <v>#DIV/0!</v>
      </c>
      <c r="O89" s="292"/>
    </row>
    <row r="90" spans="1:17" x14ac:dyDescent="0.2">
      <c r="A90" s="260"/>
      <c r="B90" s="1253" t="str">
        <v>AZT+3TC+LPV/r</v>
      </c>
      <c r="C90" s="772" t="e">
        <f t="shared" si="25"/>
        <v>#DIV/0!</v>
      </c>
      <c r="D90" s="772">
        <f t="shared" si="26"/>
        <v>0</v>
      </c>
      <c r="E90" s="1276" t="e">
        <f t="shared" si="27"/>
        <v>#DIV/0!</v>
      </c>
      <c r="F90" s="777" t="e">
        <f t="shared" si="30"/>
        <v>#DIV/0!</v>
      </c>
      <c r="G90" s="777" t="e">
        <f t="shared" si="30"/>
        <v>#DIV/0!</v>
      </c>
      <c r="H90" s="777" t="e">
        <f t="shared" si="29"/>
        <v>#DIV/0!</v>
      </c>
      <c r="I90" s="777" t="e">
        <f t="shared" si="29"/>
        <v>#DIV/0!</v>
      </c>
      <c r="O90" s="292"/>
    </row>
    <row r="91" spans="1:17" x14ac:dyDescent="0.2">
      <c r="A91" s="260"/>
      <c r="B91" s="1948" t="str">
        <v>ABC+3TC+EFV</v>
      </c>
      <c r="C91" s="771" t="e">
        <f t="shared" si="25"/>
        <v>#DIV/0!</v>
      </c>
      <c r="D91" s="771" t="e">
        <f>J53</f>
        <v>#DIV/0!</v>
      </c>
      <c r="E91" s="1274" t="e">
        <f t="shared" si="27"/>
        <v>#DIV/0!</v>
      </c>
      <c r="F91" s="1275" t="e">
        <f t="shared" si="30"/>
        <v>#DIV/0!</v>
      </c>
      <c r="G91" s="1275" t="e">
        <f t="shared" si="30"/>
        <v>#DIV/0!</v>
      </c>
      <c r="H91" s="1275" t="e">
        <f t="shared" si="29"/>
        <v>#DIV/0!</v>
      </c>
      <c r="I91" s="1275" t="e">
        <f t="shared" si="29"/>
        <v>#DIV/0!</v>
      </c>
      <c r="O91" s="292"/>
    </row>
    <row r="92" spans="1:17" x14ac:dyDescent="0.2">
      <c r="A92" s="260"/>
      <c r="B92" s="156" t="str">
        <v>TDF+3TC+LPV/r</v>
      </c>
      <c r="C92" s="771" t="e">
        <f t="shared" ref="C92:C94" si="31">$D$7*C17</f>
        <v>#DIV/0!</v>
      </c>
      <c r="D92" s="771" t="e">
        <f t="shared" ref="D92:D94" si="32">J54</f>
        <v>#DIV/0!</v>
      </c>
      <c r="E92" s="1274" t="e">
        <f t="shared" ref="E92:E94" si="33">SUM(C92:D92)</f>
        <v>#DIV/0!</v>
      </c>
      <c r="F92" s="1275" t="e">
        <f t="shared" ref="F92:F94" si="34">C$63*$E92</f>
        <v>#DIV/0!</v>
      </c>
      <c r="G92" s="1275" t="e">
        <f t="shared" ref="G92:G94" si="35">D$63*$E92</f>
        <v>#DIV/0!</v>
      </c>
      <c r="H92" s="1275" t="e">
        <f t="shared" ref="H92:H94" si="36">E$63*$E92</f>
        <v>#DIV/0!</v>
      </c>
      <c r="I92" s="1275" t="e">
        <f t="shared" ref="I92:I94" si="37">F$63*$E92</f>
        <v>#DIV/0!</v>
      </c>
      <c r="O92" s="292"/>
    </row>
    <row r="93" spans="1:17" x14ac:dyDescent="0.2">
      <c r="A93" s="260"/>
      <c r="B93" s="156" t="str">
        <v>AZT+3TC+EFV</v>
      </c>
      <c r="C93" s="771" t="e">
        <f t="shared" si="31"/>
        <v>#DIV/0!</v>
      </c>
      <c r="D93" s="771" t="e">
        <f t="shared" si="32"/>
        <v>#DIV/0!</v>
      </c>
      <c r="E93" s="1274" t="e">
        <f t="shared" si="33"/>
        <v>#DIV/0!</v>
      </c>
      <c r="F93" s="1275" t="e">
        <f t="shared" si="34"/>
        <v>#DIV/0!</v>
      </c>
      <c r="G93" s="1275" t="e">
        <f t="shared" si="35"/>
        <v>#DIV/0!</v>
      </c>
      <c r="H93" s="1275" t="e">
        <f t="shared" si="36"/>
        <v>#DIV/0!</v>
      </c>
      <c r="I93" s="1275" t="e">
        <f t="shared" si="37"/>
        <v>#DIV/0!</v>
      </c>
      <c r="O93" s="292"/>
    </row>
    <row r="94" spans="1:17" ht="13.5" thickBot="1" x14ac:dyDescent="0.25">
      <c r="A94" s="260"/>
      <c r="B94" s="157">
        <v>0</v>
      </c>
      <c r="C94" s="589" t="e">
        <f t="shared" si="31"/>
        <v>#DIV/0!</v>
      </c>
      <c r="D94" s="589" t="e">
        <f t="shared" si="32"/>
        <v>#DIV/0!</v>
      </c>
      <c r="E94" s="590" t="e">
        <f t="shared" si="33"/>
        <v>#DIV/0!</v>
      </c>
      <c r="F94" s="591" t="e">
        <f t="shared" si="34"/>
        <v>#DIV/0!</v>
      </c>
      <c r="G94" s="591" t="e">
        <f t="shared" si="35"/>
        <v>#DIV/0!</v>
      </c>
      <c r="H94" s="591" t="e">
        <f t="shared" si="36"/>
        <v>#DIV/0!</v>
      </c>
      <c r="I94" s="591" t="e">
        <f t="shared" si="37"/>
        <v>#DIV/0!</v>
      </c>
      <c r="O94" s="292"/>
    </row>
    <row r="95" spans="1:17" ht="13.5" thickTop="1" x14ac:dyDescent="0.2">
      <c r="A95" s="260"/>
      <c r="B95" s="592"/>
      <c r="C95" s="592"/>
      <c r="D95" s="592"/>
      <c r="E95" s="592"/>
      <c r="O95" s="292"/>
    </row>
    <row r="97" spans="1:17" s="263" customFormat="1" ht="16.5" thickBot="1" x14ac:dyDescent="0.3">
      <c r="A97" s="2177" t="str">
        <f>'TRAD-Children YEAR(1)'!B45</f>
        <v>Calculs des quantités</v>
      </c>
      <c r="B97" s="2177"/>
      <c r="C97" s="2177"/>
      <c r="D97" s="2177"/>
      <c r="E97" s="2177"/>
      <c r="F97" s="2177"/>
      <c r="G97" s="2177"/>
      <c r="H97" s="2177"/>
      <c r="I97" s="2177"/>
      <c r="J97" s="2177"/>
      <c r="K97" s="2177"/>
      <c r="L97" s="2177"/>
      <c r="M97" s="2177"/>
      <c r="N97" s="2177"/>
    </row>
    <row r="99" spans="1:17" ht="15" x14ac:dyDescent="0.2">
      <c r="A99" s="260"/>
      <c r="B99" s="2143" t="str">
        <f>'TRAD-Children YEAR(1)'!B47</f>
        <v xml:space="preserve">TRIOMUNE bébé </v>
      </c>
      <c r="C99" s="2143"/>
      <c r="D99" s="2143"/>
      <c r="E99" s="2143"/>
      <c r="F99" s="2143"/>
      <c r="G99" s="2143"/>
      <c r="H99" s="2143"/>
      <c r="I99" s="2143"/>
      <c r="J99" s="2143"/>
      <c r="K99" s="2143"/>
      <c r="L99" s="2143"/>
      <c r="M99" s="2143"/>
      <c r="Q99" s="292"/>
    </row>
    <row r="100" spans="1:17" ht="13.5" thickBot="1" x14ac:dyDescent="0.25"/>
    <row r="101" spans="1:17" ht="40.5" customHeight="1" thickBot="1" x14ac:dyDescent="0.25">
      <c r="A101" s="594"/>
      <c r="C101" s="595" t="s">
        <v>75</v>
      </c>
      <c r="D101" s="2175" t="s">
        <v>91</v>
      </c>
      <c r="E101" s="2176"/>
      <c r="F101" s="2178" t="s">
        <v>92</v>
      </c>
      <c r="G101" s="2179"/>
    </row>
    <row r="102" spans="1:17" ht="13.5" thickBot="1" x14ac:dyDescent="0.25">
      <c r="C102" s="596" t="str">
        <f>'TRAD-Children YEAR(1)'!B49</f>
        <v>Posologies</v>
      </c>
      <c r="D102" s="2175" t="str">
        <f>'TRAD-Children YEAR(1)'!B50</f>
        <v>Voir les formes simples</v>
      </c>
      <c r="E102" s="2176"/>
      <c r="F102" s="597" t="s">
        <v>77</v>
      </c>
      <c r="G102" s="597" t="s">
        <v>95</v>
      </c>
    </row>
    <row r="103" spans="1:17" ht="12.75" customHeight="1" x14ac:dyDescent="0.2">
      <c r="C103" s="598" t="str">
        <f>'TRAD-Children YEAR(1)'!B54</f>
        <v xml:space="preserve">Forme galénique </v>
      </c>
      <c r="D103" s="2205" t="str">
        <f>'TRAD-Children YEAR(1)'!B51</f>
        <v>Cpr, 6 mg d4T,</v>
      </c>
      <c r="E103" s="2206"/>
      <c r="F103" s="2199"/>
      <c r="G103" s="2199"/>
    </row>
    <row r="104" spans="1:17" ht="12.75" customHeight="1" x14ac:dyDescent="0.2">
      <c r="C104" s="598"/>
      <c r="D104" s="2207" t="s">
        <v>97</v>
      </c>
      <c r="E104" s="2208"/>
      <c r="F104" s="2200"/>
      <c r="G104" s="2200"/>
    </row>
    <row r="105" spans="1:17" ht="13.5" thickBot="1" x14ac:dyDescent="0.25">
      <c r="C105" s="599"/>
      <c r="D105" s="2197" t="s">
        <v>98</v>
      </c>
      <c r="E105" s="2198"/>
      <c r="F105" s="2201"/>
      <c r="G105" s="2201"/>
    </row>
    <row r="106" spans="1:17" ht="13.5" thickBot="1" x14ac:dyDescent="0.25">
      <c r="C106" s="600" t="str">
        <f>'TRAD-Children YEAR(1)'!B36</f>
        <v>Poids (kg)</v>
      </c>
      <c r="D106" s="601" t="str">
        <f>'TRAD-Children YEAR(1)'!B55</f>
        <v>Matin</v>
      </c>
      <c r="E106" s="601" t="str">
        <f>'TRAD-Children YEAR(1)'!B56</f>
        <v>Soir</v>
      </c>
      <c r="F106" s="602"/>
      <c r="G106" s="602"/>
    </row>
    <row r="107" spans="1:17" x14ac:dyDescent="0.2">
      <c r="C107" s="848" t="s">
        <v>388</v>
      </c>
      <c r="D107" s="844">
        <v>1</v>
      </c>
      <c r="E107" s="844">
        <v>1</v>
      </c>
      <c r="F107" s="845">
        <v>60</v>
      </c>
      <c r="G107" s="845">
        <v>1</v>
      </c>
    </row>
    <row r="108" spans="1:17" x14ac:dyDescent="0.2">
      <c r="C108" s="848" t="s">
        <v>389</v>
      </c>
      <c r="D108" s="844">
        <v>1</v>
      </c>
      <c r="E108" s="844">
        <v>1</v>
      </c>
      <c r="F108" s="845">
        <v>60</v>
      </c>
      <c r="G108" s="845">
        <v>1</v>
      </c>
    </row>
    <row r="109" spans="1:17" x14ac:dyDescent="0.2">
      <c r="C109" s="603" t="s">
        <v>101</v>
      </c>
      <c r="D109" s="844">
        <v>1</v>
      </c>
      <c r="E109" s="844">
        <v>1</v>
      </c>
      <c r="F109" s="845">
        <v>60</v>
      </c>
      <c r="G109" s="845">
        <v>1</v>
      </c>
    </row>
    <row r="110" spans="1:17" x14ac:dyDescent="0.2">
      <c r="C110" s="604" t="s">
        <v>102</v>
      </c>
      <c r="D110" s="844">
        <v>1.5</v>
      </c>
      <c r="E110" s="844">
        <v>1.5</v>
      </c>
      <c r="F110" s="845">
        <v>90</v>
      </c>
      <c r="G110" s="845">
        <v>1.5</v>
      </c>
    </row>
    <row r="111" spans="1:17" x14ac:dyDescent="0.2">
      <c r="C111" s="604" t="s">
        <v>103</v>
      </c>
      <c r="D111" s="844">
        <v>1.5</v>
      </c>
      <c r="E111" s="844">
        <v>1.5</v>
      </c>
      <c r="F111" s="845">
        <v>90</v>
      </c>
      <c r="G111" s="845">
        <v>1.5</v>
      </c>
    </row>
    <row r="112" spans="1:17" x14ac:dyDescent="0.2">
      <c r="C112" s="604" t="s">
        <v>104</v>
      </c>
      <c r="D112" s="844">
        <v>1.5</v>
      </c>
      <c r="E112" s="844">
        <v>1.5</v>
      </c>
      <c r="F112" s="845">
        <v>90</v>
      </c>
      <c r="G112" s="845">
        <v>1.5</v>
      </c>
    </row>
    <row r="113" spans="1:8" x14ac:dyDescent="0.2">
      <c r="C113" s="604" t="s">
        <v>105</v>
      </c>
      <c r="D113" s="845">
        <v>1.5</v>
      </c>
      <c r="E113" s="845">
        <v>1.5</v>
      </c>
      <c r="F113" s="845">
        <v>90</v>
      </c>
      <c r="G113" s="845">
        <v>1.5</v>
      </c>
    </row>
    <row r="114" spans="1:8" x14ac:dyDescent="0.2">
      <c r="C114" s="604" t="s">
        <v>106</v>
      </c>
      <c r="D114" s="844" t="s">
        <v>107</v>
      </c>
      <c r="E114" s="844">
        <v>2</v>
      </c>
      <c r="F114" s="845">
        <v>120</v>
      </c>
      <c r="G114" s="845">
        <v>2</v>
      </c>
    </row>
    <row r="115" spans="1:8" x14ac:dyDescent="0.2">
      <c r="C115" s="604" t="s">
        <v>108</v>
      </c>
      <c r="D115" s="844" t="s">
        <v>107</v>
      </c>
      <c r="E115" s="844">
        <v>2</v>
      </c>
      <c r="F115" s="845">
        <v>120</v>
      </c>
      <c r="G115" s="845">
        <v>2</v>
      </c>
    </row>
    <row r="116" spans="1:8" x14ac:dyDescent="0.2">
      <c r="C116" s="604" t="s">
        <v>109</v>
      </c>
      <c r="D116" s="844" t="s">
        <v>107</v>
      </c>
      <c r="E116" s="844">
        <v>2</v>
      </c>
      <c r="F116" s="845">
        <v>120</v>
      </c>
      <c r="G116" s="845">
        <v>2</v>
      </c>
    </row>
    <row r="117" spans="1:8" x14ac:dyDescent="0.2">
      <c r="C117" s="604" t="s">
        <v>110</v>
      </c>
      <c r="D117" s="844">
        <v>2.5</v>
      </c>
      <c r="E117" s="844">
        <v>2.5</v>
      </c>
      <c r="F117" s="845">
        <v>150</v>
      </c>
      <c r="G117" s="845">
        <v>2.5</v>
      </c>
    </row>
    <row r="118" spans="1:8" x14ac:dyDescent="0.2">
      <c r="C118" s="604" t="s">
        <v>111</v>
      </c>
      <c r="D118" s="844">
        <v>2.5</v>
      </c>
      <c r="E118" s="844">
        <v>2.5</v>
      </c>
      <c r="F118" s="845">
        <v>150</v>
      </c>
      <c r="G118" s="845">
        <v>2.5</v>
      </c>
    </row>
    <row r="119" spans="1:8" x14ac:dyDescent="0.2">
      <c r="C119" s="604" t="s">
        <v>112</v>
      </c>
      <c r="D119" s="844">
        <v>3</v>
      </c>
      <c r="E119" s="844">
        <v>3</v>
      </c>
      <c r="F119" s="845">
        <v>180</v>
      </c>
      <c r="G119" s="845">
        <v>3</v>
      </c>
    </row>
    <row r="120" spans="1:8" x14ac:dyDescent="0.2">
      <c r="C120" s="604" t="s">
        <v>113</v>
      </c>
      <c r="D120" s="844"/>
      <c r="E120" s="844"/>
      <c r="F120" s="845"/>
      <c r="G120" s="845"/>
    </row>
    <row r="121" spans="1:8" ht="13.5" thickBot="1" x14ac:dyDescent="0.25">
      <c r="C121" s="605" t="s">
        <v>114</v>
      </c>
      <c r="D121" s="846"/>
      <c r="E121" s="846"/>
      <c r="F121" s="847"/>
      <c r="G121" s="847"/>
    </row>
    <row r="123" spans="1:8" s="4" customFormat="1" x14ac:dyDescent="0.2">
      <c r="A123" s="3"/>
      <c r="B123" s="3" t="str">
        <f>'TRAD-Children YEAR(1)'!B58</f>
        <v>Si enfants &gt; 15 kg : formes adultes à prendre en compte</v>
      </c>
    </row>
    <row r="125" spans="1:8" ht="13.5" thickBot="1" x14ac:dyDescent="0.25"/>
    <row r="126" spans="1:8" ht="13.5" thickBot="1" x14ac:dyDescent="0.25">
      <c r="A126" s="260"/>
      <c r="B126" s="2202" t="str">
        <f>'TRAD-Children YEAR(1)'!B59</f>
        <v>Initiation du traitement NVP pour les enfants recevant la TRIOMUNE bébé</v>
      </c>
      <c r="C126" s="2203"/>
      <c r="D126" s="2203"/>
      <c r="E126" s="2203"/>
      <c r="F126" s="2204"/>
    </row>
    <row r="127" spans="1:8" ht="13.5" thickBot="1" x14ac:dyDescent="0.25">
      <c r="A127" s="260"/>
      <c r="B127" s="606"/>
      <c r="C127" s="606"/>
      <c r="D127" s="606"/>
      <c r="E127" s="606"/>
      <c r="F127" s="606"/>
    </row>
    <row r="128" spans="1:8" s="1560" customFormat="1" ht="102.75" thickBot="1" x14ac:dyDescent="0.25">
      <c r="A128" s="543"/>
      <c r="E128" s="368"/>
      <c r="F128" s="369" t="str">
        <f>'TRAD-Children YEAR(1)'!B60</f>
        <v>Qté / enfant</v>
      </c>
      <c r="G128" s="498" t="str">
        <f>'TRAD-Children YEAR(1)'!B61</f>
        <v>Nb total de flacon pour les nouveaux enfants de l'année</v>
      </c>
      <c r="H128" s="498" t="str">
        <f>'TRAD-Children YEAR(1)'!B62</f>
        <v>Nb total de flacon pour les nouveaux enfants sur période AVEC marge sécu</v>
      </c>
    </row>
    <row r="129" spans="1:17" x14ac:dyDescent="0.2">
      <c r="C129" s="260" t="str">
        <f>'TRAD-Children YEAR(1)'!B63</f>
        <v>15 premiers jours</v>
      </c>
      <c r="E129" s="607" t="s">
        <v>61</v>
      </c>
      <c r="F129" s="374" t="s">
        <v>117</v>
      </c>
      <c r="G129" s="1568">
        <f>IF('Data &amp; hypothesis Children'!$G$111="X", ROUNDUP(F27, 0), 0)</f>
        <v>0</v>
      </c>
      <c r="H129" s="1568">
        <f>IF('Data &amp; hypothesis Children'!$G$111="X", ROUNDUP(G27, 0), 0)</f>
        <v>0</v>
      </c>
    </row>
    <row r="130" spans="1:17" x14ac:dyDescent="0.2">
      <c r="E130" s="608" t="s">
        <v>39</v>
      </c>
      <c r="F130" s="382" t="s">
        <v>117</v>
      </c>
      <c r="G130" s="1569">
        <f>IF('Data &amp; hypothesis Children'!$G$108="X", ROUNDUP(F28, 0), 0)</f>
        <v>0</v>
      </c>
      <c r="H130" s="1569">
        <f>IF('Data &amp; hypothesis Children'!$G$108="X", ROUNDUP(G28, 0), 0)</f>
        <v>0</v>
      </c>
    </row>
    <row r="131" spans="1:17" x14ac:dyDescent="0.2">
      <c r="B131" s="528"/>
      <c r="E131" s="608" t="s">
        <v>15</v>
      </c>
      <c r="F131" s="382" t="s">
        <v>117</v>
      </c>
      <c r="G131" s="1569">
        <f>IF('Data &amp; hypothesis Children'!$G$108="X", ROUNDUP(F28, 0), 0)+IF('Data &amp; hypothesis Children'!$G$111="X", ROUNDUP(F27, 0), 0)</f>
        <v>0</v>
      </c>
      <c r="H131" s="1569">
        <f>IF('Data &amp; hypothesis Children'!$G$108="X", ROUNDUP(G28, 0), 0)+IF('Data &amp; hypothesis Children'!$G$111="X", ROUNDUP(G27, 0), 0)</f>
        <v>0</v>
      </c>
    </row>
    <row r="132" spans="1:17" ht="13.5" thickBot="1" x14ac:dyDescent="0.25">
      <c r="B132" s="528"/>
      <c r="E132" s="609" t="s">
        <v>19</v>
      </c>
      <c r="F132" s="424" t="s">
        <v>117</v>
      </c>
      <c r="G132" s="1570">
        <f>IF(OR('Data &amp; hypothesis Children'!$G$107="X", 'Data &amp; hypothesis Children'!$G$108="X"), ROUNDUP(F28, 0), 0)+IF(OR('Data &amp; hypothesis Children'!$G$110="X", 'Data &amp; hypothesis Children'!$G$111="X"), ROUNDUP(F27, 0), 0)</f>
        <v>0</v>
      </c>
      <c r="H132" s="1570">
        <f>IF(OR('Data &amp; hypothesis Children'!$G$107="X", 'Data &amp; hypothesis Children'!$G$108="X"), ROUNDUP(G28, 0), 0)+IF(OR('Data &amp; hypothesis Children'!$G$110="X", 'Data &amp; hypothesis Children'!$G$111="X"), ROUNDUP(G27, 0), 0)</f>
        <v>0</v>
      </c>
    </row>
    <row r="133" spans="1:17" x14ac:dyDescent="0.2">
      <c r="B133" s="528"/>
      <c r="E133" s="608" t="s">
        <v>50</v>
      </c>
      <c r="F133" s="382" t="s">
        <v>723</v>
      </c>
      <c r="G133" s="1569">
        <f>IF('Data &amp; hypothesis Children'!$G$109="X", ROUNDUP(F27*0.25, 0), 0)</f>
        <v>0</v>
      </c>
      <c r="H133" s="1569">
        <f>IF('Data &amp; hypothesis Children'!$G$109="X", ROUNDUP(G27*0.25, 0), 0)</f>
        <v>0</v>
      </c>
    </row>
    <row r="134" spans="1:17" x14ac:dyDescent="0.2">
      <c r="B134" s="528"/>
      <c r="E134" s="608" t="s">
        <v>81</v>
      </c>
      <c r="F134" s="382" t="s">
        <v>744</v>
      </c>
      <c r="G134" s="1569">
        <f>IF('Data &amp; hypothesis Children'!$G$109="X", ROUNDUP(F27*0.25, 0), 0)+IF('Data &amp; hypothesis Children'!$G$110="X", ROUNDUP(F27*0.5, 0), 0)</f>
        <v>0</v>
      </c>
      <c r="H134" s="1569">
        <f>IF('Data &amp; hypothesis Children'!$G$109="X", ROUNDUP(G27*0.25, 0), 0)+IF('Data &amp; hypothesis Children'!$G$110="X", ROUNDUP(G27*0.5, 0), 0)</f>
        <v>0</v>
      </c>
    </row>
    <row r="135" spans="1:17" x14ac:dyDescent="0.2">
      <c r="B135" s="528"/>
      <c r="E135" s="608" t="s">
        <v>7</v>
      </c>
      <c r="F135" s="382" t="s">
        <v>723</v>
      </c>
      <c r="G135" s="1569">
        <f>IF('Data &amp; hypothesis Children'!$G$106="X", ROUNDUP(F28*0.25, 0), 0)</f>
        <v>0</v>
      </c>
      <c r="H135" s="1569">
        <f>IF('Data &amp; hypothesis Children'!$G$106="X", ROUNDUP(G28*0.25, 0), 0)</f>
        <v>0</v>
      </c>
    </row>
    <row r="136" spans="1:17" ht="13.5" thickBot="1" x14ac:dyDescent="0.25">
      <c r="B136" s="528"/>
      <c r="E136" s="609" t="s">
        <v>11</v>
      </c>
      <c r="F136" s="424" t="s">
        <v>723</v>
      </c>
      <c r="G136" s="1570">
        <f>IF('Data &amp; hypothesis Children'!$G$106="X", ROUNDUP(F28*0.25, 0), 0)+IF('Data &amp; hypothesis Children'!$G$107="X", ROUNDUP(F28*0.5, 0), 0)</f>
        <v>0</v>
      </c>
      <c r="H136" s="1570">
        <f>IF('Data &amp; hypothesis Children'!$G$106="X", ROUNDUP(G28*0.25, 0), 0)+IF('Data &amp; hypothesis Children'!$G$107="X", ROUNDUP(G28*0.5, 0), 0)</f>
        <v>0</v>
      </c>
    </row>
    <row r="138" spans="1:17" ht="15" x14ac:dyDescent="0.2">
      <c r="A138" s="260"/>
      <c r="B138" s="2143" t="str">
        <f>'TRAD-Children YEAR(1)'!B66</f>
        <v>Autres schémas (1ères et 2èmes lignes)</v>
      </c>
      <c r="C138" s="2143"/>
      <c r="D138" s="2143"/>
      <c r="E138" s="2143"/>
      <c r="F138" s="2143"/>
      <c r="G138" s="2143"/>
      <c r="H138" s="2143"/>
      <c r="I138" s="2143"/>
      <c r="J138" s="2143"/>
      <c r="K138" s="2143"/>
      <c r="L138" s="2143"/>
      <c r="M138" s="2143"/>
      <c r="Q138" s="292"/>
    </row>
    <row r="139" spans="1:17" ht="13.5" thickBot="1" x14ac:dyDescent="0.25">
      <c r="F139" s="497"/>
      <c r="G139" s="497"/>
    </row>
    <row r="140" spans="1:17" ht="51.75" thickBot="1" x14ac:dyDescent="0.25">
      <c r="C140" s="368" t="str">
        <f>'TRAD-Children YEAR(1)'!B67</f>
        <v>Composition</v>
      </c>
      <c r="D140" s="369" t="str">
        <f>'TRAD-Children YEAR(1)'!B54</f>
        <v xml:space="preserve">Forme galénique </v>
      </c>
      <c r="E140" s="369" t="str">
        <f>'TRAD-Children YEAR(1)'!B68</f>
        <v>Dosage</v>
      </c>
      <c r="F140" s="369" t="str">
        <f>'TRAD-Children YEAR(1)'!B69</f>
        <v>Nom de spécialité</v>
      </c>
      <c r="G140" s="369" t="str">
        <f>'TRAD-Children YEAR(1)'!B70</f>
        <v>Volume conditionnement primaire (mL)</v>
      </c>
      <c r="H140" s="369" t="str">
        <f>'TRAD-Children YEAR(1)'!B71</f>
        <v>Conditionement secondaire</v>
      </c>
      <c r="I140" s="610" t="str">
        <f>'TRAD-Children YEAR(1)'!B72</f>
        <v>Qtés de patients - mois</v>
      </c>
    </row>
    <row r="141" spans="1:17" x14ac:dyDescent="0.2">
      <c r="C141" s="607" t="s">
        <v>39</v>
      </c>
      <c r="D141" s="611" t="str">
        <f>'TRAD-Children YEAR(1)'!B74</f>
        <v>sol buv</v>
      </c>
      <c r="E141" s="611" t="s">
        <v>41</v>
      </c>
      <c r="F141" s="374" t="s">
        <v>42</v>
      </c>
      <c r="G141" s="1428">
        <f>'Available Stocks'!$K$55</f>
        <v>240</v>
      </c>
      <c r="H141" s="374">
        <f>'Available Stocks'!L55</f>
        <v>1</v>
      </c>
      <c r="I141" s="612"/>
    </row>
    <row r="142" spans="1:17" x14ac:dyDescent="0.2">
      <c r="C142" s="608" t="s">
        <v>61</v>
      </c>
      <c r="D142" s="613" t="str">
        <f>'TRAD-Children YEAR(1)'!B74</f>
        <v>sol buv</v>
      </c>
      <c r="E142" s="613" t="s">
        <v>41</v>
      </c>
      <c r="F142" s="382"/>
      <c r="G142" s="1429">
        <f>'Available Stocks'!$K$56</f>
        <v>240</v>
      </c>
      <c r="H142" s="382">
        <f>'Available Stocks'!L56</f>
        <v>1</v>
      </c>
      <c r="I142" s="614"/>
    </row>
    <row r="143" spans="1:17" x14ac:dyDescent="0.2">
      <c r="C143" s="615" t="s">
        <v>15</v>
      </c>
      <c r="D143" s="616" t="str">
        <f>'TRAD-Children YEAR(1)'!B74</f>
        <v>sol buv</v>
      </c>
      <c r="E143" s="616" t="s">
        <v>41</v>
      </c>
      <c r="F143" s="391" t="s">
        <v>43</v>
      </c>
      <c r="G143" s="1430">
        <f>'Available Stocks'!$K$57</f>
        <v>240</v>
      </c>
      <c r="H143" s="391">
        <f>'Available Stocks'!L57</f>
        <v>1</v>
      </c>
      <c r="I143" s="617"/>
    </row>
    <row r="144" spans="1:17" x14ac:dyDescent="0.2">
      <c r="C144" s="615" t="s">
        <v>25</v>
      </c>
      <c r="D144" s="616" t="str">
        <f>'TRAD-Children YEAR(1)'!B74</f>
        <v>sol buv</v>
      </c>
      <c r="E144" s="616" t="s">
        <v>44</v>
      </c>
      <c r="F144" s="391" t="s">
        <v>26</v>
      </c>
      <c r="G144" s="1430">
        <f>'Available Stocks'!$K$58</f>
        <v>240</v>
      </c>
      <c r="H144" s="391">
        <f>'Available Stocks'!L58</f>
        <v>1</v>
      </c>
      <c r="I144" s="617"/>
    </row>
    <row r="145" spans="2:9" x14ac:dyDescent="0.2">
      <c r="C145" s="615" t="s">
        <v>28</v>
      </c>
      <c r="D145" s="616" t="str">
        <f>'TRAD-Children YEAR(1)'!B74</f>
        <v>sol buv</v>
      </c>
      <c r="E145" s="616" t="s">
        <v>46</v>
      </c>
      <c r="F145" s="391" t="s">
        <v>30</v>
      </c>
      <c r="G145" s="1430">
        <f>'Available Stocks'!$K$59</f>
        <v>200</v>
      </c>
      <c r="H145" s="391">
        <f>'Available Stocks'!L59</f>
        <v>1</v>
      </c>
      <c r="I145" s="617"/>
    </row>
    <row r="146" spans="2:9" x14ac:dyDescent="0.2">
      <c r="C146" s="615" t="s">
        <v>19</v>
      </c>
      <c r="D146" s="616" t="str">
        <f>'TRAD-Children YEAR(1)'!B74</f>
        <v>sol buv</v>
      </c>
      <c r="E146" s="616" t="s">
        <v>41</v>
      </c>
      <c r="F146" s="391" t="s">
        <v>21</v>
      </c>
      <c r="G146" s="1430">
        <f>'Available Stocks'!$K$60</f>
        <v>240</v>
      </c>
      <c r="H146" s="391">
        <f>'Available Stocks'!L60</f>
        <v>1</v>
      </c>
      <c r="I146" s="617"/>
    </row>
    <row r="147" spans="2:9" x14ac:dyDescent="0.2">
      <c r="C147" s="618" t="s">
        <v>17</v>
      </c>
      <c r="D147" s="619" t="str">
        <f>'TRAD-Children YEAR(1)'!B74</f>
        <v>sol buv</v>
      </c>
      <c r="E147" s="619" t="s">
        <v>259</v>
      </c>
      <c r="F147" s="400" t="s">
        <v>249</v>
      </c>
      <c r="G147" s="1431">
        <f>'Available Stocks'!$K$61</f>
        <v>180</v>
      </c>
      <c r="H147" s="400">
        <f>'Available Stocks'!L61</f>
        <v>1</v>
      </c>
      <c r="I147" s="620"/>
    </row>
    <row r="148" spans="2:9" ht="13.5" thickBot="1" x14ac:dyDescent="0.25">
      <c r="C148" s="609" t="s">
        <v>33</v>
      </c>
      <c r="D148" s="621" t="str">
        <f>'TRAD-Children YEAR(1)'!B74</f>
        <v>sol buv</v>
      </c>
      <c r="E148" s="621" t="s">
        <v>47</v>
      </c>
      <c r="F148" s="424" t="s">
        <v>48</v>
      </c>
      <c r="G148" s="1432">
        <f>'Available Stocks'!$K$62</f>
        <v>60</v>
      </c>
      <c r="H148" s="424">
        <f>'Available Stocks'!L62</f>
        <v>4</v>
      </c>
      <c r="I148" s="622"/>
    </row>
    <row r="149" spans="2:9" ht="13.5" thickBot="1" x14ac:dyDescent="0.25">
      <c r="B149" s="623"/>
      <c r="C149" s="624"/>
      <c r="D149" s="624"/>
      <c r="E149" s="623"/>
      <c r="F149" s="623"/>
      <c r="G149" s="623"/>
      <c r="H149" s="623"/>
    </row>
    <row r="150" spans="2:9" ht="13.5" thickBot="1" x14ac:dyDescent="0.25">
      <c r="B150" s="2165" t="str">
        <f>'TRAD-Children YEAR(1)'!B75</f>
        <v>Si enfant de 6 - 7 kg (pris en compte pour la tranche 3 - 9,9 kg)</v>
      </c>
      <c r="C150" s="2166"/>
      <c r="D150" s="2166"/>
      <c r="E150" s="2166"/>
      <c r="F150" s="2166"/>
      <c r="G150" s="2166"/>
      <c r="H150" s="2167"/>
    </row>
    <row r="151" spans="2:9" ht="13.5" thickBot="1" x14ac:dyDescent="0.25">
      <c r="B151" s="625"/>
      <c r="C151" s="624"/>
      <c r="D151" s="624"/>
      <c r="E151" s="623"/>
      <c r="F151" s="623"/>
      <c r="G151" s="623"/>
      <c r="H151" s="623"/>
    </row>
    <row r="152" spans="2:9" ht="51.75" thickBot="1" x14ac:dyDescent="0.25">
      <c r="C152" s="368"/>
      <c r="D152" s="369" t="str">
        <f>'TRAD-Children YEAR(1)'!B76</f>
        <v>volume (mL) / jour</v>
      </c>
      <c r="E152" s="369" t="str">
        <f>'TRAD-Children YEAR(1)'!B77</f>
        <v>volume (mL) / mois</v>
      </c>
      <c r="F152" s="369" t="str">
        <f>'TRAD-Children YEAR(1)'!B78</f>
        <v>volume flacon (mL)</v>
      </c>
      <c r="G152" s="369" t="str">
        <f>'TRAD-Children YEAR(1)'!B79</f>
        <v>nb de flacons / mois</v>
      </c>
      <c r="H152" s="369" t="str">
        <f>'TRAD-Children YEAR(1)'!B80</f>
        <v>nb de flacons / mois arrondi</v>
      </c>
      <c r="I152" s="369" t="str">
        <f>'TRAD-Children YEAR(1)'!B81</f>
        <v>reste (mL)</v>
      </c>
    </row>
    <row r="153" spans="2:9" x14ac:dyDescent="0.2">
      <c r="C153" s="607" t="s">
        <v>39</v>
      </c>
      <c r="D153" s="1434">
        <f>'Data &amp; hypothesis Children'!D195</f>
        <v>18</v>
      </c>
      <c r="E153" s="626">
        <f t="shared" ref="E153:E160" si="38">D153*30</f>
        <v>540</v>
      </c>
      <c r="F153" s="1428">
        <f>'Available Stocks'!$K$55</f>
        <v>240</v>
      </c>
      <c r="G153" s="627">
        <f t="shared" ref="G153:G160" si="39">E153/F153</f>
        <v>2.25</v>
      </c>
      <c r="H153" s="627">
        <f t="shared" ref="H153:H160" si="40">ROUNDUP(E153/F153, 0)</f>
        <v>3</v>
      </c>
      <c r="I153" s="628">
        <f t="shared" ref="I153:I160" si="41">H153*F153-E153</f>
        <v>180</v>
      </c>
    </row>
    <row r="154" spans="2:9" x14ac:dyDescent="0.2">
      <c r="C154" s="615" t="s">
        <v>61</v>
      </c>
      <c r="D154" s="1435">
        <f>'Data &amp; hypothesis Children'!D196</f>
        <v>14</v>
      </c>
      <c r="E154" s="629">
        <f t="shared" si="38"/>
        <v>420</v>
      </c>
      <c r="F154" s="1429">
        <f>'Available Stocks'!$K$56</f>
        <v>240</v>
      </c>
      <c r="G154" s="630">
        <f t="shared" si="39"/>
        <v>1.75</v>
      </c>
      <c r="H154" s="630">
        <f t="shared" si="40"/>
        <v>2</v>
      </c>
      <c r="I154" s="631">
        <f t="shared" si="41"/>
        <v>60</v>
      </c>
    </row>
    <row r="155" spans="2:9" x14ac:dyDescent="0.2">
      <c r="C155" s="615" t="s">
        <v>15</v>
      </c>
      <c r="D155" s="1435">
        <f>'Data &amp; hypothesis Children'!D197</f>
        <v>8</v>
      </c>
      <c r="E155" s="629">
        <f t="shared" si="38"/>
        <v>240</v>
      </c>
      <c r="F155" s="1430">
        <f>'Available Stocks'!$K$57</f>
        <v>240</v>
      </c>
      <c r="G155" s="630">
        <f t="shared" si="39"/>
        <v>1</v>
      </c>
      <c r="H155" s="630">
        <f t="shared" si="40"/>
        <v>1</v>
      </c>
      <c r="I155" s="631">
        <f t="shared" si="41"/>
        <v>0</v>
      </c>
    </row>
    <row r="156" spans="2:9" x14ac:dyDescent="0.2">
      <c r="C156" s="615" t="s">
        <v>25</v>
      </c>
      <c r="D156" s="1435">
        <f>'Data &amp; hypothesis Children'!D198</f>
        <v>6</v>
      </c>
      <c r="E156" s="629">
        <f t="shared" si="38"/>
        <v>180</v>
      </c>
      <c r="F156" s="1430">
        <f>'Available Stocks'!$K$58</f>
        <v>240</v>
      </c>
      <c r="G156" s="630">
        <f t="shared" si="39"/>
        <v>0.75</v>
      </c>
      <c r="H156" s="630">
        <f t="shared" si="40"/>
        <v>1</v>
      </c>
      <c r="I156" s="631">
        <f t="shared" si="41"/>
        <v>60</v>
      </c>
    </row>
    <row r="157" spans="2:9" x14ac:dyDescent="0.2">
      <c r="C157" s="615" t="s">
        <v>28</v>
      </c>
      <c r="D157" s="1435">
        <f>'Data &amp; hypothesis Children'!D199</f>
        <v>10</v>
      </c>
      <c r="E157" s="629">
        <f t="shared" si="38"/>
        <v>300</v>
      </c>
      <c r="F157" s="1430">
        <f>'Available Stocks'!$K$59</f>
        <v>200</v>
      </c>
      <c r="G157" s="632">
        <f t="shared" si="39"/>
        <v>1.5</v>
      </c>
      <c r="H157" s="632">
        <f t="shared" si="40"/>
        <v>2</v>
      </c>
      <c r="I157" s="633">
        <f t="shared" si="41"/>
        <v>100</v>
      </c>
    </row>
    <row r="158" spans="2:9" x14ac:dyDescent="0.2">
      <c r="C158" s="634" t="s">
        <v>19</v>
      </c>
      <c r="D158" s="1435">
        <f>'Data &amp; hypothesis Children'!D200</f>
        <v>14</v>
      </c>
      <c r="E158" s="629">
        <f t="shared" si="38"/>
        <v>420</v>
      </c>
      <c r="F158" s="1430">
        <f>'Available Stocks'!$K$60</f>
        <v>240</v>
      </c>
      <c r="G158" s="630">
        <f t="shared" si="39"/>
        <v>1.75</v>
      </c>
      <c r="H158" s="630">
        <f t="shared" si="40"/>
        <v>2</v>
      </c>
      <c r="I158" s="631">
        <f t="shared" si="41"/>
        <v>60</v>
      </c>
    </row>
    <row r="159" spans="2:9" x14ac:dyDescent="0.2">
      <c r="C159" s="634" t="s">
        <v>17</v>
      </c>
      <c r="D159" s="1435">
        <f>'Data &amp; hypothesis Children'!D201</f>
        <v>0</v>
      </c>
      <c r="E159" s="629">
        <f t="shared" si="38"/>
        <v>0</v>
      </c>
      <c r="F159" s="1431">
        <f>'Available Stocks'!$K$61</f>
        <v>180</v>
      </c>
      <c r="G159" s="630">
        <f t="shared" si="39"/>
        <v>0</v>
      </c>
      <c r="H159" s="630">
        <f t="shared" si="40"/>
        <v>0</v>
      </c>
      <c r="I159" s="631">
        <f t="shared" si="41"/>
        <v>0</v>
      </c>
    </row>
    <row r="160" spans="2:9" ht="13.5" thickBot="1" x14ac:dyDescent="0.25">
      <c r="C160" s="609" t="s">
        <v>33</v>
      </c>
      <c r="D160" s="1436">
        <f>'Data &amp; hypothesis Children'!D202</f>
        <v>3</v>
      </c>
      <c r="E160" s="635">
        <f t="shared" si="38"/>
        <v>90</v>
      </c>
      <c r="F160" s="1432">
        <f>'Available Stocks'!$K$62</f>
        <v>60</v>
      </c>
      <c r="G160" s="636">
        <f t="shared" si="39"/>
        <v>1.5</v>
      </c>
      <c r="H160" s="636">
        <f t="shared" si="40"/>
        <v>2</v>
      </c>
      <c r="I160" s="637">
        <f t="shared" si="41"/>
        <v>30</v>
      </c>
    </row>
    <row r="161" spans="2:9" x14ac:dyDescent="0.2">
      <c r="B161" s="623"/>
      <c r="C161" s="624"/>
      <c r="D161" s="624"/>
      <c r="E161" s="623"/>
      <c r="F161" s="623"/>
      <c r="G161" s="623"/>
      <c r="H161" s="623"/>
    </row>
    <row r="162" spans="2:9" ht="13.5" thickBot="1" x14ac:dyDescent="0.25">
      <c r="B162" s="623"/>
      <c r="C162" s="624"/>
      <c r="D162" s="624"/>
      <c r="E162" s="623"/>
      <c r="F162" s="623"/>
      <c r="G162" s="623"/>
      <c r="H162" s="623"/>
    </row>
    <row r="163" spans="2:9" ht="13.5" thickBot="1" x14ac:dyDescent="0.25">
      <c r="B163" s="2165" t="str">
        <f>'TRAD-Children YEAR(1)'!B82</f>
        <v>Si enfant de 12 - 14 kg (pris en compte pour la tranche 10 - 14,9 kg)</v>
      </c>
      <c r="C163" s="2166"/>
      <c r="D163" s="2166"/>
      <c r="E163" s="2166"/>
      <c r="F163" s="2166"/>
      <c r="G163" s="2166"/>
      <c r="H163" s="2167"/>
    </row>
    <row r="164" spans="2:9" ht="13.5" thickBot="1" x14ac:dyDescent="0.25">
      <c r="B164" s="623"/>
      <c r="C164" s="624"/>
      <c r="D164" s="624"/>
      <c r="E164" s="623"/>
      <c r="F164" s="623"/>
      <c r="G164" s="623"/>
      <c r="H164" s="623"/>
    </row>
    <row r="165" spans="2:9" ht="51.75" thickBot="1" x14ac:dyDescent="0.25">
      <c r="C165" s="368"/>
      <c r="D165" s="369" t="str">
        <f>'TRAD-Children YEAR(1)'!B76</f>
        <v>volume (mL) / jour</v>
      </c>
      <c r="E165" s="369" t="str">
        <f>'TRAD-Children YEAR(1)'!B77</f>
        <v>volume (mL) / mois</v>
      </c>
      <c r="F165" s="369" t="str">
        <f>'TRAD-Children YEAR(1)'!B78</f>
        <v>volume flacon (mL)</v>
      </c>
      <c r="G165" s="369" t="str">
        <f>'TRAD-Children YEAR(1)'!B79</f>
        <v>nb de flacons / mois</v>
      </c>
      <c r="H165" s="369" t="str">
        <f>'TRAD-Children YEAR(1)'!B80</f>
        <v>nb de flacons / mois arrondi</v>
      </c>
      <c r="I165" s="369" t="str">
        <f>'TRAD-Children YEAR(1)'!B81</f>
        <v>reste (mL)</v>
      </c>
    </row>
    <row r="166" spans="2:9" x14ac:dyDescent="0.2">
      <c r="C166" s="607" t="s">
        <v>39</v>
      </c>
      <c r="D166" s="1434">
        <f>'Data &amp; hypothesis Children'!D210</f>
        <v>24</v>
      </c>
      <c r="E166" s="626">
        <f t="shared" ref="E166:E173" si="42">D166*30</f>
        <v>720</v>
      </c>
      <c r="F166" s="1428">
        <f>'Available Stocks'!$K$55</f>
        <v>240</v>
      </c>
      <c r="G166" s="627">
        <f t="shared" ref="G166:G173" si="43">E166/F166</f>
        <v>3</v>
      </c>
      <c r="H166" s="627">
        <f t="shared" ref="H166:H173" si="44">ROUNDUP(E166/F166, 0)</f>
        <v>3</v>
      </c>
      <c r="I166" s="628">
        <f t="shared" ref="I166:I173" si="45">H166*F166-E166</f>
        <v>0</v>
      </c>
    </row>
    <row r="167" spans="2:9" x14ac:dyDescent="0.2">
      <c r="C167" s="615" t="s">
        <v>61</v>
      </c>
      <c r="D167" s="1435">
        <f>'Data &amp; hypothesis Children'!D211</f>
        <v>24</v>
      </c>
      <c r="E167" s="629">
        <f t="shared" si="42"/>
        <v>720</v>
      </c>
      <c r="F167" s="1429">
        <f>'Available Stocks'!$K$56</f>
        <v>240</v>
      </c>
      <c r="G167" s="630">
        <f t="shared" si="43"/>
        <v>3</v>
      </c>
      <c r="H167" s="630">
        <f t="shared" si="44"/>
        <v>3</v>
      </c>
      <c r="I167" s="631">
        <f t="shared" si="45"/>
        <v>0</v>
      </c>
    </row>
    <row r="168" spans="2:9" x14ac:dyDescent="0.2">
      <c r="C168" s="615" t="s">
        <v>15</v>
      </c>
      <c r="D168" s="1435">
        <f>'Data &amp; hypothesis Children'!D212</f>
        <v>12</v>
      </c>
      <c r="E168" s="629">
        <f t="shared" si="42"/>
        <v>360</v>
      </c>
      <c r="F168" s="1430">
        <f>'Available Stocks'!$K$57</f>
        <v>240</v>
      </c>
      <c r="G168" s="630">
        <f t="shared" si="43"/>
        <v>1.5</v>
      </c>
      <c r="H168" s="630">
        <f t="shared" si="44"/>
        <v>2</v>
      </c>
      <c r="I168" s="631">
        <f t="shared" si="45"/>
        <v>120</v>
      </c>
    </row>
    <row r="169" spans="2:9" x14ac:dyDescent="0.2">
      <c r="C169" s="615" t="s">
        <v>25</v>
      </c>
      <c r="D169" s="1435">
        <f>'Data &amp; hypothesis Children'!D213</f>
        <v>12</v>
      </c>
      <c r="E169" s="629">
        <f t="shared" si="42"/>
        <v>360</v>
      </c>
      <c r="F169" s="1430">
        <f>'Available Stocks'!$K$58</f>
        <v>240</v>
      </c>
      <c r="G169" s="630">
        <f t="shared" si="43"/>
        <v>1.5</v>
      </c>
      <c r="H169" s="630">
        <f t="shared" si="44"/>
        <v>2</v>
      </c>
      <c r="I169" s="631">
        <f t="shared" si="45"/>
        <v>120</v>
      </c>
    </row>
    <row r="170" spans="2:9" x14ac:dyDescent="0.2">
      <c r="C170" s="615" t="s">
        <v>28</v>
      </c>
      <c r="D170" s="1435">
        <f>'Data &amp; hypothesis Children'!D214</f>
        <v>14</v>
      </c>
      <c r="E170" s="629">
        <f t="shared" si="42"/>
        <v>420</v>
      </c>
      <c r="F170" s="1430">
        <f>'Available Stocks'!$K$59</f>
        <v>200</v>
      </c>
      <c r="G170" s="632">
        <f t="shared" si="43"/>
        <v>2.1</v>
      </c>
      <c r="H170" s="632">
        <f t="shared" si="44"/>
        <v>3</v>
      </c>
      <c r="I170" s="633">
        <f t="shared" si="45"/>
        <v>180</v>
      </c>
    </row>
    <row r="171" spans="2:9" x14ac:dyDescent="0.2">
      <c r="C171" s="634" t="s">
        <v>19</v>
      </c>
      <c r="D171" s="1435">
        <f>'Data &amp; hypothesis Children'!D215</f>
        <v>20</v>
      </c>
      <c r="E171" s="629">
        <f t="shared" si="42"/>
        <v>600</v>
      </c>
      <c r="F171" s="1430">
        <f>'Available Stocks'!$K$60</f>
        <v>240</v>
      </c>
      <c r="G171" s="630">
        <f t="shared" si="43"/>
        <v>2.5</v>
      </c>
      <c r="H171" s="630">
        <f t="shared" si="44"/>
        <v>3</v>
      </c>
      <c r="I171" s="631">
        <f t="shared" si="45"/>
        <v>120</v>
      </c>
    </row>
    <row r="172" spans="2:9" x14ac:dyDescent="0.2">
      <c r="C172" s="634" t="s">
        <v>17</v>
      </c>
      <c r="D172" s="1435">
        <f>'Data &amp; hypothesis Children'!D216</f>
        <v>7</v>
      </c>
      <c r="E172" s="629">
        <f t="shared" si="42"/>
        <v>210</v>
      </c>
      <c r="F172" s="1431">
        <f>'Available Stocks'!$K$61</f>
        <v>180</v>
      </c>
      <c r="G172" s="630">
        <f>E172/F172</f>
        <v>1.1666666666666667</v>
      </c>
      <c r="H172" s="630">
        <f>ROUNDUP(E172/F172, 0)</f>
        <v>2</v>
      </c>
      <c r="I172" s="631">
        <f t="shared" si="45"/>
        <v>150</v>
      </c>
    </row>
    <row r="173" spans="2:9" ht="13.5" thickBot="1" x14ac:dyDescent="0.25">
      <c r="C173" s="609" t="s">
        <v>33</v>
      </c>
      <c r="D173" s="1436">
        <f>'Data &amp; hypothesis Children'!D217</f>
        <v>4</v>
      </c>
      <c r="E173" s="635">
        <f t="shared" si="42"/>
        <v>120</v>
      </c>
      <c r="F173" s="1432">
        <f>'Available Stocks'!$K$62</f>
        <v>60</v>
      </c>
      <c r="G173" s="636">
        <f t="shared" si="43"/>
        <v>2</v>
      </c>
      <c r="H173" s="636">
        <f t="shared" si="44"/>
        <v>2</v>
      </c>
      <c r="I173" s="637">
        <f t="shared" si="45"/>
        <v>0</v>
      </c>
    </row>
    <row r="174" spans="2:9" x14ac:dyDescent="0.2">
      <c r="B174" s="623"/>
      <c r="C174" s="624"/>
      <c r="D174" s="624"/>
      <c r="E174" s="623"/>
      <c r="F174" s="623"/>
      <c r="G174" s="623"/>
      <c r="H174" s="623"/>
    </row>
    <row r="175" spans="2:9" ht="13.5" thickBot="1" x14ac:dyDescent="0.25"/>
    <row r="176" spans="2:9" ht="13.5" thickBot="1" x14ac:dyDescent="0.25">
      <c r="B176" s="2165" t="str">
        <f>'TRAD-Children YEAR(1)'!B83</f>
        <v>Si enfant de 15 - 19,9 kg (pris en compte pour la tranche 17 - 19,9 kg)</v>
      </c>
      <c r="C176" s="2166"/>
      <c r="D176" s="2166"/>
      <c r="E176" s="2166"/>
      <c r="F176" s="2166"/>
      <c r="G176" s="2166"/>
      <c r="H176" s="2167"/>
    </row>
    <row r="177" spans="2:9" ht="13.5" thickBot="1" x14ac:dyDescent="0.25">
      <c r="B177" s="623"/>
      <c r="C177" s="624"/>
      <c r="D177" s="624"/>
      <c r="E177" s="623"/>
      <c r="F177" s="623"/>
      <c r="G177" s="623"/>
      <c r="H177" s="623"/>
    </row>
    <row r="178" spans="2:9" ht="51.75" thickBot="1" x14ac:dyDescent="0.25">
      <c r="C178" s="368"/>
      <c r="D178" s="369" t="str">
        <f>'TRAD-Children YEAR(1)'!B76</f>
        <v>volume (mL) / jour</v>
      </c>
      <c r="E178" s="369" t="str">
        <f>'TRAD-Children YEAR(1)'!B77</f>
        <v>volume (mL) / mois</v>
      </c>
      <c r="F178" s="369" t="str">
        <f>'TRAD-Children YEAR(1)'!B78</f>
        <v>volume flacon (mL)</v>
      </c>
      <c r="G178" s="369" t="str">
        <f>'TRAD-Children YEAR(1)'!B79</f>
        <v>nb de flacons / mois</v>
      </c>
      <c r="H178" s="369" t="str">
        <f>'TRAD-Children YEAR(1)'!B80</f>
        <v>nb de flacons / mois arrondi</v>
      </c>
      <c r="I178" s="369" t="str">
        <f>'TRAD-Children YEAR(1)'!B81</f>
        <v>reste (mL)</v>
      </c>
    </row>
    <row r="179" spans="2:9" x14ac:dyDescent="0.2">
      <c r="C179" s="607" t="s">
        <v>39</v>
      </c>
      <c r="D179" s="1434">
        <f>'Data &amp; hypothesis Children'!D223</f>
        <v>30</v>
      </c>
      <c r="E179" s="626">
        <f t="shared" ref="E179:E186" si="46">D179*30</f>
        <v>900</v>
      </c>
      <c r="F179" s="1428">
        <f>'Available Stocks'!$K$55</f>
        <v>240</v>
      </c>
      <c r="G179" s="627">
        <f t="shared" ref="G179:G184" si="47">E179/F179</f>
        <v>3.75</v>
      </c>
      <c r="H179" s="627">
        <f t="shared" ref="H179:H184" si="48">ROUNDUP(E179/F179, 0)</f>
        <v>4</v>
      </c>
      <c r="I179" s="628">
        <f t="shared" ref="I179:I186" si="49">H179*F179-E179</f>
        <v>60</v>
      </c>
    </row>
    <row r="180" spans="2:9" x14ac:dyDescent="0.2">
      <c r="C180" s="615" t="s">
        <v>61</v>
      </c>
      <c r="D180" s="1435">
        <f>'Data &amp; hypothesis Children'!D224</f>
        <v>30</v>
      </c>
      <c r="E180" s="629">
        <f t="shared" si="46"/>
        <v>900</v>
      </c>
      <c r="F180" s="1429">
        <f>'Available Stocks'!$K$56</f>
        <v>240</v>
      </c>
      <c r="G180" s="630">
        <f t="shared" si="47"/>
        <v>3.75</v>
      </c>
      <c r="H180" s="630">
        <f t="shared" si="48"/>
        <v>4</v>
      </c>
      <c r="I180" s="631">
        <f t="shared" si="49"/>
        <v>60</v>
      </c>
    </row>
    <row r="181" spans="2:9" x14ac:dyDescent="0.2">
      <c r="C181" s="615" t="s">
        <v>15</v>
      </c>
      <c r="D181" s="1435">
        <f>'Data &amp; hypothesis Children'!D225</f>
        <v>15</v>
      </c>
      <c r="E181" s="629">
        <f t="shared" si="46"/>
        <v>450</v>
      </c>
      <c r="F181" s="1430">
        <f>'Available Stocks'!$K$57</f>
        <v>240</v>
      </c>
      <c r="G181" s="630">
        <f t="shared" si="47"/>
        <v>1.875</v>
      </c>
      <c r="H181" s="630">
        <f t="shared" si="48"/>
        <v>2</v>
      </c>
      <c r="I181" s="631">
        <f t="shared" si="49"/>
        <v>30</v>
      </c>
    </row>
    <row r="182" spans="2:9" x14ac:dyDescent="0.2">
      <c r="C182" s="615" t="s">
        <v>25</v>
      </c>
      <c r="D182" s="1435">
        <f>'Data &amp; hypothesis Children'!D226</f>
        <v>15</v>
      </c>
      <c r="E182" s="629">
        <f t="shared" si="46"/>
        <v>450</v>
      </c>
      <c r="F182" s="1430">
        <f>'Available Stocks'!$K$58</f>
        <v>240</v>
      </c>
      <c r="G182" s="630">
        <f t="shared" si="47"/>
        <v>1.875</v>
      </c>
      <c r="H182" s="630">
        <f t="shared" si="48"/>
        <v>2</v>
      </c>
      <c r="I182" s="631">
        <f t="shared" si="49"/>
        <v>30</v>
      </c>
    </row>
    <row r="183" spans="2:9" x14ac:dyDescent="0.2">
      <c r="C183" s="615" t="s">
        <v>28</v>
      </c>
      <c r="D183" s="1435">
        <f>'Data &amp; hypothesis Children'!D227</f>
        <v>20</v>
      </c>
      <c r="E183" s="629">
        <f t="shared" si="46"/>
        <v>600</v>
      </c>
      <c r="F183" s="1430">
        <f>'Available Stocks'!$K$59</f>
        <v>200</v>
      </c>
      <c r="G183" s="632">
        <f t="shared" si="47"/>
        <v>3</v>
      </c>
      <c r="H183" s="632">
        <f t="shared" si="48"/>
        <v>3</v>
      </c>
      <c r="I183" s="633">
        <f t="shared" si="49"/>
        <v>0</v>
      </c>
    </row>
    <row r="184" spans="2:9" x14ac:dyDescent="0.2">
      <c r="C184" s="634" t="s">
        <v>19</v>
      </c>
      <c r="D184" s="1435">
        <f>'Data &amp; hypothesis Children'!D228</f>
        <v>24</v>
      </c>
      <c r="E184" s="629">
        <f t="shared" si="46"/>
        <v>720</v>
      </c>
      <c r="F184" s="1430">
        <f>'Available Stocks'!$K$60</f>
        <v>240</v>
      </c>
      <c r="G184" s="630">
        <f t="shared" si="47"/>
        <v>3</v>
      </c>
      <c r="H184" s="630">
        <f t="shared" si="48"/>
        <v>3</v>
      </c>
      <c r="I184" s="631">
        <f t="shared" si="49"/>
        <v>0</v>
      </c>
    </row>
    <row r="185" spans="2:9" x14ac:dyDescent="0.2">
      <c r="C185" s="634" t="s">
        <v>17</v>
      </c>
      <c r="D185" s="1435">
        <f>'Data &amp; hypothesis Children'!D229</f>
        <v>13</v>
      </c>
      <c r="E185" s="629">
        <f t="shared" si="46"/>
        <v>390</v>
      </c>
      <c r="F185" s="1431">
        <f>'Available Stocks'!$K$61</f>
        <v>180</v>
      </c>
      <c r="G185" s="630">
        <f>E185/F185</f>
        <v>2.1666666666666665</v>
      </c>
      <c r="H185" s="630">
        <f>ROUNDUP(E185/F185, 0)</f>
        <v>3</v>
      </c>
      <c r="I185" s="631">
        <f t="shared" si="49"/>
        <v>150</v>
      </c>
    </row>
    <row r="186" spans="2:9" ht="13.5" thickBot="1" x14ac:dyDescent="0.25">
      <c r="C186" s="609" t="s">
        <v>33</v>
      </c>
      <c r="D186" s="1436">
        <f>'Data &amp; hypothesis Children'!D230</f>
        <v>5</v>
      </c>
      <c r="E186" s="635">
        <f t="shared" si="46"/>
        <v>150</v>
      </c>
      <c r="F186" s="1432">
        <f>'Available Stocks'!$K$62</f>
        <v>60</v>
      </c>
      <c r="G186" s="636">
        <f t="shared" ref="G186" si="50">E186/F186</f>
        <v>2.5</v>
      </c>
      <c r="H186" s="636">
        <f t="shared" ref="H186" si="51">ROUNDUP(E186/F186, 0)</f>
        <v>3</v>
      </c>
      <c r="I186" s="637">
        <f t="shared" si="49"/>
        <v>30</v>
      </c>
    </row>
    <row r="188" spans="2:9" ht="13.5" thickBot="1" x14ac:dyDescent="0.25"/>
    <row r="189" spans="2:9" ht="13.5" thickBot="1" x14ac:dyDescent="0.25">
      <c r="B189" s="2184" t="str">
        <f>'TRAD-Children YEAR(1)'!B84</f>
        <v>Si enfant &gt; 15 kg pouvant recevoir des formes adultes</v>
      </c>
      <c r="C189" s="2185"/>
      <c r="D189" s="2185"/>
      <c r="E189" s="2185"/>
      <c r="F189" s="2185"/>
      <c r="G189" s="2185"/>
      <c r="H189" s="2186"/>
    </row>
    <row r="191" spans="2:9" ht="13.5" thickBot="1" x14ac:dyDescent="0.25">
      <c r="D191" s="2168" t="str">
        <f>'TRAD-Children YEAR(1)'!B86</f>
        <v>Poids envisagés</v>
      </c>
      <c r="E191" s="2168"/>
      <c r="F191" s="2168"/>
      <c r="G191" s="2168"/>
    </row>
    <row r="192" spans="2:9" ht="13.5" thickBot="1" x14ac:dyDescent="0.25">
      <c r="C192" s="368" t="str">
        <f>'TRAD-Children YEAR(1)'!B85</f>
        <v>Formes adultes</v>
      </c>
      <c r="E192" s="838" t="s">
        <v>206</v>
      </c>
      <c r="F192" s="838" t="s">
        <v>207</v>
      </c>
      <c r="G192" s="838" t="s">
        <v>208</v>
      </c>
      <c r="H192" s="838" t="s">
        <v>112</v>
      </c>
    </row>
    <row r="193" spans="3:10" ht="13.5" customHeight="1" thickBot="1" x14ac:dyDescent="0.25">
      <c r="C193" s="2181" t="str">
        <f>'TRAD-Children YEAR(1)'!B87</f>
        <v>Nb de boites / mois / patient</v>
      </c>
      <c r="D193" s="2182"/>
      <c r="E193" s="2182"/>
      <c r="F193" s="2182"/>
      <c r="G193" s="2183"/>
    </row>
    <row r="194" spans="3:10" x14ac:dyDescent="0.2">
      <c r="C194" s="849" t="str">
        <f t="array" ref="C194:H216">'Data &amp; hypothesis Children'!$C$238:$H$260</f>
        <v>AZT+ 3TC+ NVP adulte</v>
      </c>
      <c r="D194" s="1172" t="str">
        <v>300/150/200 mg</v>
      </c>
      <c r="E194" s="1433">
        <v>0</v>
      </c>
      <c r="F194" s="1433">
        <v>0</v>
      </c>
      <c r="G194" s="1433">
        <v>1</v>
      </c>
      <c r="H194" s="1433">
        <v>1</v>
      </c>
      <c r="I194" s="849"/>
      <c r="J194" s="1172"/>
    </row>
    <row r="195" spans="3:10" x14ac:dyDescent="0.2">
      <c r="C195" s="849" t="str">
        <v>AZT+ 3TC+ NVP bébé</v>
      </c>
      <c r="D195" s="1172" t="str">
        <v>60/30/50 mg</v>
      </c>
      <c r="E195" s="1433">
        <v>1.5</v>
      </c>
      <c r="F195" s="1433">
        <v>2</v>
      </c>
      <c r="G195" s="1433">
        <v>2.5</v>
      </c>
      <c r="H195" s="1433">
        <v>3</v>
      </c>
      <c r="I195" s="639"/>
      <c r="J195" s="1172"/>
    </row>
    <row r="196" spans="3:10" x14ac:dyDescent="0.2">
      <c r="C196" s="849" t="str">
        <v>AZT+ 3TC adulte</v>
      </c>
      <c r="D196" s="1172" t="str">
        <v>300/150 mg</v>
      </c>
      <c r="E196" s="1433">
        <v>0</v>
      </c>
      <c r="F196" s="1433">
        <v>0</v>
      </c>
      <c r="G196" s="1433">
        <v>1</v>
      </c>
      <c r="H196" s="1433">
        <v>1</v>
      </c>
      <c r="I196" s="849"/>
      <c r="J196" s="1172"/>
    </row>
    <row r="197" spans="3:10" x14ac:dyDescent="0.2">
      <c r="C197" s="849" t="str">
        <v>AZT+ 3TC bébé</v>
      </c>
      <c r="D197" s="1172" t="str">
        <v>60/30 mg</v>
      </c>
      <c r="E197" s="1433">
        <v>1.5</v>
      </c>
      <c r="F197" s="1433">
        <v>2</v>
      </c>
      <c r="G197" s="1433">
        <v>2.5</v>
      </c>
      <c r="H197" s="1433">
        <v>3</v>
      </c>
      <c r="I197" s="849"/>
      <c r="J197" s="1172"/>
    </row>
    <row r="198" spans="3:10" x14ac:dyDescent="0.2">
      <c r="C198" s="849" t="str">
        <v>D4T+ 3TC+ NVP adulte</v>
      </c>
      <c r="D198" s="1172" t="str">
        <v>30/150/200 mg</v>
      </c>
      <c r="E198" s="1433">
        <v>0</v>
      </c>
      <c r="F198" s="1433">
        <v>0</v>
      </c>
      <c r="G198" s="1433">
        <v>1</v>
      </c>
      <c r="H198" s="1433">
        <v>1</v>
      </c>
      <c r="I198" s="639"/>
      <c r="J198" s="1172"/>
    </row>
    <row r="199" spans="3:10" x14ac:dyDescent="0.2">
      <c r="C199" s="849" t="str">
        <v>D4T+ 3TC+ NVP bébé</v>
      </c>
      <c r="D199" s="1172" t="str">
        <v>6/30/50 mg</v>
      </c>
      <c r="E199" s="1433">
        <v>1.5</v>
      </c>
      <c r="F199" s="1433">
        <v>2</v>
      </c>
      <c r="G199" s="1433">
        <v>2.5</v>
      </c>
      <c r="H199" s="1433">
        <v>3</v>
      </c>
      <c r="I199" s="638"/>
      <c r="J199" s="1172"/>
    </row>
    <row r="200" spans="3:10" x14ac:dyDescent="0.2">
      <c r="C200" s="849" t="str">
        <v>D4T+ 3TC bébé</v>
      </c>
      <c r="D200" s="1172" t="str">
        <v>6/30 mg</v>
      </c>
      <c r="E200" s="1433">
        <v>1.5</v>
      </c>
      <c r="F200" s="1433">
        <v>2</v>
      </c>
      <c r="G200" s="1433">
        <v>2.5</v>
      </c>
      <c r="H200" s="1433">
        <v>3</v>
      </c>
      <c r="I200" s="638"/>
      <c r="J200" s="1172"/>
    </row>
    <row r="201" spans="3:10" x14ac:dyDescent="0.2">
      <c r="C201" s="849" t="str">
        <v>AZT+ 3TC+ ABC adulte</v>
      </c>
      <c r="D201" s="1172" t="str">
        <v>300/150/300 mg</v>
      </c>
      <c r="E201" s="1433">
        <v>0</v>
      </c>
      <c r="F201" s="1433">
        <v>0</v>
      </c>
      <c r="G201" s="1433">
        <v>1</v>
      </c>
      <c r="H201" s="1433">
        <v>1</v>
      </c>
      <c r="I201" s="849"/>
      <c r="J201" s="1172"/>
    </row>
    <row r="202" spans="3:10" x14ac:dyDescent="0.2">
      <c r="C202" s="849" t="str">
        <v>AZT+ 3TC+ ABC bébé</v>
      </c>
      <c r="D202" s="1172" t="str">
        <v>60/30/60 mg</v>
      </c>
      <c r="E202" s="1433">
        <v>1.5</v>
      </c>
      <c r="F202" s="1433">
        <v>2</v>
      </c>
      <c r="G202" s="1433">
        <v>2.5</v>
      </c>
      <c r="H202" s="1433">
        <v>3</v>
      </c>
      <c r="I202" s="849"/>
      <c r="J202" s="1172"/>
    </row>
    <row r="203" spans="3:10" x14ac:dyDescent="0.2">
      <c r="C203" s="849" t="str">
        <v>ABC+ 3TC adulte</v>
      </c>
      <c r="D203" s="1172" t="str">
        <v>600/300 mg</v>
      </c>
      <c r="E203" s="1433">
        <v>0</v>
      </c>
      <c r="F203" s="1433">
        <v>0</v>
      </c>
      <c r="G203" s="1433">
        <v>1</v>
      </c>
      <c r="H203" s="1433">
        <v>1</v>
      </c>
      <c r="I203" s="849"/>
      <c r="J203" s="1172"/>
    </row>
    <row r="204" spans="3:10" x14ac:dyDescent="0.2">
      <c r="C204" s="849" t="str">
        <v>ABC+ 3TC bébé</v>
      </c>
      <c r="D204" s="1172" t="str">
        <v>60/30 mg</v>
      </c>
      <c r="E204" s="1433">
        <v>1.5</v>
      </c>
      <c r="F204" s="1433">
        <v>2</v>
      </c>
      <c r="G204" s="1433">
        <v>2.5</v>
      </c>
      <c r="H204" s="1433">
        <v>3</v>
      </c>
      <c r="I204" s="849"/>
      <c r="J204" s="1172"/>
    </row>
    <row r="205" spans="3:10" x14ac:dyDescent="0.2">
      <c r="C205" s="849" t="str">
        <v>TDF+ FTC/3TC+ EFV adulte</v>
      </c>
      <c r="D205" s="1172" t="str">
        <v>300/200/600 mg</v>
      </c>
      <c r="E205" s="1433">
        <v>0</v>
      </c>
      <c r="F205" s="1433">
        <v>0</v>
      </c>
      <c r="G205" s="1433">
        <v>0</v>
      </c>
      <c r="H205" s="1433">
        <v>1</v>
      </c>
      <c r="I205" s="849"/>
      <c r="J205" s="1172"/>
    </row>
    <row r="206" spans="3:10" x14ac:dyDescent="0.2">
      <c r="C206" s="849" t="str">
        <v>TDF+ FTC/3TC adulte</v>
      </c>
      <c r="D206" s="1172" t="str">
        <v>300/200 mg</v>
      </c>
      <c r="E206" s="1433">
        <v>0</v>
      </c>
      <c r="F206" s="1433">
        <v>0</v>
      </c>
      <c r="G206" s="1433">
        <v>0</v>
      </c>
      <c r="H206" s="1433">
        <v>1</v>
      </c>
      <c r="I206" s="849"/>
      <c r="J206" s="1172"/>
    </row>
    <row r="207" spans="3:10" x14ac:dyDescent="0.2">
      <c r="C207" s="849" t="str">
        <v>TDF adulte</v>
      </c>
      <c r="D207" s="1172" t="str">
        <v>300 mg</v>
      </c>
      <c r="E207" s="1433">
        <v>0</v>
      </c>
      <c r="F207" s="1433">
        <v>0</v>
      </c>
      <c r="G207" s="1433">
        <v>0</v>
      </c>
      <c r="H207" s="1433">
        <v>1</v>
      </c>
      <c r="I207" s="849"/>
      <c r="J207" s="1172"/>
    </row>
    <row r="208" spans="3:10" x14ac:dyDescent="0.2">
      <c r="C208" s="849" t="str">
        <v>3TC adulte</v>
      </c>
      <c r="D208" s="1172" t="str">
        <v>150 mg</v>
      </c>
      <c r="E208" s="1433">
        <v>0</v>
      </c>
      <c r="F208" s="1433">
        <v>0</v>
      </c>
      <c r="G208" s="1433">
        <v>0.5</v>
      </c>
      <c r="H208" s="1433">
        <v>1</v>
      </c>
      <c r="I208" s="849"/>
      <c r="J208" s="1172"/>
    </row>
    <row r="209" spans="1:17" x14ac:dyDescent="0.2">
      <c r="C209" s="849" t="str">
        <v>ABC adulte</v>
      </c>
      <c r="D209" s="1172" t="str">
        <v>300 mg</v>
      </c>
      <c r="E209" s="1433">
        <v>0</v>
      </c>
      <c r="F209" s="1433">
        <v>0</v>
      </c>
      <c r="G209" s="1433">
        <v>0.5</v>
      </c>
      <c r="H209" s="1433">
        <v>1</v>
      </c>
      <c r="I209" s="849"/>
      <c r="J209" s="1172"/>
    </row>
    <row r="210" spans="1:17" x14ac:dyDescent="0.2">
      <c r="C210" s="849" t="str">
        <v>ABC bébé</v>
      </c>
      <c r="D210" s="1172" t="str">
        <v>60 mg</v>
      </c>
      <c r="E210" s="1433">
        <v>1.5</v>
      </c>
      <c r="F210" s="1433">
        <v>2</v>
      </c>
      <c r="G210" s="1433">
        <v>2.5</v>
      </c>
      <c r="H210" s="1433">
        <v>3</v>
      </c>
      <c r="I210" s="849"/>
      <c r="J210" s="1172"/>
    </row>
    <row r="211" spans="1:17" x14ac:dyDescent="0.2">
      <c r="C211" s="849" t="str">
        <v>DDI adulte</v>
      </c>
      <c r="D211" s="1172" t="str">
        <v>250 mg</v>
      </c>
      <c r="E211" s="1433">
        <v>0</v>
      </c>
      <c r="F211" s="1433">
        <v>0</v>
      </c>
      <c r="G211" s="1433">
        <v>0</v>
      </c>
      <c r="H211" s="1433">
        <v>1</v>
      </c>
      <c r="I211" s="849"/>
      <c r="J211" s="1172"/>
    </row>
    <row r="212" spans="1:17" x14ac:dyDescent="0.2">
      <c r="C212" s="850" t="str">
        <v>NVP adulte</v>
      </c>
      <c r="D212" s="1172" t="str">
        <v>200 mg</v>
      </c>
      <c r="E212" s="1433">
        <v>0</v>
      </c>
      <c r="F212" s="1433">
        <v>0</v>
      </c>
      <c r="G212" s="1433">
        <v>0.75</v>
      </c>
      <c r="H212" s="1433">
        <v>1</v>
      </c>
      <c r="I212" s="850"/>
      <c r="J212" s="1172"/>
    </row>
    <row r="213" spans="1:17" x14ac:dyDescent="0.2">
      <c r="C213" s="850" t="str">
        <v>NVP bébé</v>
      </c>
      <c r="D213" s="1172" t="str">
        <v>50 mg</v>
      </c>
      <c r="E213" s="1433">
        <v>1.5</v>
      </c>
      <c r="F213" s="1433">
        <v>2</v>
      </c>
      <c r="G213" s="1433">
        <v>2.5</v>
      </c>
      <c r="H213" s="1433">
        <v>3</v>
      </c>
      <c r="I213" s="850"/>
      <c r="J213" s="1172"/>
    </row>
    <row r="214" spans="1:17" x14ac:dyDescent="0.2">
      <c r="C214" s="850" t="str">
        <v>EFV enfant</v>
      </c>
      <c r="D214" s="1172" t="str">
        <v>200 mg</v>
      </c>
      <c r="E214" s="1433">
        <v>0</v>
      </c>
      <c r="F214" s="1433">
        <v>1</v>
      </c>
      <c r="G214" s="1433">
        <v>1.5</v>
      </c>
      <c r="H214" s="1433">
        <v>1.5</v>
      </c>
      <c r="I214" s="850"/>
      <c r="J214" s="1172"/>
    </row>
    <row r="215" spans="1:17" x14ac:dyDescent="0.2">
      <c r="C215" s="849" t="str">
        <v>LPV/r adulte</v>
      </c>
      <c r="D215" s="1172" t="str">
        <v>200/50 mg</v>
      </c>
      <c r="E215" s="1433">
        <v>0</v>
      </c>
      <c r="F215" s="1433">
        <v>0</v>
      </c>
      <c r="G215" s="1433">
        <v>0.5</v>
      </c>
      <c r="H215" s="1433">
        <v>0.5</v>
      </c>
      <c r="I215" s="849"/>
      <c r="J215" s="1172"/>
    </row>
    <row r="216" spans="1:17" ht="13.5" thickBot="1" x14ac:dyDescent="0.25">
      <c r="C216" s="849" t="str">
        <v>LPV/r enfant</v>
      </c>
      <c r="D216" s="1190" t="str">
        <v>100/25 mg</v>
      </c>
      <c r="E216" s="1433">
        <v>0</v>
      </c>
      <c r="F216" s="1433">
        <v>1.5</v>
      </c>
      <c r="G216" s="1433">
        <v>2</v>
      </c>
      <c r="H216" s="1433">
        <v>2</v>
      </c>
      <c r="I216" s="851"/>
      <c r="J216" s="1190"/>
    </row>
    <row r="217" spans="1:17" x14ac:dyDescent="0.2">
      <c r="C217" s="1356"/>
      <c r="D217" s="1357"/>
      <c r="E217" s="1357"/>
      <c r="F217" s="1357"/>
      <c r="G217" s="1357"/>
    </row>
    <row r="219" spans="1:17" s="1279" customFormat="1" ht="14.25" x14ac:dyDescent="0.2">
      <c r="B219" s="1343" t="str">
        <f>'TRAD-Children YEAR(1)'!B110</f>
        <v>Récapitulatif</v>
      </c>
      <c r="C219" s="1343"/>
      <c r="D219" s="1343"/>
      <c r="E219" s="1343"/>
      <c r="F219" s="1343"/>
      <c r="G219" s="1344"/>
      <c r="H219" s="1344"/>
      <c r="I219" s="1344"/>
      <c r="J219" s="1344"/>
      <c r="K219" s="1344"/>
      <c r="L219" s="1344"/>
      <c r="M219" s="1344"/>
      <c r="Q219" s="1345"/>
    </row>
    <row r="220" spans="1:17" s="1281" customFormat="1" x14ac:dyDescent="0.2">
      <c r="A220" s="1280"/>
    </row>
    <row r="221" spans="1:17" s="1281" customFormat="1" ht="13.5" thickBot="1" x14ac:dyDescent="0.25">
      <c r="A221" s="1280"/>
      <c r="D221" s="2180" t="str">
        <f>'TRAD-Children YEAR(1)'!B86</f>
        <v>Poids envisagés</v>
      </c>
      <c r="E221" s="2180"/>
      <c r="F221" s="2180"/>
      <c r="G221" s="2180"/>
    </row>
    <row r="222" spans="1:17" s="1281" customFormat="1" ht="13.5" thickBot="1" x14ac:dyDescent="0.25">
      <c r="A222" s="1280"/>
      <c r="C222" s="1346" t="str">
        <f>'TRAD-Children YEAR(1)'!B85</f>
        <v>Formes adultes</v>
      </c>
      <c r="D222" s="1347" t="s">
        <v>654</v>
      </c>
      <c r="E222" s="1347" t="s">
        <v>207</v>
      </c>
      <c r="F222" s="1347" t="s">
        <v>208</v>
      </c>
      <c r="G222" s="1348" t="s">
        <v>112</v>
      </c>
    </row>
    <row r="223" spans="1:17" s="1281" customFormat="1" ht="13.5" thickBot="1" x14ac:dyDescent="0.25">
      <c r="A223" s="1280"/>
      <c r="C223" s="2193" t="str">
        <f>'TRAD-Children YEAR(1)'!B87</f>
        <v>Nb de boites / mois / patient</v>
      </c>
      <c r="D223" s="2194"/>
      <c r="E223" s="2194"/>
      <c r="F223" s="2194"/>
      <c r="G223" s="2195"/>
    </row>
    <row r="224" spans="1:17" s="1281" customFormat="1" ht="13.5" thickBot="1" x14ac:dyDescent="0.25">
      <c r="A224" s="1280"/>
      <c r="B224" s="1396" t="str">
        <f>'TRAD-Children YEAR(1)'!B90</f>
        <v>Solutions buvables</v>
      </c>
      <c r="C224" s="1349" t="s">
        <v>39</v>
      </c>
      <c r="D224" s="1350">
        <f>G153</f>
        <v>2.25</v>
      </c>
      <c r="E224" s="1294">
        <f>G166</f>
        <v>3</v>
      </c>
      <c r="F224" s="1350">
        <f>G179</f>
        <v>3.75</v>
      </c>
      <c r="G224" s="1351"/>
    </row>
    <row r="225" spans="1:9" s="1281" customFormat="1" x14ac:dyDescent="0.2">
      <c r="A225" s="1280"/>
      <c r="C225" s="1352" t="s">
        <v>61</v>
      </c>
      <c r="D225" s="1350">
        <f t="shared" ref="D225:D231" si="52">G154</f>
        <v>1.75</v>
      </c>
      <c r="E225" s="1294">
        <f t="shared" ref="E225:E231" si="53">G167</f>
        <v>3</v>
      </c>
      <c r="F225" s="1350">
        <f t="shared" ref="F225:F231" si="54">G180</f>
        <v>3.75</v>
      </c>
      <c r="G225" s="1295"/>
    </row>
    <row r="226" spans="1:9" s="1281" customFormat="1" x14ac:dyDescent="0.2">
      <c r="A226" s="1280"/>
      <c r="C226" s="1349" t="s">
        <v>15</v>
      </c>
      <c r="D226" s="1350">
        <f t="shared" si="52"/>
        <v>1</v>
      </c>
      <c r="E226" s="1294">
        <f t="shared" si="53"/>
        <v>1.5</v>
      </c>
      <c r="F226" s="1350">
        <f t="shared" si="54"/>
        <v>1.875</v>
      </c>
      <c r="G226" s="1351"/>
    </row>
    <row r="227" spans="1:9" s="1281" customFormat="1" x14ac:dyDescent="0.2">
      <c r="A227" s="1280"/>
      <c r="C227" s="1349" t="s">
        <v>25</v>
      </c>
      <c r="D227" s="1350">
        <f t="shared" si="52"/>
        <v>0.75</v>
      </c>
      <c r="E227" s="1294">
        <f t="shared" si="53"/>
        <v>1.5</v>
      </c>
      <c r="F227" s="1350">
        <f t="shared" si="54"/>
        <v>1.875</v>
      </c>
      <c r="G227" s="1351"/>
    </row>
    <row r="228" spans="1:9" s="1281" customFormat="1" x14ac:dyDescent="0.2">
      <c r="A228" s="1280"/>
      <c r="C228" s="1349" t="s">
        <v>28</v>
      </c>
      <c r="D228" s="1350">
        <f t="shared" si="52"/>
        <v>1.5</v>
      </c>
      <c r="E228" s="1294">
        <f t="shared" si="53"/>
        <v>2.1</v>
      </c>
      <c r="F228" s="1350">
        <f t="shared" si="54"/>
        <v>3</v>
      </c>
      <c r="G228" s="1351"/>
    </row>
    <row r="229" spans="1:9" s="1281" customFormat="1" x14ac:dyDescent="0.2">
      <c r="A229" s="1280"/>
      <c r="C229" s="1349" t="s">
        <v>19</v>
      </c>
      <c r="D229" s="1350">
        <f t="shared" si="52"/>
        <v>1.75</v>
      </c>
      <c r="E229" s="1294">
        <f t="shared" si="53"/>
        <v>2.5</v>
      </c>
      <c r="F229" s="1350">
        <f t="shared" si="54"/>
        <v>3</v>
      </c>
      <c r="G229" s="1351"/>
    </row>
    <row r="230" spans="1:9" s="1281" customFormat="1" x14ac:dyDescent="0.2">
      <c r="A230" s="1280"/>
      <c r="C230" s="1349" t="s">
        <v>17</v>
      </c>
      <c r="D230" s="1353"/>
      <c r="E230" s="1294">
        <f t="shared" si="53"/>
        <v>1.1666666666666667</v>
      </c>
      <c r="F230" s="1350">
        <f t="shared" si="54"/>
        <v>2.1666666666666665</v>
      </c>
      <c r="G230" s="1351">
        <v>2.5</v>
      </c>
    </row>
    <row r="231" spans="1:9" s="1281" customFormat="1" ht="13.5" thickBot="1" x14ac:dyDescent="0.25">
      <c r="A231" s="1280"/>
      <c r="C231" s="1402" t="s">
        <v>33</v>
      </c>
      <c r="D231" s="1403">
        <f t="shared" si="52"/>
        <v>1.5</v>
      </c>
      <c r="E231" s="1354">
        <f t="shared" si="53"/>
        <v>2</v>
      </c>
      <c r="F231" s="1350">
        <f t="shared" si="54"/>
        <v>2.5</v>
      </c>
      <c r="G231" s="1355">
        <v>3</v>
      </c>
    </row>
    <row r="232" spans="1:9" s="1281" customFormat="1" ht="13.5" thickBot="1" x14ac:dyDescent="0.25">
      <c r="A232" s="1280"/>
      <c r="B232" s="1396" t="str">
        <f>'TRAD-Children YEAR(1)'!B91</f>
        <v>Comprimés</v>
      </c>
      <c r="C232" s="849" t="str">
        <f t="array" ref="C232:C254">C194:C216</f>
        <v>AZT+ 3TC+ NVP adulte</v>
      </c>
      <c r="D232" s="1294">
        <f t="array" ref="D232:G254">E194:H216</f>
        <v>0</v>
      </c>
      <c r="E232" s="1294">
        <v>0</v>
      </c>
      <c r="F232" s="1294">
        <v>1</v>
      </c>
      <c r="G232" s="1294">
        <v>1</v>
      </c>
      <c r="H232" s="849"/>
      <c r="I232" s="1172"/>
    </row>
    <row r="233" spans="1:9" s="1281" customFormat="1" x14ac:dyDescent="0.2">
      <c r="A233" s="1280"/>
      <c r="C233" s="849" t="str">
        <v>AZT+ 3TC+ NVP bébé</v>
      </c>
      <c r="D233" s="1294">
        <v>1.5</v>
      </c>
      <c r="E233" s="1294">
        <v>2</v>
      </c>
      <c r="F233" s="1294">
        <v>2.5</v>
      </c>
      <c r="G233" s="1294">
        <v>3</v>
      </c>
      <c r="H233" s="639"/>
      <c r="I233" s="1172"/>
    </row>
    <row r="234" spans="1:9" s="1281" customFormat="1" x14ac:dyDescent="0.2">
      <c r="A234" s="1280"/>
      <c r="C234" s="849" t="str">
        <v>AZT+ 3TC adulte</v>
      </c>
      <c r="D234" s="1294">
        <v>0</v>
      </c>
      <c r="E234" s="1294">
        <v>0</v>
      </c>
      <c r="F234" s="1294">
        <v>1</v>
      </c>
      <c r="G234" s="1294">
        <v>1</v>
      </c>
      <c r="H234" s="849"/>
      <c r="I234" s="1172"/>
    </row>
    <row r="235" spans="1:9" s="1281" customFormat="1" x14ac:dyDescent="0.2">
      <c r="A235" s="1280"/>
      <c r="C235" s="849" t="str">
        <v>AZT+ 3TC bébé</v>
      </c>
      <c r="D235" s="1294">
        <v>1.5</v>
      </c>
      <c r="E235" s="1294">
        <v>2</v>
      </c>
      <c r="F235" s="1294">
        <v>2.5</v>
      </c>
      <c r="G235" s="1294">
        <v>3</v>
      </c>
      <c r="H235" s="849"/>
      <c r="I235" s="1172"/>
    </row>
    <row r="236" spans="1:9" s="1281" customFormat="1" x14ac:dyDescent="0.2">
      <c r="A236" s="1280"/>
      <c r="C236" s="849" t="str">
        <v>D4T+ 3TC+ NVP adulte</v>
      </c>
      <c r="D236" s="1294">
        <v>0</v>
      </c>
      <c r="E236" s="1294">
        <v>0</v>
      </c>
      <c r="F236" s="1294">
        <v>1</v>
      </c>
      <c r="G236" s="1294">
        <v>1</v>
      </c>
      <c r="H236" s="639"/>
      <c r="I236" s="1172"/>
    </row>
    <row r="237" spans="1:9" s="1281" customFormat="1" x14ac:dyDescent="0.2">
      <c r="A237" s="1280"/>
      <c r="C237" s="849" t="str">
        <v>D4T+ 3TC+ NVP bébé</v>
      </c>
      <c r="D237" s="1294">
        <v>1.5</v>
      </c>
      <c r="E237" s="1294">
        <v>2</v>
      </c>
      <c r="F237" s="1294">
        <v>2.5</v>
      </c>
      <c r="G237" s="1294">
        <v>3</v>
      </c>
      <c r="H237" s="638"/>
      <c r="I237" s="1172"/>
    </row>
    <row r="238" spans="1:9" s="1281" customFormat="1" x14ac:dyDescent="0.2">
      <c r="A238" s="1280"/>
      <c r="C238" s="849" t="str">
        <v>D4T+ 3TC bébé</v>
      </c>
      <c r="D238" s="1294">
        <v>1.5</v>
      </c>
      <c r="E238" s="1294">
        <v>2</v>
      </c>
      <c r="F238" s="1294">
        <v>2.5</v>
      </c>
      <c r="G238" s="1294">
        <v>3</v>
      </c>
      <c r="H238" s="638"/>
      <c r="I238" s="1172"/>
    </row>
    <row r="239" spans="1:9" s="1281" customFormat="1" x14ac:dyDescent="0.2">
      <c r="A239" s="1280"/>
      <c r="C239" s="849" t="str">
        <v>AZT+ 3TC+ ABC adulte</v>
      </c>
      <c r="D239" s="1294">
        <v>0</v>
      </c>
      <c r="E239" s="1294">
        <v>0</v>
      </c>
      <c r="F239" s="1294">
        <v>1</v>
      </c>
      <c r="G239" s="1294">
        <v>1</v>
      </c>
      <c r="H239" s="849"/>
      <c r="I239" s="1172"/>
    </row>
    <row r="240" spans="1:9" s="1281" customFormat="1" x14ac:dyDescent="0.2">
      <c r="A240" s="1280"/>
      <c r="C240" s="849" t="str">
        <v>AZT+ 3TC+ ABC bébé</v>
      </c>
      <c r="D240" s="1294">
        <v>1.5</v>
      </c>
      <c r="E240" s="1294">
        <v>2</v>
      </c>
      <c r="F240" s="1294">
        <v>2.5</v>
      </c>
      <c r="G240" s="1294">
        <v>3</v>
      </c>
      <c r="H240" s="849"/>
      <c r="I240" s="1172"/>
    </row>
    <row r="241" spans="1:9" s="1281" customFormat="1" x14ac:dyDescent="0.2">
      <c r="A241" s="1280"/>
      <c r="C241" s="849" t="str">
        <v>ABC+ 3TC adulte</v>
      </c>
      <c r="D241" s="1294">
        <v>0</v>
      </c>
      <c r="E241" s="1294">
        <v>0</v>
      </c>
      <c r="F241" s="1294">
        <v>1</v>
      </c>
      <c r="G241" s="1294">
        <v>1</v>
      </c>
      <c r="H241" s="849"/>
      <c r="I241" s="1172"/>
    </row>
    <row r="242" spans="1:9" s="1281" customFormat="1" x14ac:dyDescent="0.2">
      <c r="A242" s="1280"/>
      <c r="C242" s="849" t="str">
        <v>ABC+ 3TC bébé</v>
      </c>
      <c r="D242" s="1294">
        <v>1.5</v>
      </c>
      <c r="E242" s="1294">
        <v>2</v>
      </c>
      <c r="F242" s="1294">
        <v>2.5</v>
      </c>
      <c r="G242" s="1294">
        <v>3</v>
      </c>
      <c r="H242" s="849"/>
      <c r="I242" s="1172"/>
    </row>
    <row r="243" spans="1:9" s="1281" customFormat="1" x14ac:dyDescent="0.2">
      <c r="A243" s="1280"/>
      <c r="C243" s="849" t="str">
        <v>TDF+ FTC/3TC+ EFV adulte</v>
      </c>
      <c r="D243" s="1294">
        <v>0</v>
      </c>
      <c r="E243" s="1294">
        <v>0</v>
      </c>
      <c r="F243" s="1294">
        <v>0</v>
      </c>
      <c r="G243" s="1294">
        <v>1</v>
      </c>
      <c r="H243" s="849"/>
      <c r="I243" s="1172"/>
    </row>
    <row r="244" spans="1:9" s="1281" customFormat="1" x14ac:dyDescent="0.2">
      <c r="A244" s="1280"/>
      <c r="C244" s="849" t="str">
        <v>TDF+ FTC/3TC adulte</v>
      </c>
      <c r="D244" s="1294">
        <v>0</v>
      </c>
      <c r="E244" s="1294">
        <v>0</v>
      </c>
      <c r="F244" s="1294">
        <v>0</v>
      </c>
      <c r="G244" s="1294">
        <v>1</v>
      </c>
      <c r="H244" s="849"/>
      <c r="I244" s="1172"/>
    </row>
    <row r="245" spans="1:9" s="1281" customFormat="1" x14ac:dyDescent="0.2">
      <c r="A245" s="1280"/>
      <c r="C245" s="849" t="str">
        <v>TDF adulte</v>
      </c>
      <c r="D245" s="1294">
        <v>0</v>
      </c>
      <c r="E245" s="1294">
        <v>0</v>
      </c>
      <c r="F245" s="1294">
        <v>0</v>
      </c>
      <c r="G245" s="1294">
        <v>1</v>
      </c>
      <c r="H245" s="849"/>
      <c r="I245" s="1172"/>
    </row>
    <row r="246" spans="1:9" s="1281" customFormat="1" x14ac:dyDescent="0.2">
      <c r="A246" s="1280"/>
      <c r="C246" s="849" t="str">
        <v>3TC adulte</v>
      </c>
      <c r="D246" s="1294">
        <v>0</v>
      </c>
      <c r="E246" s="1294">
        <v>0</v>
      </c>
      <c r="F246" s="1294">
        <v>0.5</v>
      </c>
      <c r="G246" s="1294">
        <v>1</v>
      </c>
      <c r="H246" s="849"/>
      <c r="I246" s="1172"/>
    </row>
    <row r="247" spans="1:9" s="1281" customFormat="1" x14ac:dyDescent="0.2">
      <c r="A247" s="1280"/>
      <c r="C247" s="849" t="str">
        <v>ABC adulte</v>
      </c>
      <c r="D247" s="1294">
        <v>0</v>
      </c>
      <c r="E247" s="1294">
        <v>0</v>
      </c>
      <c r="F247" s="1294">
        <v>0.5</v>
      </c>
      <c r="G247" s="1294">
        <v>1</v>
      </c>
      <c r="H247" s="849"/>
      <c r="I247" s="1172"/>
    </row>
    <row r="248" spans="1:9" s="1281" customFormat="1" x14ac:dyDescent="0.2">
      <c r="A248" s="1280"/>
      <c r="C248" s="849" t="str">
        <v>ABC bébé</v>
      </c>
      <c r="D248" s="1294">
        <v>1.5</v>
      </c>
      <c r="E248" s="1294">
        <v>2</v>
      </c>
      <c r="F248" s="1294">
        <v>2.5</v>
      </c>
      <c r="G248" s="1294">
        <v>3</v>
      </c>
      <c r="H248" s="849"/>
      <c r="I248" s="1172"/>
    </row>
    <row r="249" spans="1:9" s="1281" customFormat="1" x14ac:dyDescent="0.2">
      <c r="A249" s="1280"/>
      <c r="C249" s="849" t="str">
        <v>DDI adulte</v>
      </c>
      <c r="D249" s="1294">
        <v>0</v>
      </c>
      <c r="E249" s="1294">
        <v>0</v>
      </c>
      <c r="F249" s="1294">
        <v>0</v>
      </c>
      <c r="G249" s="1294">
        <v>1</v>
      </c>
      <c r="H249" s="849"/>
      <c r="I249" s="1172"/>
    </row>
    <row r="250" spans="1:9" s="1281" customFormat="1" x14ac:dyDescent="0.2">
      <c r="A250" s="1280"/>
      <c r="C250" s="850" t="str">
        <v>NVP adulte</v>
      </c>
      <c r="D250" s="1294">
        <v>0</v>
      </c>
      <c r="E250" s="1294">
        <v>0</v>
      </c>
      <c r="F250" s="1294">
        <v>0.75</v>
      </c>
      <c r="G250" s="1294">
        <v>1</v>
      </c>
      <c r="H250" s="850"/>
      <c r="I250" s="1172"/>
    </row>
    <row r="251" spans="1:9" s="1281" customFormat="1" x14ac:dyDescent="0.2">
      <c r="A251" s="1280"/>
      <c r="C251" s="850" t="str">
        <v>NVP bébé</v>
      </c>
      <c r="D251" s="1294">
        <v>1.5</v>
      </c>
      <c r="E251" s="1294">
        <v>2</v>
      </c>
      <c r="F251" s="1294">
        <v>2.5</v>
      </c>
      <c r="G251" s="1294">
        <v>3</v>
      </c>
      <c r="H251" s="850"/>
      <c r="I251" s="1172"/>
    </row>
    <row r="252" spans="1:9" s="1281" customFormat="1" x14ac:dyDescent="0.2">
      <c r="A252" s="1280"/>
      <c r="C252" s="850" t="str">
        <v>EFV enfant</v>
      </c>
      <c r="D252" s="1294">
        <v>0</v>
      </c>
      <c r="E252" s="1294">
        <v>1</v>
      </c>
      <c r="F252" s="1294">
        <v>1.5</v>
      </c>
      <c r="G252" s="1294">
        <v>1.5</v>
      </c>
      <c r="H252" s="850"/>
      <c r="I252" s="1172"/>
    </row>
    <row r="253" spans="1:9" s="1281" customFormat="1" x14ac:dyDescent="0.2">
      <c r="A253" s="1280"/>
      <c r="C253" s="849" t="str">
        <v>LPV/r adulte</v>
      </c>
      <c r="D253" s="1294">
        <v>0</v>
      </c>
      <c r="E253" s="1294">
        <v>0</v>
      </c>
      <c r="F253" s="1294">
        <v>0.5</v>
      </c>
      <c r="G253" s="1294">
        <v>0.5</v>
      </c>
      <c r="H253" s="849"/>
      <c r="I253" s="1172"/>
    </row>
    <row r="254" spans="1:9" s="1281" customFormat="1" ht="13.5" thickBot="1" x14ac:dyDescent="0.25">
      <c r="A254" s="1280"/>
      <c r="C254" s="849" t="str">
        <v>LPV/r enfant</v>
      </c>
      <c r="D254" s="1294">
        <v>0</v>
      </c>
      <c r="E254" s="1294">
        <v>1.5</v>
      </c>
      <c r="F254" s="1294">
        <v>2</v>
      </c>
      <c r="G254" s="1294">
        <v>2</v>
      </c>
      <c r="H254" s="851"/>
      <c r="I254" s="1190"/>
    </row>
    <row r="255" spans="1:9" s="1281" customFormat="1" x14ac:dyDescent="0.2">
      <c r="A255" s="1280"/>
      <c r="C255" s="1280"/>
      <c r="F255" s="1321"/>
      <c r="G255" s="1321"/>
    </row>
    <row r="256" spans="1:9" s="1279" customFormat="1" x14ac:dyDescent="0.2">
      <c r="A256" s="1282"/>
    </row>
    <row r="257" spans="1:36" s="1279" customFormat="1" ht="15.75" thickBot="1" x14ac:dyDescent="0.25">
      <c r="A257" s="1277" t="str">
        <f>'TRAD-Children YEAR(1)'!B111</f>
        <v>Détails des calculs Quantification</v>
      </c>
      <c r="B257" s="1278"/>
      <c r="C257" s="1278"/>
      <c r="D257" s="1278"/>
      <c r="E257" s="1278"/>
      <c r="F257" s="1278"/>
      <c r="G257" s="1278"/>
      <c r="H257" s="1278"/>
      <c r="I257" s="1278"/>
      <c r="J257" s="1278"/>
      <c r="K257" s="1278"/>
      <c r="L257" s="1278"/>
    </row>
    <row r="258" spans="1:36" s="1281" customFormat="1" ht="13.5" thickBot="1" x14ac:dyDescent="0.25">
      <c r="A258" s="1280"/>
    </row>
    <row r="259" spans="1:36" s="1279" customFormat="1" ht="13.5" thickBot="1" x14ac:dyDescent="0.25">
      <c r="A259" s="1282"/>
      <c r="B259" s="1283" t="str">
        <f>'TRAD-Children YEAR(1)'!B112</f>
        <v>Tranche 3 - 9,9 kg</v>
      </c>
      <c r="C259" s="1284"/>
      <c r="D259" s="1285"/>
      <c r="E259" s="1285"/>
      <c r="F259" s="1285"/>
      <c r="G259" s="1285"/>
      <c r="H259" s="1285"/>
      <c r="I259" s="1286"/>
    </row>
    <row r="260" spans="1:36" s="1279" customFormat="1" ht="13.5" thickBot="1" x14ac:dyDescent="0.25">
      <c r="A260" s="1282"/>
      <c r="B260" s="1323"/>
      <c r="C260" s="1324"/>
      <c r="D260" s="1323"/>
      <c r="E260" s="1323"/>
      <c r="F260" s="1323"/>
      <c r="G260" s="1323"/>
      <c r="H260" s="1323"/>
      <c r="I260" s="1323"/>
    </row>
    <row r="261" spans="1:36" s="1279" customFormat="1" ht="26.25" thickBot="1" x14ac:dyDescent="0.25">
      <c r="A261" s="1282"/>
      <c r="D261" s="1322" t="str">
        <f>'TRAD-Children YEAR(1)'!B90</f>
        <v>Solutions buvables</v>
      </c>
      <c r="E261" s="1284"/>
      <c r="F261" s="1284"/>
      <c r="G261" s="1284"/>
      <c r="H261" s="1284"/>
      <c r="I261" s="1284"/>
      <c r="J261" s="1284"/>
      <c r="K261" s="1290"/>
      <c r="L261" s="1289" t="str">
        <f>'TRAD-Children YEAR(1)'!B91</f>
        <v>Comprimés</v>
      </c>
      <c r="M261" s="1284"/>
      <c r="N261" s="1284"/>
      <c r="O261" s="1284"/>
      <c r="P261" s="1284"/>
      <c r="Q261" s="1284"/>
      <c r="R261" s="1284"/>
      <c r="S261" s="1284"/>
      <c r="T261" s="1284"/>
      <c r="U261" s="1284"/>
      <c r="V261" s="1284"/>
      <c r="W261" s="1945"/>
      <c r="X261" s="1945"/>
      <c r="Y261" s="1945"/>
      <c r="Z261" s="1284"/>
      <c r="AA261" s="1284"/>
      <c r="AB261" s="1284"/>
      <c r="AC261" s="1284"/>
      <c r="AD261" s="1284"/>
      <c r="AE261" s="1284"/>
      <c r="AF261" s="1284"/>
      <c r="AG261" s="1284"/>
      <c r="AH261" s="1284"/>
    </row>
    <row r="262" spans="1:36" s="1292" customFormat="1" ht="25.5" x14ac:dyDescent="0.2">
      <c r="A262" s="1291"/>
      <c r="C262" s="1332" t="str">
        <f>'TRAD-Children YEAR(1)'!B113</f>
        <v>Nb de boites / mois pour l'ensemble des patients</v>
      </c>
      <c r="D262" s="1329" t="s">
        <v>39</v>
      </c>
      <c r="E262" s="1329" t="s">
        <v>61</v>
      </c>
      <c r="F262" s="1329" t="s">
        <v>15</v>
      </c>
      <c r="G262" s="1329" t="s">
        <v>25</v>
      </c>
      <c r="H262" s="1329" t="s">
        <v>28</v>
      </c>
      <c r="I262" s="1329" t="s">
        <v>19</v>
      </c>
      <c r="J262" s="1329" t="s">
        <v>17</v>
      </c>
      <c r="K262" s="1333" t="s">
        <v>33</v>
      </c>
      <c r="L262" s="1334" t="s">
        <v>7</v>
      </c>
      <c r="M262" s="1330" t="s">
        <v>386</v>
      </c>
      <c r="N262" s="1330" t="s">
        <v>11</v>
      </c>
      <c r="O262" s="1330" t="s">
        <v>387</v>
      </c>
      <c r="P262" s="1330" t="s">
        <v>50</v>
      </c>
      <c r="Q262" s="1330" t="s">
        <v>392</v>
      </c>
      <c r="R262" s="1330" t="s">
        <v>81</v>
      </c>
      <c r="S262" s="1330" t="s">
        <v>140</v>
      </c>
      <c r="T262" s="1330" t="s">
        <v>635</v>
      </c>
      <c r="U262" s="1330" t="s">
        <v>586</v>
      </c>
      <c r="V262" s="1330" t="s">
        <v>575</v>
      </c>
      <c r="W262" s="1946"/>
      <c r="X262" s="1946"/>
      <c r="Y262" s="1946"/>
      <c r="Z262" s="1422" t="s">
        <v>15</v>
      </c>
      <c r="AA262" s="1330" t="s">
        <v>25</v>
      </c>
      <c r="AB262" s="1330" t="s">
        <v>648</v>
      </c>
      <c r="AC262" s="1330" t="s">
        <v>28</v>
      </c>
      <c r="AD262" s="1422" t="s">
        <v>19</v>
      </c>
      <c r="AE262" s="1586" t="s">
        <v>19</v>
      </c>
      <c r="AF262" s="1422" t="s">
        <v>17</v>
      </c>
      <c r="AG262" s="1330" t="s">
        <v>33</v>
      </c>
      <c r="AH262" s="1335" t="s">
        <v>638</v>
      </c>
    </row>
    <row r="263" spans="1:36" s="1292" customFormat="1" ht="25.5" x14ac:dyDescent="0.2">
      <c r="A263" s="1291"/>
      <c r="C263" s="1332" t="str">
        <f>'TRAD-Children YEAR(1)'!B114</f>
        <v>Dosage</v>
      </c>
      <c r="D263" s="1329" t="s">
        <v>41</v>
      </c>
      <c r="E263" s="1329" t="s">
        <v>41</v>
      </c>
      <c r="F263" s="1329" t="s">
        <v>41</v>
      </c>
      <c r="G263" s="1329" t="s">
        <v>44</v>
      </c>
      <c r="H263" s="1329" t="s">
        <v>46</v>
      </c>
      <c r="I263" s="1329" t="s">
        <v>41</v>
      </c>
      <c r="J263" s="1329" t="s">
        <v>259</v>
      </c>
      <c r="K263" s="1333" t="s">
        <v>47</v>
      </c>
      <c r="L263" s="1336" t="s">
        <v>9</v>
      </c>
      <c r="M263" s="1331" t="s">
        <v>384</v>
      </c>
      <c r="N263" s="1331" t="s">
        <v>12</v>
      </c>
      <c r="O263" s="1331" t="s">
        <v>382</v>
      </c>
      <c r="P263" s="1331" t="s">
        <v>80</v>
      </c>
      <c r="Q263" s="1331" t="s">
        <v>131</v>
      </c>
      <c r="R263" s="1331" t="s">
        <v>733</v>
      </c>
      <c r="S263" s="1331" t="s">
        <v>334</v>
      </c>
      <c r="T263" s="1331" t="s">
        <v>636</v>
      </c>
      <c r="U263" s="1331" t="s">
        <v>649</v>
      </c>
      <c r="V263" s="1331" t="s">
        <v>636</v>
      </c>
      <c r="W263" s="1331"/>
      <c r="X263" s="1331"/>
      <c r="Y263" s="1331"/>
      <c r="Z263" s="1424" t="s">
        <v>16</v>
      </c>
      <c r="AA263" s="1331" t="s">
        <v>23</v>
      </c>
      <c r="AB263" s="1331" t="s">
        <v>639</v>
      </c>
      <c r="AC263" s="1331" t="s">
        <v>29</v>
      </c>
      <c r="AD263" s="1424" t="s">
        <v>20</v>
      </c>
      <c r="AE263" s="1424" t="s">
        <v>248</v>
      </c>
      <c r="AF263" s="1424" t="s">
        <v>20</v>
      </c>
      <c r="AG263" s="1331" t="s">
        <v>34</v>
      </c>
      <c r="AH263" s="1337" t="s">
        <v>637</v>
      </c>
    </row>
    <row r="264" spans="1:36" s="1281" customFormat="1" ht="26.25" thickBot="1" x14ac:dyDescent="0.25">
      <c r="A264" s="1280"/>
      <c r="C264" s="1332" t="str">
        <f>'TRAD-Children YEAR(1)'!B115</f>
        <v>Nb de cdt/mois pour la tranche</v>
      </c>
      <c r="D264" s="1404">
        <f t="array" ref="D264:AH264">TRANSPOSE($D$224:$D$254)</f>
        <v>2.25</v>
      </c>
      <c r="E264" s="1404">
        <v>1.75</v>
      </c>
      <c r="F264" s="1404">
        <v>1</v>
      </c>
      <c r="G264" s="1404">
        <v>0.75</v>
      </c>
      <c r="H264" s="1404">
        <v>1.5</v>
      </c>
      <c r="I264" s="1404">
        <v>1.75</v>
      </c>
      <c r="J264" s="1404">
        <v>0</v>
      </c>
      <c r="K264" s="1405">
        <v>1.5</v>
      </c>
      <c r="L264" s="1406">
        <v>0</v>
      </c>
      <c r="M264" s="1407">
        <v>1.5</v>
      </c>
      <c r="N264" s="1407">
        <v>0</v>
      </c>
      <c r="O264" s="1407">
        <v>1.5</v>
      </c>
      <c r="P264" s="1407">
        <v>0</v>
      </c>
      <c r="Q264" s="1407">
        <v>1.5</v>
      </c>
      <c r="R264" s="1407">
        <v>1.5</v>
      </c>
      <c r="S264" s="1407">
        <v>0</v>
      </c>
      <c r="T264" s="1407">
        <v>1.5</v>
      </c>
      <c r="U264" s="1407">
        <v>0</v>
      </c>
      <c r="V264" s="1407">
        <v>1.5</v>
      </c>
      <c r="W264" s="1407">
        <v>0</v>
      </c>
      <c r="X264" s="1407">
        <v>0</v>
      </c>
      <c r="Y264" s="1407">
        <v>0</v>
      </c>
      <c r="Z264" s="1407">
        <v>0</v>
      </c>
      <c r="AA264" s="1407">
        <v>0</v>
      </c>
      <c r="AB264" s="1407">
        <v>1.5</v>
      </c>
      <c r="AC264" s="1407">
        <v>0</v>
      </c>
      <c r="AD264" s="1407">
        <v>0</v>
      </c>
      <c r="AE264" s="1407">
        <v>1.5</v>
      </c>
      <c r="AF264" s="1407">
        <v>0</v>
      </c>
      <c r="AG264" s="1407">
        <v>0</v>
      </c>
      <c r="AH264" s="1407">
        <v>0</v>
      </c>
      <c r="AI264" s="1338" t="s">
        <v>654</v>
      </c>
    </row>
    <row r="265" spans="1:36" s="1279" customFormat="1" ht="63.75" x14ac:dyDescent="0.2">
      <c r="A265" s="1282"/>
      <c r="B265" s="1293" t="str">
        <f>'TRAD-Children YEAR(1)'!B6</f>
        <v>Schéma thérapeutique</v>
      </c>
      <c r="C265" s="1332" t="str">
        <f>'TRAD-Children YEAR(1)'!B116</f>
        <v>Premières lignes</v>
      </c>
      <c r="D265" s="1297"/>
      <c r="E265" s="1297"/>
      <c r="F265" s="1297"/>
      <c r="G265" s="1297"/>
      <c r="H265" s="1297"/>
      <c r="I265" s="1297"/>
      <c r="J265" s="1297"/>
      <c r="K265" s="1298"/>
      <c r="L265" s="1299"/>
      <c r="M265" s="1297"/>
      <c r="N265" s="1297"/>
      <c r="O265" s="1297"/>
      <c r="P265" s="1297"/>
      <c r="Q265" s="1297"/>
      <c r="R265" s="1297"/>
      <c r="S265" s="1297"/>
      <c r="T265" s="1297"/>
      <c r="U265" s="1297"/>
      <c r="V265" s="1297"/>
      <c r="W265" s="1297"/>
      <c r="X265" s="1297"/>
      <c r="Y265" s="1297"/>
      <c r="Z265" s="1297"/>
      <c r="AA265" s="1297"/>
      <c r="AB265" s="1297"/>
      <c r="AC265" s="1297"/>
      <c r="AD265" s="1297"/>
      <c r="AE265" s="1297"/>
      <c r="AF265" s="1297"/>
      <c r="AG265" s="1297"/>
      <c r="AH265" s="1297"/>
      <c r="AI265" s="1318" t="str">
        <f>'TRAD-Children YEAR(1)'!B122</f>
        <v>nb de patients mois période quantifiée</v>
      </c>
      <c r="AJ265" s="1318" t="str">
        <f>'TRAD-Children YEAR(1)'!B123</f>
        <v>nb de patients mois avec période de sécurité</v>
      </c>
    </row>
    <row r="266" spans="1:36" s="1279" customFormat="1" ht="15" x14ac:dyDescent="0.25">
      <c r="A266" s="1282"/>
      <c r="C266" s="1319" t="str">
        <f t="array" ref="C266:C271">'Data &amp; hypothesis Children'!$C$26:$C$31</f>
        <v>D4T+3TC+NVP</v>
      </c>
      <c r="D266" s="1175">
        <f>'Data &amp; hypothesis Children'!C119</f>
        <v>0</v>
      </c>
      <c r="E266" s="1175">
        <f>'Data &amp; hypothesis Children'!D119</f>
        <v>0</v>
      </c>
      <c r="F266" s="1175">
        <f>'Data &amp; hypothesis Children'!E119</f>
        <v>0</v>
      </c>
      <c r="G266" s="1175">
        <f>'Data &amp; hypothesis Children'!F119</f>
        <v>0</v>
      </c>
      <c r="H266" s="1175">
        <f>'Data &amp; hypothesis Children'!G119</f>
        <v>0</v>
      </c>
      <c r="I266" s="1175">
        <f>'Data &amp; hypothesis Children'!H119</f>
        <v>0</v>
      </c>
      <c r="J266" s="1175">
        <f>'Data &amp; hypothesis Children'!I119</f>
        <v>0</v>
      </c>
      <c r="K266" s="1413">
        <f>'Data &amp; hypothesis Children'!J119</f>
        <v>0</v>
      </c>
      <c r="L266" s="1414">
        <f>'Data &amp; hypothesis Children'!K119</f>
        <v>0</v>
      </c>
      <c r="M266" s="1175">
        <f>'Data &amp; hypothesis Children'!L119</f>
        <v>0</v>
      </c>
      <c r="N266" s="1175">
        <f>'Data &amp; hypothesis Children'!M119</f>
        <v>0</v>
      </c>
      <c r="O266" s="1175">
        <f>'Data &amp; hypothesis Children'!N119</f>
        <v>0</v>
      </c>
      <c r="P266" s="1175">
        <f>'Data &amp; hypothesis Children'!O119</f>
        <v>0</v>
      </c>
      <c r="Q266" s="1175">
        <f>'Data &amp; hypothesis Children'!P119</f>
        <v>0</v>
      </c>
      <c r="R266" s="1175">
        <f>'Data &amp; hypothesis Children'!Q119</f>
        <v>0</v>
      </c>
      <c r="S266" s="1175">
        <f>'Data &amp; hypothesis Children'!R119</f>
        <v>0</v>
      </c>
      <c r="T266" s="1175">
        <f>'Data &amp; hypothesis Children'!S119</f>
        <v>0</v>
      </c>
      <c r="U266" s="1175">
        <f>'Data &amp; hypothesis Children'!T119</f>
        <v>0</v>
      </c>
      <c r="V266" s="1175">
        <f>'Data &amp; hypothesis Children'!U119</f>
        <v>0</v>
      </c>
      <c r="W266" s="1175">
        <f>'Data &amp; hypothesis Children'!V119</f>
        <v>0</v>
      </c>
      <c r="X266" s="1175">
        <f>'Data &amp; hypothesis Children'!W119</f>
        <v>0</v>
      </c>
      <c r="Y266" s="1175">
        <f>'Data &amp; hypothesis Children'!X119</f>
        <v>0</v>
      </c>
      <c r="Z266" s="1175">
        <f>'Data &amp; hypothesis Children'!Y119</f>
        <v>0</v>
      </c>
      <c r="AA266" s="1175">
        <f>'Data &amp; hypothesis Children'!Z119</f>
        <v>0</v>
      </c>
      <c r="AB266" s="1175">
        <f>'Data &amp; hypothesis Children'!AA119</f>
        <v>0</v>
      </c>
      <c r="AC266" s="1175">
        <f>'Data &amp; hypothesis Children'!AB119</f>
        <v>0</v>
      </c>
      <c r="AD266" s="1175">
        <f>'Data &amp; hypothesis Children'!AC119</f>
        <v>0</v>
      </c>
      <c r="AE266" s="1175">
        <f>'Data &amp; hypothesis Children'!AD119</f>
        <v>0</v>
      </c>
      <c r="AF266" s="1175">
        <f>'Data &amp; hypothesis Children'!AE119</f>
        <v>0</v>
      </c>
      <c r="AG266" s="1175">
        <f>'Data &amp; hypothesis Children'!AF119</f>
        <v>0</v>
      </c>
      <c r="AH266" s="1415">
        <f>'Data &amp; hypothesis Children'!AG119</f>
        <v>0</v>
      </c>
      <c r="AI266" s="1339" t="e">
        <f t="shared" ref="AI266:AI271" si="55">F69</f>
        <v>#DIV/0!</v>
      </c>
      <c r="AJ266" s="1340" t="e">
        <f t="shared" ref="AJ266:AJ271" si="56">F85</f>
        <v>#DIV/0!</v>
      </c>
    </row>
    <row r="267" spans="1:36" s="1279" customFormat="1" ht="15" x14ac:dyDescent="0.25">
      <c r="A267" s="1282"/>
      <c r="C267" s="1319" t="str">
        <v>AZT+3TC+NVP</v>
      </c>
      <c r="D267" s="1175">
        <f>'Data &amp; hypothesis Children'!C120</f>
        <v>0</v>
      </c>
      <c r="E267" s="1175">
        <f>'Data &amp; hypothesis Children'!D120</f>
        <v>0</v>
      </c>
      <c r="F267" s="1175">
        <f>'Data &amp; hypothesis Children'!E120</f>
        <v>0</v>
      </c>
      <c r="G267" s="1175">
        <f>'Data &amp; hypothesis Children'!F120</f>
        <v>0</v>
      </c>
      <c r="H267" s="1175">
        <f>'Data &amp; hypothesis Children'!G120</f>
        <v>0</v>
      </c>
      <c r="I267" s="1175">
        <f>'Data &amp; hypothesis Children'!H120</f>
        <v>0</v>
      </c>
      <c r="J267" s="1175">
        <f>'Data &amp; hypothesis Children'!I120</f>
        <v>0</v>
      </c>
      <c r="K267" s="1413">
        <f>'Data &amp; hypothesis Children'!J120</f>
        <v>0</v>
      </c>
      <c r="L267" s="1414">
        <f>'Data &amp; hypothesis Children'!K120</f>
        <v>0</v>
      </c>
      <c r="M267" s="1175" t="str">
        <f>'Data &amp; hypothesis Children'!L120</f>
        <v>X</v>
      </c>
      <c r="N267" s="1175">
        <f>'Data &amp; hypothesis Children'!M120</f>
        <v>0</v>
      </c>
      <c r="O267" s="1175">
        <f>'Data &amp; hypothesis Children'!N120</f>
        <v>0</v>
      </c>
      <c r="P267" s="1175">
        <f>'Data &amp; hypothesis Children'!O120</f>
        <v>0</v>
      </c>
      <c r="Q267" s="1175">
        <f>'Data &amp; hypothesis Children'!P120</f>
        <v>0</v>
      </c>
      <c r="R267" s="1175">
        <f>'Data &amp; hypothesis Children'!Q120</f>
        <v>0</v>
      </c>
      <c r="S267" s="1175">
        <f>'Data &amp; hypothesis Children'!R120</f>
        <v>0</v>
      </c>
      <c r="T267" s="1175">
        <f>'Data &amp; hypothesis Children'!S120</f>
        <v>0</v>
      </c>
      <c r="U267" s="1175">
        <f>'Data &amp; hypothesis Children'!T120</f>
        <v>0</v>
      </c>
      <c r="V267" s="1175">
        <f>'Data &amp; hypothesis Children'!U120</f>
        <v>0</v>
      </c>
      <c r="W267" s="1175">
        <f>'Data &amp; hypothesis Children'!V120</f>
        <v>0</v>
      </c>
      <c r="X267" s="1175">
        <f>'Data &amp; hypothesis Children'!W120</f>
        <v>0</v>
      </c>
      <c r="Y267" s="1175">
        <f>'Data &amp; hypothesis Children'!X120</f>
        <v>0</v>
      </c>
      <c r="Z267" s="1175">
        <f>'Data &amp; hypothesis Children'!Y120</f>
        <v>0</v>
      </c>
      <c r="AA267" s="1175">
        <f>'Data &amp; hypothesis Children'!Z120</f>
        <v>0</v>
      </c>
      <c r="AB267" s="1175">
        <f>'Data &amp; hypothesis Children'!AA120</f>
        <v>0</v>
      </c>
      <c r="AC267" s="1175">
        <f>'Data &amp; hypothesis Children'!AB120</f>
        <v>0</v>
      </c>
      <c r="AD267" s="1175">
        <f>'Data &amp; hypothesis Children'!AC120</f>
        <v>0</v>
      </c>
      <c r="AE267" s="1175">
        <f>'Data &amp; hypothesis Children'!AD120</f>
        <v>0</v>
      </c>
      <c r="AF267" s="1175">
        <f>'Data &amp; hypothesis Children'!AE120</f>
        <v>0</v>
      </c>
      <c r="AG267" s="1175">
        <f>'Data &amp; hypothesis Children'!AF120</f>
        <v>0</v>
      </c>
      <c r="AH267" s="1415">
        <f>'Data &amp; hypothesis Children'!AG120</f>
        <v>0</v>
      </c>
      <c r="AI267" s="1339" t="e">
        <f t="shared" si="55"/>
        <v>#DIV/0!</v>
      </c>
      <c r="AJ267" s="1340" t="e">
        <f t="shared" si="56"/>
        <v>#DIV/0!</v>
      </c>
    </row>
    <row r="268" spans="1:36" s="1279" customFormat="1" ht="15" x14ac:dyDescent="0.25">
      <c r="A268" s="1282"/>
      <c r="C268" s="1319" t="str">
        <v>AZT+3TC+EFV</v>
      </c>
      <c r="D268" s="1175">
        <f>'Data &amp; hypothesis Children'!C121</f>
        <v>0</v>
      </c>
      <c r="E268" s="1175">
        <f>'Data &amp; hypothesis Children'!D121</f>
        <v>0</v>
      </c>
      <c r="F268" s="1175">
        <f>'Data &amp; hypothesis Children'!E121</f>
        <v>0</v>
      </c>
      <c r="G268" s="1175">
        <f>'Data &amp; hypothesis Children'!F121</f>
        <v>0</v>
      </c>
      <c r="H268" s="1175">
        <f>'Data &amp; hypothesis Children'!G121</f>
        <v>0</v>
      </c>
      <c r="I268" s="1175">
        <f>'Data &amp; hypothesis Children'!H121</f>
        <v>0</v>
      </c>
      <c r="J268" s="1175">
        <f>'Data &amp; hypothesis Children'!I121</f>
        <v>0</v>
      </c>
      <c r="K268" s="1413">
        <f>'Data &amp; hypothesis Children'!J121</f>
        <v>0</v>
      </c>
      <c r="L268" s="1414">
        <f>'Data &amp; hypothesis Children'!K121</f>
        <v>0</v>
      </c>
      <c r="M268" s="1175">
        <f>'Data &amp; hypothesis Children'!L121</f>
        <v>0</v>
      </c>
      <c r="N268" s="1175">
        <f>'Data &amp; hypothesis Children'!M121</f>
        <v>0</v>
      </c>
      <c r="O268" s="1175">
        <f>'Data &amp; hypothesis Children'!N121</f>
        <v>0</v>
      </c>
      <c r="P268" s="1175">
        <f>'Data &amp; hypothesis Children'!O121</f>
        <v>0</v>
      </c>
      <c r="Q268" s="1175">
        <f>'Data &amp; hypothesis Children'!P121</f>
        <v>0</v>
      </c>
      <c r="R268" s="1175">
        <f>'Data &amp; hypothesis Children'!Q121</f>
        <v>0</v>
      </c>
      <c r="S268" s="1175">
        <f>'Data &amp; hypothesis Children'!R121</f>
        <v>0</v>
      </c>
      <c r="T268" s="1175">
        <f>'Data &amp; hypothesis Children'!S121</f>
        <v>0</v>
      </c>
      <c r="U268" s="1175">
        <f>'Data &amp; hypothesis Children'!T121</f>
        <v>0</v>
      </c>
      <c r="V268" s="1175">
        <f>'Data &amp; hypothesis Children'!U121</f>
        <v>0</v>
      </c>
      <c r="W268" s="1175">
        <f>'Data &amp; hypothesis Children'!V121</f>
        <v>0</v>
      </c>
      <c r="X268" s="1175">
        <f>'Data &amp; hypothesis Children'!W121</f>
        <v>0</v>
      </c>
      <c r="Y268" s="1175">
        <f>'Data &amp; hypothesis Children'!X121</f>
        <v>0</v>
      </c>
      <c r="Z268" s="1175">
        <f>'Data &amp; hypothesis Children'!Y121</f>
        <v>0</v>
      </c>
      <c r="AA268" s="1175">
        <f>'Data &amp; hypothesis Children'!Z121</f>
        <v>0</v>
      </c>
      <c r="AB268" s="1175">
        <f>'Data &amp; hypothesis Children'!AA121</f>
        <v>0</v>
      </c>
      <c r="AC268" s="1175">
        <f>'Data &amp; hypothesis Children'!AB121</f>
        <v>0</v>
      </c>
      <c r="AD268" s="1175">
        <f>'Data &amp; hypothesis Children'!AC121</f>
        <v>0</v>
      </c>
      <c r="AE268" s="1175">
        <f>'Data &amp; hypothesis Children'!AD121</f>
        <v>0</v>
      </c>
      <c r="AF268" s="1175">
        <f>'Data &amp; hypothesis Children'!AE121</f>
        <v>0</v>
      </c>
      <c r="AG268" s="1175">
        <f>'Data &amp; hypothesis Children'!AF121</f>
        <v>0</v>
      </c>
      <c r="AH268" s="1415">
        <f>'Data &amp; hypothesis Children'!AG121</f>
        <v>0</v>
      </c>
      <c r="AI268" s="1339">
        <f t="shared" si="55"/>
        <v>0</v>
      </c>
      <c r="AJ268" s="1340">
        <f t="shared" si="56"/>
        <v>0</v>
      </c>
    </row>
    <row r="269" spans="1:36" s="1279" customFormat="1" ht="15" x14ac:dyDescent="0.25">
      <c r="A269" s="1282"/>
      <c r="C269" s="1319" t="str">
        <v>LPV/r+3TC+ABC</v>
      </c>
      <c r="D269" s="1175">
        <f>'Data &amp; hypothesis Children'!C122</f>
        <v>0</v>
      </c>
      <c r="E269" s="1175">
        <f>'Data &amp; hypothesis Children'!D122</f>
        <v>0</v>
      </c>
      <c r="F269" s="1175">
        <f>'Data &amp; hypothesis Children'!E122</f>
        <v>0</v>
      </c>
      <c r="G269" s="1175">
        <f>'Data &amp; hypothesis Children'!F122</f>
        <v>0</v>
      </c>
      <c r="H269" s="1175">
        <f>'Data &amp; hypothesis Children'!G122</f>
        <v>0</v>
      </c>
      <c r="I269" s="1175">
        <f>'Data &amp; hypothesis Children'!H122</f>
        <v>0</v>
      </c>
      <c r="J269" s="1175">
        <f>'Data &amp; hypothesis Children'!I122</f>
        <v>0</v>
      </c>
      <c r="K269" s="1413">
        <f>'Data &amp; hypothesis Children'!J122</f>
        <v>0</v>
      </c>
      <c r="L269" s="1414">
        <f>'Data &amp; hypothesis Children'!K122</f>
        <v>0</v>
      </c>
      <c r="M269" s="1175">
        <f>'Data &amp; hypothesis Children'!L122</f>
        <v>0</v>
      </c>
      <c r="N269" s="1175">
        <f>'Data &amp; hypothesis Children'!M122</f>
        <v>0</v>
      </c>
      <c r="O269" s="1175">
        <f>'Data &amp; hypothesis Children'!N122</f>
        <v>0</v>
      </c>
      <c r="P269" s="1175">
        <f>'Data &amp; hypothesis Children'!O122</f>
        <v>0</v>
      </c>
      <c r="Q269" s="1175">
        <f>'Data &amp; hypothesis Children'!P122</f>
        <v>0</v>
      </c>
      <c r="R269" s="1175">
        <f>'Data &amp; hypothesis Children'!Q122</f>
        <v>0</v>
      </c>
      <c r="S269" s="1175">
        <f>'Data &amp; hypothesis Children'!R122</f>
        <v>0</v>
      </c>
      <c r="T269" s="1175">
        <f>'Data &amp; hypothesis Children'!S122</f>
        <v>0</v>
      </c>
      <c r="U269" s="1175">
        <f>'Data &amp; hypothesis Children'!T122</f>
        <v>0</v>
      </c>
      <c r="V269" s="1175">
        <f>'Data &amp; hypothesis Children'!U122</f>
        <v>0</v>
      </c>
      <c r="W269" s="1175">
        <f>'Data &amp; hypothesis Children'!V122</f>
        <v>0</v>
      </c>
      <c r="X269" s="1175">
        <f>'Data &amp; hypothesis Children'!W122</f>
        <v>0</v>
      </c>
      <c r="Y269" s="1175">
        <f>'Data &amp; hypothesis Children'!X122</f>
        <v>0</v>
      </c>
      <c r="Z269" s="1175">
        <f>'Data &amp; hypothesis Children'!Y122</f>
        <v>0</v>
      </c>
      <c r="AA269" s="1175">
        <f>'Data &amp; hypothesis Children'!Z122</f>
        <v>0</v>
      </c>
      <c r="AB269" s="1175">
        <f>'Data &amp; hypothesis Children'!AA122</f>
        <v>0</v>
      </c>
      <c r="AC269" s="1175">
        <f>'Data &amp; hypothesis Children'!AB122</f>
        <v>0</v>
      </c>
      <c r="AD269" s="1175">
        <f>'Data &amp; hypothesis Children'!AC122</f>
        <v>0</v>
      </c>
      <c r="AE269" s="1175">
        <f>'Data &amp; hypothesis Children'!AD122</f>
        <v>0</v>
      </c>
      <c r="AF269" s="1175">
        <f>'Data &amp; hypothesis Children'!AE122</f>
        <v>0</v>
      </c>
      <c r="AG269" s="1175">
        <f>'Data &amp; hypothesis Children'!AF122</f>
        <v>0</v>
      </c>
      <c r="AH269" s="1415">
        <f>'Data &amp; hypothesis Children'!AG122</f>
        <v>0</v>
      </c>
      <c r="AI269" s="1339" t="e">
        <f t="shared" si="55"/>
        <v>#DIV/0!</v>
      </c>
      <c r="AJ269" s="1340" t="e">
        <f t="shared" si="56"/>
        <v>#DIV/0!</v>
      </c>
    </row>
    <row r="270" spans="1:36" s="1279" customFormat="1" ht="15" x14ac:dyDescent="0.25">
      <c r="A270" s="1282"/>
      <c r="C270" s="1319" t="str">
        <v>ABC+3TC+NVP</v>
      </c>
      <c r="D270" s="1175">
        <f>'Data &amp; hypothesis Children'!C123</f>
        <v>0</v>
      </c>
      <c r="E270" s="1175">
        <f>'Data &amp; hypothesis Children'!D123</f>
        <v>0</v>
      </c>
      <c r="F270" s="1175">
        <f>'Data &amp; hypothesis Children'!E123</f>
        <v>0</v>
      </c>
      <c r="G270" s="1175">
        <f>'Data &amp; hypothesis Children'!F123</f>
        <v>0</v>
      </c>
      <c r="H270" s="1175">
        <f>'Data &amp; hypothesis Children'!G123</f>
        <v>0</v>
      </c>
      <c r="I270" s="1175" t="str">
        <f>'Data &amp; hypothesis Children'!H123</f>
        <v>X</v>
      </c>
      <c r="J270" s="1175">
        <f>'Data &amp; hypothesis Children'!I123</f>
        <v>0</v>
      </c>
      <c r="K270" s="1413">
        <f>'Data &amp; hypothesis Children'!J123</f>
        <v>0</v>
      </c>
      <c r="L270" s="1414">
        <f>'Data &amp; hypothesis Children'!K123</f>
        <v>0</v>
      </c>
      <c r="M270" s="1175">
        <f>'Data &amp; hypothesis Children'!L123</f>
        <v>0</v>
      </c>
      <c r="N270" s="1175">
        <f>'Data &amp; hypothesis Children'!M123</f>
        <v>0</v>
      </c>
      <c r="O270" s="1175">
        <f>'Data &amp; hypothesis Children'!N123</f>
        <v>0</v>
      </c>
      <c r="P270" s="1175">
        <f>'Data &amp; hypothesis Children'!O123</f>
        <v>0</v>
      </c>
      <c r="Q270" s="1175">
        <f>'Data &amp; hypothesis Children'!P123</f>
        <v>0</v>
      </c>
      <c r="R270" s="1175">
        <f>'Data &amp; hypothesis Children'!Q123</f>
        <v>0</v>
      </c>
      <c r="S270" s="1175">
        <f>'Data &amp; hypothesis Children'!R123</f>
        <v>0</v>
      </c>
      <c r="T270" s="1175">
        <f>'Data &amp; hypothesis Children'!S123</f>
        <v>0</v>
      </c>
      <c r="U270" s="1175" t="str">
        <f>'Data &amp; hypothesis Children'!T123</f>
        <v>X</v>
      </c>
      <c r="V270" s="1175">
        <f>'Data &amp; hypothesis Children'!U123</f>
        <v>0</v>
      </c>
      <c r="W270" s="1175">
        <f>'Data &amp; hypothesis Children'!V123</f>
        <v>0</v>
      </c>
      <c r="X270" s="1175">
        <f>'Data &amp; hypothesis Children'!W123</f>
        <v>0</v>
      </c>
      <c r="Y270" s="1175">
        <f>'Data &amp; hypothesis Children'!X123</f>
        <v>0</v>
      </c>
      <c r="Z270" s="1175">
        <f>'Data &amp; hypothesis Children'!Y123</f>
        <v>0</v>
      </c>
      <c r="AA270" s="1175">
        <f>'Data &amp; hypothesis Children'!Z123</f>
        <v>0</v>
      </c>
      <c r="AB270" s="1175">
        <f>'Data &amp; hypothesis Children'!AA123</f>
        <v>0</v>
      </c>
      <c r="AC270" s="1175">
        <f>'Data &amp; hypothesis Children'!AB123</f>
        <v>0</v>
      </c>
      <c r="AD270" s="1175">
        <f>'Data &amp; hypothesis Children'!AC123</f>
        <v>0</v>
      </c>
      <c r="AE270" s="1175">
        <f>'Data &amp; hypothesis Children'!AD123</f>
        <v>0</v>
      </c>
      <c r="AF270" s="1175">
        <f>'Data &amp; hypothesis Children'!AE123</f>
        <v>0</v>
      </c>
      <c r="AG270" s="1175">
        <f>'Data &amp; hypothesis Children'!AF123</f>
        <v>0</v>
      </c>
      <c r="AH270" s="1415">
        <f>'Data &amp; hypothesis Children'!AG123</f>
        <v>0</v>
      </c>
      <c r="AI270" s="1339" t="e">
        <f t="shared" si="55"/>
        <v>#DIV/0!</v>
      </c>
      <c r="AJ270" s="1340" t="e">
        <f t="shared" si="56"/>
        <v>#DIV/0!</v>
      </c>
    </row>
    <row r="271" spans="1:36" s="1279" customFormat="1" ht="15" x14ac:dyDescent="0.25">
      <c r="A271" s="1282"/>
      <c r="C271" s="1319" t="str">
        <v>AZT+3TC+LPV/r</v>
      </c>
      <c r="D271" s="1175">
        <f>'Data &amp; hypothesis Children'!C124</f>
        <v>0</v>
      </c>
      <c r="E271" s="1175">
        <f>'Data &amp; hypothesis Children'!D124</f>
        <v>0</v>
      </c>
      <c r="F271" s="1175">
        <f>'Data &amp; hypothesis Children'!E124</f>
        <v>0</v>
      </c>
      <c r="G271" s="1175">
        <f>'Data &amp; hypothesis Children'!F124</f>
        <v>0</v>
      </c>
      <c r="H271" s="1175">
        <f>'Data &amp; hypothesis Children'!G124</f>
        <v>0</v>
      </c>
      <c r="I271" s="1175">
        <f>'Data &amp; hypothesis Children'!H124</f>
        <v>0</v>
      </c>
      <c r="J271" s="1175">
        <f>'Data &amp; hypothesis Children'!I124</f>
        <v>0</v>
      </c>
      <c r="K271" s="1413" t="str">
        <f>'Data &amp; hypothesis Children'!J124</f>
        <v>X</v>
      </c>
      <c r="L271" s="1414">
        <f>'Data &amp; hypothesis Children'!K124</f>
        <v>0</v>
      </c>
      <c r="M271" s="1175">
        <f>'Data &amp; hypothesis Children'!L124</f>
        <v>0</v>
      </c>
      <c r="N271" s="1175">
        <f>'Data &amp; hypothesis Children'!M124</f>
        <v>0</v>
      </c>
      <c r="O271" s="1175" t="str">
        <f>'Data &amp; hypothesis Children'!N124</f>
        <v>X</v>
      </c>
      <c r="P271" s="1175">
        <f>'Data &amp; hypothesis Children'!O124</f>
        <v>0</v>
      </c>
      <c r="Q271" s="1175">
        <f>'Data &amp; hypothesis Children'!P124</f>
        <v>0</v>
      </c>
      <c r="R271" s="1175">
        <f>'Data &amp; hypothesis Children'!Q124</f>
        <v>0</v>
      </c>
      <c r="S271" s="1175">
        <f>'Data &amp; hypothesis Children'!R124</f>
        <v>0</v>
      </c>
      <c r="T271" s="1175">
        <f>'Data &amp; hypothesis Children'!S124</f>
        <v>0</v>
      </c>
      <c r="U271" s="1175">
        <f>'Data &amp; hypothesis Children'!T124</f>
        <v>0</v>
      </c>
      <c r="V271" s="1175">
        <f>'Data &amp; hypothesis Children'!U124</f>
        <v>0</v>
      </c>
      <c r="W271" s="1175">
        <f>'Data &amp; hypothesis Children'!V124</f>
        <v>0</v>
      </c>
      <c r="X271" s="1175">
        <f>'Data &amp; hypothesis Children'!W124</f>
        <v>0</v>
      </c>
      <c r="Y271" s="1175">
        <f>'Data &amp; hypothesis Children'!X124</f>
        <v>0</v>
      </c>
      <c r="Z271" s="1175">
        <f>'Data &amp; hypothesis Children'!Y124</f>
        <v>0</v>
      </c>
      <c r="AA271" s="1175">
        <f>'Data &amp; hypothesis Children'!Z124</f>
        <v>0</v>
      </c>
      <c r="AB271" s="1175">
        <f>'Data &amp; hypothesis Children'!AA124</f>
        <v>0</v>
      </c>
      <c r="AC271" s="1175">
        <f>'Data &amp; hypothesis Children'!AB124</f>
        <v>0</v>
      </c>
      <c r="AD271" s="1175">
        <f>'Data &amp; hypothesis Children'!AC124</f>
        <v>0</v>
      </c>
      <c r="AE271" s="1175">
        <f>'Data &amp; hypothesis Children'!AD124</f>
        <v>0</v>
      </c>
      <c r="AF271" s="1175">
        <f>'Data &amp; hypothesis Children'!AE124</f>
        <v>0</v>
      </c>
      <c r="AG271" s="1175">
        <f>'Data &amp; hypothesis Children'!AF124</f>
        <v>0</v>
      </c>
      <c r="AH271" s="1415">
        <f>'Data &amp; hypothesis Children'!AG124</f>
        <v>0</v>
      </c>
      <c r="AI271" s="1339" t="e">
        <f t="shared" si="55"/>
        <v>#DIV/0!</v>
      </c>
      <c r="AJ271" s="1340" t="e">
        <f t="shared" si="56"/>
        <v>#DIV/0!</v>
      </c>
    </row>
    <row r="272" spans="1:36" s="1279" customFormat="1" x14ac:dyDescent="0.2">
      <c r="A272" s="1282"/>
      <c r="C272" s="1296" t="str">
        <f>'TRAD-Children YEAR(1)'!$B$117</f>
        <v>Deuxièmes lignes</v>
      </c>
      <c r="D272" s="1410"/>
      <c r="E272" s="1410"/>
      <c r="F272" s="1410"/>
      <c r="G272" s="1410"/>
      <c r="H272" s="1410"/>
      <c r="I272" s="1410"/>
      <c r="J272" s="1410"/>
      <c r="K272" s="1411"/>
      <c r="L272" s="1412"/>
      <c r="M272" s="1410"/>
      <c r="N272" s="1410"/>
      <c r="O272" s="1410"/>
      <c r="P272" s="1410"/>
      <c r="Q272" s="1410"/>
      <c r="R272" s="1410"/>
      <c r="S272" s="1410"/>
      <c r="T272" s="1410"/>
      <c r="U272" s="1410"/>
      <c r="V272" s="1410"/>
      <c r="W272" s="1410"/>
      <c r="X272" s="1410"/>
      <c r="Y272" s="1410"/>
      <c r="Z272" s="1410"/>
      <c r="AA272" s="1410"/>
      <c r="AB272" s="1410"/>
      <c r="AC272" s="1410"/>
      <c r="AD272" s="1410"/>
      <c r="AE272" s="1410"/>
      <c r="AF272" s="1410"/>
      <c r="AG272" s="1410"/>
      <c r="AH272" s="1416"/>
      <c r="AI272" s="1339"/>
      <c r="AJ272" s="1340"/>
    </row>
    <row r="273" spans="1:36" s="1279" customFormat="1" ht="15" x14ac:dyDescent="0.25">
      <c r="A273" s="1282"/>
      <c r="C273" s="1301" t="str">
        <f t="array" ref="C273:C276">'Data &amp; hypothesis Children'!$C$32:$C$35</f>
        <v>ABC+3TC+EFV</v>
      </c>
      <c r="D273" s="1175">
        <f>'Data &amp; hypothesis Children'!C126</f>
        <v>0</v>
      </c>
      <c r="E273" s="1175">
        <f>'Data &amp; hypothesis Children'!D126</f>
        <v>0</v>
      </c>
      <c r="F273" s="1175">
        <f>'Data &amp; hypothesis Children'!E126</f>
        <v>0</v>
      </c>
      <c r="G273" s="1175">
        <f>'Data &amp; hypothesis Children'!F126</f>
        <v>0</v>
      </c>
      <c r="H273" s="1175">
        <f>'Data &amp; hypothesis Children'!G126</f>
        <v>0</v>
      </c>
      <c r="I273" s="1175">
        <f>'Data &amp; hypothesis Children'!H126</f>
        <v>0</v>
      </c>
      <c r="J273" s="1175">
        <f>'Data &amp; hypothesis Children'!I126</f>
        <v>0</v>
      </c>
      <c r="K273" s="1413">
        <f>'Data &amp; hypothesis Children'!J126</f>
        <v>0</v>
      </c>
      <c r="L273" s="1414">
        <f>'Data &amp; hypothesis Children'!K126</f>
        <v>0</v>
      </c>
      <c r="M273" s="1175">
        <f>'Data &amp; hypothesis Children'!L126</f>
        <v>0</v>
      </c>
      <c r="N273" s="1175">
        <f>'Data &amp; hypothesis Children'!M126</f>
        <v>0</v>
      </c>
      <c r="O273" s="1175">
        <f>'Data &amp; hypothesis Children'!N126</f>
        <v>0</v>
      </c>
      <c r="P273" s="1175">
        <f>'Data &amp; hypothesis Children'!O126</f>
        <v>0</v>
      </c>
      <c r="Q273" s="1175">
        <f>'Data &amp; hypothesis Children'!P126</f>
        <v>0</v>
      </c>
      <c r="R273" s="1175">
        <f>'Data &amp; hypothesis Children'!Q126</f>
        <v>0</v>
      </c>
      <c r="S273" s="1175">
        <f>'Data &amp; hypothesis Children'!R126</f>
        <v>0</v>
      </c>
      <c r="T273" s="1175">
        <f>'Data &amp; hypothesis Children'!S126</f>
        <v>0</v>
      </c>
      <c r="U273" s="1175">
        <f>'Data &amp; hypothesis Children'!T126</f>
        <v>0</v>
      </c>
      <c r="V273" s="1175">
        <f>'Data &amp; hypothesis Children'!U126</f>
        <v>0</v>
      </c>
      <c r="W273" s="1175">
        <f>'Data &amp; hypothesis Children'!V126</f>
        <v>0</v>
      </c>
      <c r="X273" s="1175">
        <f>'Data &amp; hypothesis Children'!W126</f>
        <v>0</v>
      </c>
      <c r="Y273" s="1175">
        <f>'Data &amp; hypothesis Children'!X126</f>
        <v>0</v>
      </c>
      <c r="Z273" s="1175">
        <f>'Data &amp; hypothesis Children'!Y126</f>
        <v>0</v>
      </c>
      <c r="AA273" s="1175">
        <f>'Data &amp; hypothesis Children'!Z126</f>
        <v>0</v>
      </c>
      <c r="AB273" s="1175">
        <f>'Data &amp; hypothesis Children'!AA126</f>
        <v>0</v>
      </c>
      <c r="AC273" s="1175">
        <f>'Data &amp; hypothesis Children'!AB126</f>
        <v>0</v>
      </c>
      <c r="AD273" s="1175">
        <f>'Data &amp; hypothesis Children'!AC126</f>
        <v>0</v>
      </c>
      <c r="AE273" s="1175">
        <f>'Data &amp; hypothesis Children'!AD126</f>
        <v>0</v>
      </c>
      <c r="AF273" s="1175">
        <f>'Data &amp; hypothesis Children'!AE126</f>
        <v>0</v>
      </c>
      <c r="AG273" s="1175">
        <f>'Data &amp; hypothesis Children'!AF126</f>
        <v>0</v>
      </c>
      <c r="AH273" s="1415">
        <f>'Data &amp; hypothesis Children'!AG126</f>
        <v>0</v>
      </c>
      <c r="AI273" s="1339" t="e">
        <f>F75</f>
        <v>#DIV/0!</v>
      </c>
      <c r="AJ273" s="1340" t="e">
        <f>F91</f>
        <v>#DIV/0!</v>
      </c>
    </row>
    <row r="274" spans="1:36" s="1279" customFormat="1" ht="15" x14ac:dyDescent="0.25">
      <c r="A274" s="1282"/>
      <c r="C274" s="1301" t="str">
        <v>TDF+3TC+LPV/r</v>
      </c>
      <c r="D274" s="1175">
        <f>'Data &amp; hypothesis Children'!C127</f>
        <v>0</v>
      </c>
      <c r="E274" s="1175">
        <f>'Data &amp; hypothesis Children'!D127</f>
        <v>0</v>
      </c>
      <c r="F274" s="1175">
        <f>'Data &amp; hypothesis Children'!E127</f>
        <v>0</v>
      </c>
      <c r="G274" s="1175">
        <f>'Data &amp; hypothesis Children'!F127</f>
        <v>0</v>
      </c>
      <c r="H274" s="1175">
        <f>'Data &amp; hypothesis Children'!G127</f>
        <v>0</v>
      </c>
      <c r="I274" s="1175">
        <f>'Data &amp; hypothesis Children'!H127</f>
        <v>0</v>
      </c>
      <c r="J274" s="1175">
        <f>'Data &amp; hypothesis Children'!I127</f>
        <v>0</v>
      </c>
      <c r="K274" s="1413">
        <f>'Data &amp; hypothesis Children'!J127</f>
        <v>0</v>
      </c>
      <c r="L274" s="1414">
        <f>'Data &amp; hypothesis Children'!K127</f>
        <v>0</v>
      </c>
      <c r="M274" s="1175">
        <f>'Data &amp; hypothesis Children'!L127</f>
        <v>0</v>
      </c>
      <c r="N274" s="1175">
        <f>'Data &amp; hypothesis Children'!M127</f>
        <v>0</v>
      </c>
      <c r="O274" s="1175">
        <f>'Data &amp; hypothesis Children'!N127</f>
        <v>0</v>
      </c>
      <c r="P274" s="1175">
        <f>'Data &amp; hypothesis Children'!O127</f>
        <v>0</v>
      </c>
      <c r="Q274" s="1175">
        <f>'Data &amp; hypothesis Children'!P127</f>
        <v>0</v>
      </c>
      <c r="R274" s="1175">
        <f>'Data &amp; hypothesis Children'!Q127</f>
        <v>0</v>
      </c>
      <c r="S274" s="1175">
        <f>'Data &amp; hypothesis Children'!R127</f>
        <v>0</v>
      </c>
      <c r="T274" s="1175">
        <f>'Data &amp; hypothesis Children'!S127</f>
        <v>0</v>
      </c>
      <c r="U274" s="1175">
        <f>'Data &amp; hypothesis Children'!T127</f>
        <v>0</v>
      </c>
      <c r="V274" s="1175">
        <f>'Data &amp; hypothesis Children'!U127</f>
        <v>0</v>
      </c>
      <c r="W274" s="1175">
        <f>'Data &amp; hypothesis Children'!V127</f>
        <v>0</v>
      </c>
      <c r="X274" s="1175">
        <f>'Data &amp; hypothesis Children'!W127</f>
        <v>0</v>
      </c>
      <c r="Y274" s="1175">
        <f>'Data &amp; hypothesis Children'!X127</f>
        <v>0</v>
      </c>
      <c r="Z274" s="1175">
        <f>'Data &amp; hypothesis Children'!Y127</f>
        <v>0</v>
      </c>
      <c r="AA274" s="1175">
        <f>'Data &amp; hypothesis Children'!Z127</f>
        <v>0</v>
      </c>
      <c r="AB274" s="1175">
        <f>'Data &amp; hypothesis Children'!AA127</f>
        <v>0</v>
      </c>
      <c r="AC274" s="1175">
        <f>'Data &amp; hypothesis Children'!AB127</f>
        <v>0</v>
      </c>
      <c r="AD274" s="1175">
        <f>'Data &amp; hypothesis Children'!AC127</f>
        <v>0</v>
      </c>
      <c r="AE274" s="1175">
        <f>'Data &amp; hypothesis Children'!AD127</f>
        <v>0</v>
      </c>
      <c r="AF274" s="1175">
        <f>'Data &amp; hypothesis Children'!AE127</f>
        <v>0</v>
      </c>
      <c r="AG274" s="1175">
        <f>'Data &amp; hypothesis Children'!AF127</f>
        <v>0</v>
      </c>
      <c r="AH274" s="1415">
        <f>'Data &amp; hypothesis Children'!AG127</f>
        <v>0</v>
      </c>
      <c r="AI274" s="1339" t="e">
        <f t="shared" ref="AI274:AI275" si="57">F76</f>
        <v>#DIV/0!</v>
      </c>
      <c r="AJ274" s="1340" t="e">
        <f t="shared" ref="AJ274:AJ275" si="58">F92</f>
        <v>#DIV/0!</v>
      </c>
    </row>
    <row r="275" spans="1:36" s="1279" customFormat="1" ht="15" x14ac:dyDescent="0.25">
      <c r="A275" s="1282"/>
      <c r="C275" s="1301" t="str">
        <v>AZT+3TC+EFV</v>
      </c>
      <c r="D275" s="1175">
        <f>'Data &amp; hypothesis Children'!C128</f>
        <v>0</v>
      </c>
      <c r="E275" s="1175">
        <f>'Data &amp; hypothesis Children'!D128</f>
        <v>0</v>
      </c>
      <c r="F275" s="1175">
        <f>'Data &amp; hypothesis Children'!E128</f>
        <v>0</v>
      </c>
      <c r="G275" s="1175">
        <f>'Data &amp; hypothesis Children'!F128</f>
        <v>0</v>
      </c>
      <c r="H275" s="1175">
        <f>'Data &amp; hypothesis Children'!G128</f>
        <v>0</v>
      </c>
      <c r="I275" s="1175">
        <f>'Data &amp; hypothesis Children'!H128</f>
        <v>0</v>
      </c>
      <c r="J275" s="1175">
        <f>'Data &amp; hypothesis Children'!I128</f>
        <v>0</v>
      </c>
      <c r="K275" s="1413">
        <f>'Data &amp; hypothesis Children'!J128</f>
        <v>0</v>
      </c>
      <c r="L275" s="1414">
        <f>'Data &amp; hypothesis Children'!K128</f>
        <v>0</v>
      </c>
      <c r="M275" s="1175">
        <f>'Data &amp; hypothesis Children'!L128</f>
        <v>0</v>
      </c>
      <c r="N275" s="1175">
        <f>'Data &amp; hypothesis Children'!M128</f>
        <v>0</v>
      </c>
      <c r="O275" s="1175">
        <f>'Data &amp; hypothesis Children'!N128</f>
        <v>0</v>
      </c>
      <c r="P275" s="1175">
        <f>'Data &amp; hypothesis Children'!O128</f>
        <v>0</v>
      </c>
      <c r="Q275" s="1175">
        <f>'Data &amp; hypothesis Children'!P128</f>
        <v>0</v>
      </c>
      <c r="R275" s="1175">
        <f>'Data &amp; hypothesis Children'!Q128</f>
        <v>0</v>
      </c>
      <c r="S275" s="1175">
        <f>'Data &amp; hypothesis Children'!R128</f>
        <v>0</v>
      </c>
      <c r="T275" s="1175">
        <f>'Data &amp; hypothesis Children'!S128</f>
        <v>0</v>
      </c>
      <c r="U275" s="1175">
        <f>'Data &amp; hypothesis Children'!T128</f>
        <v>0</v>
      </c>
      <c r="V275" s="1175">
        <f>'Data &amp; hypothesis Children'!U128</f>
        <v>0</v>
      </c>
      <c r="W275" s="1175">
        <f>'Data &amp; hypothesis Children'!V128</f>
        <v>0</v>
      </c>
      <c r="X275" s="1175">
        <f>'Data &amp; hypothesis Children'!W128</f>
        <v>0</v>
      </c>
      <c r="Y275" s="1175">
        <f>'Data &amp; hypothesis Children'!X128</f>
        <v>0</v>
      </c>
      <c r="Z275" s="1175">
        <f>'Data &amp; hypothesis Children'!Y128</f>
        <v>0</v>
      </c>
      <c r="AA275" s="1175">
        <f>'Data &amp; hypothesis Children'!Z128</f>
        <v>0</v>
      </c>
      <c r="AB275" s="1175">
        <f>'Data &amp; hypothesis Children'!AA128</f>
        <v>0</v>
      </c>
      <c r="AC275" s="1175">
        <f>'Data &amp; hypothesis Children'!AB128</f>
        <v>0</v>
      </c>
      <c r="AD275" s="1175">
        <f>'Data &amp; hypothesis Children'!AC128</f>
        <v>0</v>
      </c>
      <c r="AE275" s="1175">
        <f>'Data &amp; hypothesis Children'!AD128</f>
        <v>0</v>
      </c>
      <c r="AF275" s="1175">
        <f>'Data &amp; hypothesis Children'!AE128</f>
        <v>0</v>
      </c>
      <c r="AG275" s="1175">
        <f>'Data &amp; hypothesis Children'!AF128</f>
        <v>0</v>
      </c>
      <c r="AH275" s="1415">
        <f>'Data &amp; hypothesis Children'!AG128</f>
        <v>0</v>
      </c>
      <c r="AI275" s="1339" t="e">
        <f t="shared" si="57"/>
        <v>#DIV/0!</v>
      </c>
      <c r="AJ275" s="1340" t="e">
        <f t="shared" si="58"/>
        <v>#DIV/0!</v>
      </c>
    </row>
    <row r="276" spans="1:36" s="1279" customFormat="1" ht="15.75" thickBot="1" x14ac:dyDescent="0.3">
      <c r="A276" s="1282"/>
      <c r="C276" s="1301">
        <v>0</v>
      </c>
      <c r="D276" s="1175">
        <f>'Data &amp; hypothesis Children'!C129</f>
        <v>0</v>
      </c>
      <c r="E276" s="1175">
        <f>'Data &amp; hypothesis Children'!D129</f>
        <v>0</v>
      </c>
      <c r="F276" s="1175">
        <f>'Data &amp; hypothesis Children'!E129</f>
        <v>0</v>
      </c>
      <c r="G276" s="1175">
        <f>'Data &amp; hypothesis Children'!F129</f>
        <v>0</v>
      </c>
      <c r="H276" s="1175">
        <f>'Data &amp; hypothesis Children'!G129</f>
        <v>0</v>
      </c>
      <c r="I276" s="1175">
        <f>'Data &amp; hypothesis Children'!H129</f>
        <v>0</v>
      </c>
      <c r="J276" s="1175">
        <f>'Data &amp; hypothesis Children'!I129</f>
        <v>0</v>
      </c>
      <c r="K276" s="1413">
        <f>'Data &amp; hypothesis Children'!J129</f>
        <v>0</v>
      </c>
      <c r="L276" s="1417">
        <f>'Data &amp; hypothesis Children'!K129</f>
        <v>0</v>
      </c>
      <c r="M276" s="1418">
        <f>'Data &amp; hypothesis Children'!L129</f>
        <v>0</v>
      </c>
      <c r="N276" s="1418">
        <f>'Data &amp; hypothesis Children'!M129</f>
        <v>0</v>
      </c>
      <c r="O276" s="1418">
        <f>'Data &amp; hypothesis Children'!N129</f>
        <v>0</v>
      </c>
      <c r="P276" s="1418">
        <f>'Data &amp; hypothesis Children'!O129</f>
        <v>0</v>
      </c>
      <c r="Q276" s="1418">
        <f>'Data &amp; hypothesis Children'!P129</f>
        <v>0</v>
      </c>
      <c r="R276" s="1418">
        <f>'Data &amp; hypothesis Children'!Q129</f>
        <v>0</v>
      </c>
      <c r="S276" s="1418">
        <f>'Data &amp; hypothesis Children'!R129</f>
        <v>0</v>
      </c>
      <c r="T276" s="1418">
        <f>'Data &amp; hypothesis Children'!S129</f>
        <v>0</v>
      </c>
      <c r="U276" s="1418">
        <f>'Data &amp; hypothesis Children'!T129</f>
        <v>0</v>
      </c>
      <c r="V276" s="1418">
        <f>'Data &amp; hypothesis Children'!U129</f>
        <v>0</v>
      </c>
      <c r="W276" s="1418">
        <f>'Data &amp; hypothesis Children'!V129</f>
        <v>0</v>
      </c>
      <c r="X276" s="1418">
        <f>'Data &amp; hypothesis Children'!W129</f>
        <v>0</v>
      </c>
      <c r="Y276" s="1418">
        <f>'Data &amp; hypothesis Children'!X129</f>
        <v>0</v>
      </c>
      <c r="Z276" s="1418">
        <f>'Data &amp; hypothesis Children'!Y129</f>
        <v>0</v>
      </c>
      <c r="AA276" s="1418">
        <f>'Data &amp; hypothesis Children'!Z129</f>
        <v>0</v>
      </c>
      <c r="AB276" s="1418" t="str">
        <f>'Data &amp; hypothesis Children'!AA129</f>
        <v>X</v>
      </c>
      <c r="AC276" s="1418">
        <f>'Data &amp; hypothesis Children'!AB129</f>
        <v>0</v>
      </c>
      <c r="AD276" s="1418">
        <f>'Data &amp; hypothesis Children'!AC129</f>
        <v>0</v>
      </c>
      <c r="AE276" s="1418">
        <f>'Data &amp; hypothesis Children'!AD129</f>
        <v>0</v>
      </c>
      <c r="AF276" s="1418">
        <f>'Data &amp; hypothesis Children'!AE129</f>
        <v>0</v>
      </c>
      <c r="AG276" s="1418">
        <f>'Data &amp; hypothesis Children'!AF129</f>
        <v>0</v>
      </c>
      <c r="AH276" s="1419">
        <f>'Data &amp; hypothesis Children'!AG129</f>
        <v>0</v>
      </c>
      <c r="AI276" s="1339" t="e">
        <f>F78</f>
        <v>#DIV/0!</v>
      </c>
      <c r="AJ276" s="1340" t="e">
        <f>F94</f>
        <v>#DIV/0!</v>
      </c>
    </row>
    <row r="277" spans="1:36" s="1304" customFormat="1" ht="26.25" thickBot="1" x14ac:dyDescent="0.25">
      <c r="A277" s="1303"/>
      <c r="C277" s="1305" t="str">
        <f>'TRAD-Children YEAR(1)'!B118</f>
        <v>Nb de patients-mois / produit - SANS SS</v>
      </c>
      <c r="D277" s="1306">
        <f t="shared" ref="D277:AE277" si="59">SUMIF(D266:D276, "X", $AI266:$AI276)</f>
        <v>0</v>
      </c>
      <c r="E277" s="1306">
        <f t="shared" si="59"/>
        <v>0</v>
      </c>
      <c r="F277" s="1306">
        <f t="shared" si="59"/>
        <v>0</v>
      </c>
      <c r="G277" s="1306">
        <f t="shared" si="59"/>
        <v>0</v>
      </c>
      <c r="H277" s="1306">
        <f t="shared" si="59"/>
        <v>0</v>
      </c>
      <c r="I277" s="1306" t="e">
        <f t="shared" si="59"/>
        <v>#DIV/0!</v>
      </c>
      <c r="J277" s="1306">
        <f t="shared" si="59"/>
        <v>0</v>
      </c>
      <c r="K277" s="1307" t="e">
        <f t="shared" si="59"/>
        <v>#DIV/0!</v>
      </c>
      <c r="L277" s="1308">
        <f t="shared" si="59"/>
        <v>0</v>
      </c>
      <c r="M277" s="1306" t="e">
        <f t="shared" si="59"/>
        <v>#DIV/0!</v>
      </c>
      <c r="N277" s="1306">
        <f t="shared" si="59"/>
        <v>0</v>
      </c>
      <c r="O277" s="1306" t="e">
        <f t="shared" si="59"/>
        <v>#DIV/0!</v>
      </c>
      <c r="P277" s="1306">
        <f t="shared" si="59"/>
        <v>0</v>
      </c>
      <c r="Q277" s="1306">
        <f t="shared" si="59"/>
        <v>0</v>
      </c>
      <c r="R277" s="1306">
        <f t="shared" si="59"/>
        <v>0</v>
      </c>
      <c r="S277" s="1306">
        <f t="shared" si="59"/>
        <v>0</v>
      </c>
      <c r="T277" s="1306">
        <f t="shared" si="59"/>
        <v>0</v>
      </c>
      <c r="U277" s="1306" t="e">
        <f t="shared" si="59"/>
        <v>#DIV/0!</v>
      </c>
      <c r="V277" s="1306">
        <f t="shared" si="59"/>
        <v>0</v>
      </c>
      <c r="W277" s="1306">
        <f t="shared" si="59"/>
        <v>0</v>
      </c>
      <c r="X277" s="1306">
        <f t="shared" si="59"/>
        <v>0</v>
      </c>
      <c r="Y277" s="1306">
        <f t="shared" si="59"/>
        <v>0</v>
      </c>
      <c r="Z277" s="1306">
        <f t="shared" si="59"/>
        <v>0</v>
      </c>
      <c r="AA277" s="1306">
        <f t="shared" si="59"/>
        <v>0</v>
      </c>
      <c r="AB277" s="1306" t="e">
        <f t="shared" si="59"/>
        <v>#DIV/0!</v>
      </c>
      <c r="AC277" s="1306">
        <f t="shared" si="59"/>
        <v>0</v>
      </c>
      <c r="AD277" s="1306">
        <f t="shared" si="59"/>
        <v>0</v>
      </c>
      <c r="AE277" s="1306">
        <f t="shared" si="59"/>
        <v>0</v>
      </c>
      <c r="AF277" s="1306">
        <f t="shared" ref="AF277" si="60">SUMIF(AF266:AF276, "X", $AI266:$AI276)</f>
        <v>0</v>
      </c>
      <c r="AG277" s="1306">
        <f t="shared" ref="AG277" si="61">SUMIF(AG266:AG276, "X", $AI266:$AI276)</f>
        <v>0</v>
      </c>
      <c r="AH277" s="1306">
        <f>SUMIF(AH266:$AH$276, "X", $AI266:$AI276)</f>
        <v>0</v>
      </c>
    </row>
    <row r="278" spans="1:36" s="1304" customFormat="1" ht="26.25" thickBot="1" x14ac:dyDescent="0.25">
      <c r="A278" s="1303"/>
      <c r="C278" s="1305" t="str">
        <f>'TRAD-Children YEAR(1)'!B119</f>
        <v>Nb de patients-mois / produit - AVEC SS</v>
      </c>
      <c r="D278" s="1309">
        <f t="shared" ref="D278:AG278" si="62">SUMIF(D266:D276, "X", $AJ266:$AJ276)</f>
        <v>0</v>
      </c>
      <c r="E278" s="1309">
        <f t="shared" si="62"/>
        <v>0</v>
      </c>
      <c r="F278" s="1309">
        <f t="shared" si="62"/>
        <v>0</v>
      </c>
      <c r="G278" s="1309">
        <f t="shared" si="62"/>
        <v>0</v>
      </c>
      <c r="H278" s="1309">
        <f t="shared" si="62"/>
        <v>0</v>
      </c>
      <c r="I278" s="1309" t="e">
        <f t="shared" si="62"/>
        <v>#DIV/0!</v>
      </c>
      <c r="J278" s="1309">
        <f t="shared" si="62"/>
        <v>0</v>
      </c>
      <c r="K278" s="1310" t="e">
        <f t="shared" si="62"/>
        <v>#DIV/0!</v>
      </c>
      <c r="L278" s="1311">
        <f t="shared" si="62"/>
        <v>0</v>
      </c>
      <c r="M278" s="1309" t="e">
        <f t="shared" si="62"/>
        <v>#DIV/0!</v>
      </c>
      <c r="N278" s="1309">
        <f t="shared" si="62"/>
        <v>0</v>
      </c>
      <c r="O278" s="1309" t="e">
        <f t="shared" si="62"/>
        <v>#DIV/0!</v>
      </c>
      <c r="P278" s="1309">
        <f t="shared" si="62"/>
        <v>0</v>
      </c>
      <c r="Q278" s="1309">
        <f t="shared" si="62"/>
        <v>0</v>
      </c>
      <c r="R278" s="1309">
        <f t="shared" si="62"/>
        <v>0</v>
      </c>
      <c r="S278" s="1309">
        <f t="shared" si="62"/>
        <v>0</v>
      </c>
      <c r="T278" s="1309">
        <f t="shared" si="62"/>
        <v>0</v>
      </c>
      <c r="U278" s="1309" t="e">
        <f t="shared" si="62"/>
        <v>#DIV/0!</v>
      </c>
      <c r="V278" s="1309">
        <f t="shared" si="62"/>
        <v>0</v>
      </c>
      <c r="W278" s="1309">
        <f t="shared" si="62"/>
        <v>0</v>
      </c>
      <c r="X278" s="1309">
        <f t="shared" si="62"/>
        <v>0</v>
      </c>
      <c r="Y278" s="1309">
        <f t="shared" si="62"/>
        <v>0</v>
      </c>
      <c r="Z278" s="1309">
        <f t="shared" si="62"/>
        <v>0</v>
      </c>
      <c r="AA278" s="1309">
        <f t="shared" si="62"/>
        <v>0</v>
      </c>
      <c r="AB278" s="1309" t="e">
        <f t="shared" si="62"/>
        <v>#DIV/0!</v>
      </c>
      <c r="AC278" s="1309">
        <f t="shared" si="62"/>
        <v>0</v>
      </c>
      <c r="AD278" s="1309">
        <f t="shared" si="62"/>
        <v>0</v>
      </c>
      <c r="AE278" s="1309">
        <f t="shared" si="62"/>
        <v>0</v>
      </c>
      <c r="AF278" s="1309">
        <f t="shared" si="62"/>
        <v>0</v>
      </c>
      <c r="AG278" s="1309">
        <f t="shared" si="62"/>
        <v>0</v>
      </c>
      <c r="AH278" s="1309">
        <f>SUMIF(AH266:$AH$276, "X", $AJ266:$AJ276)</f>
        <v>0</v>
      </c>
    </row>
    <row r="279" spans="1:36" s="1304" customFormat="1" ht="26.25" thickBot="1" x14ac:dyDescent="0.25">
      <c r="A279" s="1303"/>
      <c r="C279" s="1305" t="str">
        <f>'TRAD-Children YEAR(1)'!B120</f>
        <v>Nb de cdt - Estimation période SANS SS</v>
      </c>
      <c r="D279" s="1312">
        <f>D277*D264</f>
        <v>0</v>
      </c>
      <c r="E279" s="1312">
        <f>E277*E264</f>
        <v>0</v>
      </c>
      <c r="F279" s="1312">
        <f t="shared" ref="F279:AH279" si="63">F277*F264</f>
        <v>0</v>
      </c>
      <c r="G279" s="1312">
        <f t="shared" si="63"/>
        <v>0</v>
      </c>
      <c r="H279" s="1312">
        <f t="shared" si="63"/>
        <v>0</v>
      </c>
      <c r="I279" s="1312" t="e">
        <f t="shared" si="63"/>
        <v>#DIV/0!</v>
      </c>
      <c r="J279" s="1312">
        <f t="shared" si="63"/>
        <v>0</v>
      </c>
      <c r="K279" s="1313" t="e">
        <f t="shared" si="63"/>
        <v>#DIV/0!</v>
      </c>
      <c r="L279" s="1314">
        <f t="shared" si="63"/>
        <v>0</v>
      </c>
      <c r="M279" s="1312" t="e">
        <f t="shared" si="63"/>
        <v>#DIV/0!</v>
      </c>
      <c r="N279" s="1312">
        <f t="shared" si="63"/>
        <v>0</v>
      </c>
      <c r="O279" s="1312" t="e">
        <f t="shared" si="63"/>
        <v>#DIV/0!</v>
      </c>
      <c r="P279" s="1312">
        <f t="shared" si="63"/>
        <v>0</v>
      </c>
      <c r="Q279" s="1312">
        <f t="shared" si="63"/>
        <v>0</v>
      </c>
      <c r="R279" s="1312">
        <f t="shared" ref="R279" si="64">R277*R264</f>
        <v>0</v>
      </c>
      <c r="S279" s="1312">
        <f t="shared" si="63"/>
        <v>0</v>
      </c>
      <c r="T279" s="1312">
        <f t="shared" si="63"/>
        <v>0</v>
      </c>
      <c r="U279" s="1312" t="e">
        <f t="shared" si="63"/>
        <v>#DIV/0!</v>
      </c>
      <c r="V279" s="1312">
        <f t="shared" ref="V279:AG279" si="65">V277*V264</f>
        <v>0</v>
      </c>
      <c r="W279" s="1312">
        <f t="shared" ref="W279:Y279" si="66">W277*W264</f>
        <v>0</v>
      </c>
      <c r="X279" s="1312">
        <f t="shared" ref="X279" si="67">X277*X264</f>
        <v>0</v>
      </c>
      <c r="Y279" s="1312">
        <f t="shared" si="66"/>
        <v>0</v>
      </c>
      <c r="Z279" s="1312">
        <f t="shared" si="65"/>
        <v>0</v>
      </c>
      <c r="AA279" s="1312">
        <f t="shared" si="65"/>
        <v>0</v>
      </c>
      <c r="AB279" s="1312" t="e">
        <f t="shared" si="65"/>
        <v>#DIV/0!</v>
      </c>
      <c r="AC279" s="1312">
        <f t="shared" si="65"/>
        <v>0</v>
      </c>
      <c r="AD279" s="1312">
        <f t="shared" si="65"/>
        <v>0</v>
      </c>
      <c r="AE279" s="1312">
        <f t="shared" ref="AE279" si="68">AE277*AE264</f>
        <v>0</v>
      </c>
      <c r="AF279" s="1312">
        <f t="shared" si="65"/>
        <v>0</v>
      </c>
      <c r="AG279" s="1312">
        <f t="shared" si="65"/>
        <v>0</v>
      </c>
      <c r="AH279" s="1312">
        <f t="shared" si="63"/>
        <v>0</v>
      </c>
    </row>
    <row r="280" spans="1:36" s="1304" customFormat="1" ht="26.25" thickBot="1" x14ac:dyDescent="0.25">
      <c r="A280" s="1303"/>
      <c r="C280" s="1305" t="str">
        <f>'TRAD-Children YEAR(1)'!B121</f>
        <v>Nb de cdt - Estimation période AVEC SS</v>
      </c>
      <c r="D280" s="1315">
        <f>D278*D264</f>
        <v>0</v>
      </c>
      <c r="E280" s="1315">
        <f t="shared" ref="E280:AH280" si="69">E278*E264</f>
        <v>0</v>
      </c>
      <c r="F280" s="1315">
        <f t="shared" si="69"/>
        <v>0</v>
      </c>
      <c r="G280" s="1315">
        <f t="shared" si="69"/>
        <v>0</v>
      </c>
      <c r="H280" s="1315">
        <f t="shared" si="69"/>
        <v>0</v>
      </c>
      <c r="I280" s="1315" t="e">
        <f t="shared" si="69"/>
        <v>#DIV/0!</v>
      </c>
      <c r="J280" s="1315">
        <f t="shared" si="69"/>
        <v>0</v>
      </c>
      <c r="K280" s="1316" t="e">
        <f t="shared" si="69"/>
        <v>#DIV/0!</v>
      </c>
      <c r="L280" s="1317">
        <f t="shared" si="69"/>
        <v>0</v>
      </c>
      <c r="M280" s="1315" t="e">
        <f t="shared" si="69"/>
        <v>#DIV/0!</v>
      </c>
      <c r="N280" s="1315">
        <f t="shared" si="69"/>
        <v>0</v>
      </c>
      <c r="O280" s="1315" t="e">
        <f t="shared" si="69"/>
        <v>#DIV/0!</v>
      </c>
      <c r="P280" s="1315">
        <f t="shared" si="69"/>
        <v>0</v>
      </c>
      <c r="Q280" s="1315">
        <f t="shared" si="69"/>
        <v>0</v>
      </c>
      <c r="R280" s="1315">
        <f t="shared" ref="R280" si="70">R278*R264</f>
        <v>0</v>
      </c>
      <c r="S280" s="1315">
        <f t="shared" si="69"/>
        <v>0</v>
      </c>
      <c r="T280" s="1315">
        <f t="shared" si="69"/>
        <v>0</v>
      </c>
      <c r="U280" s="1315" t="e">
        <f t="shared" si="69"/>
        <v>#DIV/0!</v>
      </c>
      <c r="V280" s="1315">
        <f t="shared" ref="V280:AG280" si="71">V278*V264</f>
        <v>0</v>
      </c>
      <c r="W280" s="1315">
        <f t="shared" ref="W280:Y280" si="72">W278*W264</f>
        <v>0</v>
      </c>
      <c r="X280" s="1315">
        <f t="shared" ref="X280" si="73">X278*X264</f>
        <v>0</v>
      </c>
      <c r="Y280" s="1315">
        <f t="shared" si="72"/>
        <v>0</v>
      </c>
      <c r="Z280" s="1315">
        <f t="shared" si="71"/>
        <v>0</v>
      </c>
      <c r="AA280" s="1315">
        <f t="shared" si="71"/>
        <v>0</v>
      </c>
      <c r="AB280" s="1315" t="e">
        <f t="shared" si="71"/>
        <v>#DIV/0!</v>
      </c>
      <c r="AC280" s="1315">
        <f t="shared" si="71"/>
        <v>0</v>
      </c>
      <c r="AD280" s="1315">
        <f t="shared" si="71"/>
        <v>0</v>
      </c>
      <c r="AE280" s="1315">
        <f t="shared" ref="AE280" si="74">AE278*AE264</f>
        <v>0</v>
      </c>
      <c r="AF280" s="1315">
        <f t="shared" si="71"/>
        <v>0</v>
      </c>
      <c r="AG280" s="1315">
        <f t="shared" si="71"/>
        <v>0</v>
      </c>
      <c r="AH280" s="1315">
        <f t="shared" si="69"/>
        <v>0</v>
      </c>
    </row>
    <row r="281" spans="1:36" s="1279" customFormat="1" x14ac:dyDescent="0.2">
      <c r="A281" s="1282"/>
    </row>
    <row r="282" spans="1:36" s="1279" customFormat="1" ht="13.5" thickBot="1" x14ac:dyDescent="0.25">
      <c r="A282" s="1282"/>
    </row>
    <row r="283" spans="1:36" s="1279" customFormat="1" ht="13.5" thickBot="1" x14ac:dyDescent="0.25">
      <c r="A283" s="1282"/>
      <c r="B283" s="1283" t="str">
        <f>'TRAD-Children YEAR(1)'!B124</f>
        <v>Tranche 10 - 14,9 kg</v>
      </c>
      <c r="C283" s="1284"/>
      <c r="D283" s="1285"/>
      <c r="E283" s="1285"/>
      <c r="F283" s="1285"/>
      <c r="G283" s="1285"/>
      <c r="H283" s="1285"/>
      <c r="I283" s="1286"/>
    </row>
    <row r="284" spans="1:36" s="1279" customFormat="1" ht="13.5" thickBot="1" x14ac:dyDescent="0.25">
      <c r="A284" s="1282"/>
      <c r="B284" s="1323"/>
      <c r="C284" s="1324"/>
      <c r="D284" s="1325"/>
      <c r="E284" s="1325"/>
      <c r="F284" s="1325"/>
      <c r="G284" s="1325"/>
      <c r="H284" s="1325"/>
      <c r="I284" s="1325"/>
    </row>
    <row r="285" spans="1:36" s="1279" customFormat="1" ht="26.25" thickBot="1" x14ac:dyDescent="0.25">
      <c r="A285" s="1282"/>
      <c r="D285" s="1287" t="str">
        <f>'TRAD-Children YEAR(1)'!B90</f>
        <v>Solutions buvables</v>
      </c>
      <c r="E285" s="1288"/>
      <c r="F285" s="1288"/>
      <c r="G285" s="1288"/>
      <c r="H285" s="1288"/>
      <c r="I285" s="1288"/>
      <c r="J285" s="1284"/>
      <c r="K285" s="1284"/>
      <c r="L285" s="1289" t="str">
        <f>'TRAD-Children YEAR(1)'!B91</f>
        <v>Comprimés</v>
      </c>
      <c r="M285" s="1284"/>
      <c r="N285" s="1284"/>
      <c r="O285" s="1284"/>
      <c r="P285" s="1284"/>
      <c r="Q285" s="1284"/>
      <c r="R285" s="1284"/>
      <c r="S285" s="1284"/>
      <c r="T285" s="1284"/>
      <c r="U285" s="1284"/>
      <c r="V285" s="1284"/>
      <c r="W285" s="1945"/>
      <c r="X285" s="1945"/>
      <c r="Y285" s="1945"/>
      <c r="Z285" s="1284"/>
      <c r="AA285" s="1284"/>
      <c r="AB285" s="1284"/>
      <c r="AC285" s="1284"/>
      <c r="AD285" s="1284"/>
      <c r="AE285" s="1284"/>
      <c r="AF285" s="1284"/>
      <c r="AG285" s="1284"/>
      <c r="AH285" s="1284"/>
    </row>
    <row r="286" spans="1:36" s="1292" customFormat="1" ht="25.5" x14ac:dyDescent="0.2">
      <c r="A286" s="1291"/>
      <c r="C286" s="1332" t="str">
        <f>'TRAD-Children YEAR(1)'!B113</f>
        <v>Nb de boites / mois pour l'ensemble des patients</v>
      </c>
      <c r="D286" s="1329" t="s">
        <v>39</v>
      </c>
      <c r="E286" s="1329" t="s">
        <v>61</v>
      </c>
      <c r="F286" s="1329" t="s">
        <v>15</v>
      </c>
      <c r="G286" s="1329" t="s">
        <v>25</v>
      </c>
      <c r="H286" s="1329" t="s">
        <v>28</v>
      </c>
      <c r="I286" s="1329" t="s">
        <v>19</v>
      </c>
      <c r="J286" s="1329" t="s">
        <v>17</v>
      </c>
      <c r="K286" s="1333" t="s">
        <v>33</v>
      </c>
      <c r="L286" s="1334" t="s">
        <v>7</v>
      </c>
      <c r="M286" s="1330" t="s">
        <v>386</v>
      </c>
      <c r="N286" s="1330" t="s">
        <v>11</v>
      </c>
      <c r="O286" s="1330" t="s">
        <v>387</v>
      </c>
      <c r="P286" s="1330" t="s">
        <v>50</v>
      </c>
      <c r="Q286" s="1330" t="s">
        <v>392</v>
      </c>
      <c r="R286" s="1330" t="s">
        <v>81</v>
      </c>
      <c r="S286" s="1330" t="s">
        <v>140</v>
      </c>
      <c r="T286" s="1330" t="s">
        <v>635</v>
      </c>
      <c r="U286" s="1330" t="s">
        <v>586</v>
      </c>
      <c r="V286" s="1330" t="s">
        <v>575</v>
      </c>
      <c r="W286" s="1946"/>
      <c r="X286" s="1946"/>
      <c r="Y286" s="1946"/>
      <c r="Z286" s="1422" t="s">
        <v>15</v>
      </c>
      <c r="AA286" s="1330" t="s">
        <v>25</v>
      </c>
      <c r="AB286" s="1330" t="s">
        <v>648</v>
      </c>
      <c r="AC286" s="1330" t="s">
        <v>28</v>
      </c>
      <c r="AD286" s="1422" t="s">
        <v>19</v>
      </c>
      <c r="AE286" s="1586" t="s">
        <v>19</v>
      </c>
      <c r="AF286" s="1422" t="s">
        <v>17</v>
      </c>
      <c r="AG286" s="1330" t="s">
        <v>33</v>
      </c>
      <c r="AH286" s="1335" t="s">
        <v>638</v>
      </c>
    </row>
    <row r="287" spans="1:36" s="1292" customFormat="1" ht="25.5" x14ac:dyDescent="0.2">
      <c r="A287" s="1291"/>
      <c r="C287" s="1332" t="str">
        <f>'TRAD-Children YEAR(1)'!B114</f>
        <v>Dosage</v>
      </c>
      <c r="D287" s="1329" t="s">
        <v>41</v>
      </c>
      <c r="E287" s="1329" t="s">
        <v>41</v>
      </c>
      <c r="F287" s="1329" t="s">
        <v>41</v>
      </c>
      <c r="G287" s="1329" t="s">
        <v>44</v>
      </c>
      <c r="H287" s="1329" t="s">
        <v>46</v>
      </c>
      <c r="I287" s="1329" t="s">
        <v>41</v>
      </c>
      <c r="J287" s="1329" t="s">
        <v>259</v>
      </c>
      <c r="K287" s="1333" t="s">
        <v>47</v>
      </c>
      <c r="L287" s="1336" t="s">
        <v>9</v>
      </c>
      <c r="M287" s="1331" t="s">
        <v>384</v>
      </c>
      <c r="N287" s="1331" t="s">
        <v>12</v>
      </c>
      <c r="O287" s="1331" t="s">
        <v>382</v>
      </c>
      <c r="P287" s="1331" t="s">
        <v>80</v>
      </c>
      <c r="Q287" s="1331" t="s">
        <v>131</v>
      </c>
      <c r="R287" s="1331" t="s">
        <v>733</v>
      </c>
      <c r="S287" s="1331" t="s">
        <v>334</v>
      </c>
      <c r="T287" s="1331" t="s">
        <v>636</v>
      </c>
      <c r="U287" s="1331" t="s">
        <v>649</v>
      </c>
      <c r="V287" s="1331" t="s">
        <v>636</v>
      </c>
      <c r="W287" s="1331"/>
      <c r="X287" s="1331"/>
      <c r="Y287" s="1331"/>
      <c r="Z287" s="1424" t="s">
        <v>16</v>
      </c>
      <c r="AA287" s="1331" t="s">
        <v>23</v>
      </c>
      <c r="AB287" s="1331" t="s">
        <v>639</v>
      </c>
      <c r="AC287" s="1331" t="s">
        <v>29</v>
      </c>
      <c r="AD287" s="1424" t="s">
        <v>20</v>
      </c>
      <c r="AE287" s="1424" t="s">
        <v>248</v>
      </c>
      <c r="AF287" s="1424" t="s">
        <v>20</v>
      </c>
      <c r="AG287" s="1331" t="s">
        <v>34</v>
      </c>
      <c r="AH287" s="1337" t="s">
        <v>637</v>
      </c>
    </row>
    <row r="288" spans="1:36" s="1281" customFormat="1" ht="26.25" thickBot="1" x14ac:dyDescent="0.25">
      <c r="A288" s="1280"/>
      <c r="C288" s="1332" t="str">
        <f>'TRAD-Children YEAR(1)'!B115</f>
        <v>Nb de cdt/mois pour la tranche</v>
      </c>
      <c r="D288" s="1404">
        <f t="array" ref="D288:AH288">TRANSPOSE($E$224:$E$254)</f>
        <v>3</v>
      </c>
      <c r="E288" s="1404">
        <v>3</v>
      </c>
      <c r="F288" s="1404">
        <v>1.5</v>
      </c>
      <c r="G288" s="1404">
        <v>1.5</v>
      </c>
      <c r="H288" s="1404">
        <v>2.1</v>
      </c>
      <c r="I288" s="1404">
        <v>2.5</v>
      </c>
      <c r="J288" s="1404">
        <v>1.1666666666666667</v>
      </c>
      <c r="K288" s="1405">
        <v>2</v>
      </c>
      <c r="L288" s="1406">
        <v>0</v>
      </c>
      <c r="M288" s="1407">
        <v>2</v>
      </c>
      <c r="N288" s="1407">
        <v>0</v>
      </c>
      <c r="O288" s="1407">
        <v>2</v>
      </c>
      <c r="P288" s="1407">
        <v>0</v>
      </c>
      <c r="Q288" s="1407">
        <v>2</v>
      </c>
      <c r="R288" s="1407">
        <v>2</v>
      </c>
      <c r="S288" s="1407">
        <v>0</v>
      </c>
      <c r="T288" s="1407">
        <v>2</v>
      </c>
      <c r="U288" s="1407">
        <v>0</v>
      </c>
      <c r="V288" s="1407">
        <v>2</v>
      </c>
      <c r="W288" s="1407">
        <v>0</v>
      </c>
      <c r="X288" s="1407">
        <v>0</v>
      </c>
      <c r="Y288" s="1407">
        <v>0</v>
      </c>
      <c r="Z288" s="1407">
        <v>0</v>
      </c>
      <c r="AA288" s="1407">
        <v>0</v>
      </c>
      <c r="AB288" s="1407">
        <v>2</v>
      </c>
      <c r="AC288" s="1407">
        <v>0</v>
      </c>
      <c r="AD288" s="1407">
        <v>0</v>
      </c>
      <c r="AE288" s="1407">
        <v>2</v>
      </c>
      <c r="AF288" s="1407">
        <v>1</v>
      </c>
      <c r="AG288" s="1407">
        <v>0</v>
      </c>
      <c r="AH288" s="1407">
        <v>1.5</v>
      </c>
      <c r="AI288" s="1338" t="s">
        <v>207</v>
      </c>
    </row>
    <row r="289" spans="1:36" s="1279" customFormat="1" ht="63.75" x14ac:dyDescent="0.2">
      <c r="A289" s="1282"/>
      <c r="B289" s="1293" t="str">
        <f>'TRAD-Children YEAR(1)'!B6</f>
        <v>Schéma thérapeutique</v>
      </c>
      <c r="C289" s="1332" t="str">
        <f>'TRAD-Children YEAR(1)'!B116</f>
        <v>Premières lignes</v>
      </c>
      <c r="D289" s="1297"/>
      <c r="E289" s="1297"/>
      <c r="F289" s="1297"/>
      <c r="G289" s="1297"/>
      <c r="H289" s="1297"/>
      <c r="I289" s="1297"/>
      <c r="J289" s="1297"/>
      <c r="K289" s="1298"/>
      <c r="L289" s="1299"/>
      <c r="M289" s="1297"/>
      <c r="N289" s="1297"/>
      <c r="O289" s="1297"/>
      <c r="P289" s="1297"/>
      <c r="Q289" s="1297"/>
      <c r="R289" s="1297"/>
      <c r="S289" s="1297"/>
      <c r="T289" s="1297"/>
      <c r="U289" s="1297"/>
      <c r="V289" s="1297"/>
      <c r="W289" s="1297"/>
      <c r="X289" s="1297"/>
      <c r="Y289" s="1297"/>
      <c r="Z289" s="1297"/>
      <c r="AA289" s="1297"/>
      <c r="AB289" s="1297"/>
      <c r="AC289" s="1297"/>
      <c r="AD289" s="1297"/>
      <c r="AE289" s="1297"/>
      <c r="AF289" s="1297"/>
      <c r="AG289" s="1297"/>
      <c r="AH289" s="1297"/>
      <c r="AI289" s="1318" t="str">
        <f>'TRAD-Children YEAR(1)'!B122</f>
        <v>nb de patients mois période quantifiée</v>
      </c>
      <c r="AJ289" s="1318" t="str">
        <f>'TRAD-Children YEAR(1)'!B123</f>
        <v>nb de patients mois avec période de sécurité</v>
      </c>
    </row>
    <row r="290" spans="1:36" s="1279" customFormat="1" ht="15" x14ac:dyDescent="0.25">
      <c r="A290" s="1282"/>
      <c r="C290" s="1319" t="str">
        <f t="array" ref="C290:C295">'Data &amp; hypothesis Children'!$C$26:$C$31</f>
        <v>D4T+3TC+NVP</v>
      </c>
      <c r="D290" s="1175">
        <f>'Data &amp; hypothesis Children'!C137</f>
        <v>0</v>
      </c>
      <c r="E290" s="1175">
        <f>'Data &amp; hypothesis Children'!D137</f>
        <v>0</v>
      </c>
      <c r="F290" s="1175">
        <f>'Data &amp; hypothesis Children'!E137</f>
        <v>0</v>
      </c>
      <c r="G290" s="1175">
        <f>'Data &amp; hypothesis Children'!F137</f>
        <v>0</v>
      </c>
      <c r="H290" s="1175">
        <f>'Data &amp; hypothesis Children'!G137</f>
        <v>0</v>
      </c>
      <c r="I290" s="1175">
        <f>'Data &amp; hypothesis Children'!H137</f>
        <v>0</v>
      </c>
      <c r="J290" s="1175">
        <f>'Data &amp; hypothesis Children'!I137</f>
        <v>0</v>
      </c>
      <c r="K290" s="1413">
        <f>'Data &amp; hypothesis Children'!J137</f>
        <v>0</v>
      </c>
      <c r="L290" s="1414">
        <f>'Data &amp; hypothesis Children'!K137</f>
        <v>0</v>
      </c>
      <c r="M290" s="1175">
        <f>'Data &amp; hypothesis Children'!L137</f>
        <v>0</v>
      </c>
      <c r="N290" s="1175">
        <f>'Data &amp; hypothesis Children'!M137</f>
        <v>0</v>
      </c>
      <c r="O290" s="1175">
        <f>'Data &amp; hypothesis Children'!N137</f>
        <v>0</v>
      </c>
      <c r="P290" s="1175">
        <f>'Data &amp; hypothesis Children'!O137</f>
        <v>0</v>
      </c>
      <c r="Q290" s="1175">
        <f>'Data &amp; hypothesis Children'!P137</f>
        <v>0</v>
      </c>
      <c r="R290" s="1175">
        <f>'Data &amp; hypothesis Children'!Q137</f>
        <v>0</v>
      </c>
      <c r="S290" s="1175">
        <f>'Data &amp; hypothesis Children'!R137</f>
        <v>0</v>
      </c>
      <c r="T290" s="1175">
        <f>'Data &amp; hypothesis Children'!S137</f>
        <v>0</v>
      </c>
      <c r="U290" s="1175">
        <f>'Data &amp; hypothesis Children'!T137</f>
        <v>0</v>
      </c>
      <c r="V290" s="1175">
        <f>'Data &amp; hypothesis Children'!U137</f>
        <v>0</v>
      </c>
      <c r="W290" s="1175">
        <f>'Data &amp; hypothesis Children'!V137</f>
        <v>0</v>
      </c>
      <c r="X290" s="1175">
        <f>'Data &amp; hypothesis Children'!W137</f>
        <v>0</v>
      </c>
      <c r="Y290" s="1175">
        <f>'Data &amp; hypothesis Children'!X137</f>
        <v>0</v>
      </c>
      <c r="Z290" s="1175">
        <f>'Data &amp; hypothesis Children'!Y137</f>
        <v>0</v>
      </c>
      <c r="AA290" s="1175">
        <f>'Data &amp; hypothesis Children'!Z137</f>
        <v>0</v>
      </c>
      <c r="AB290" s="1175">
        <f>'Data &amp; hypothesis Children'!AA137</f>
        <v>0</v>
      </c>
      <c r="AC290" s="1175">
        <f>'Data &amp; hypothesis Children'!AB137</f>
        <v>0</v>
      </c>
      <c r="AD290" s="1175">
        <f>'Data &amp; hypothesis Children'!AC137</f>
        <v>0</v>
      </c>
      <c r="AE290" s="1175">
        <f>'Data &amp; hypothesis Children'!AD137</f>
        <v>0</v>
      </c>
      <c r="AF290" s="1175">
        <f>'Data &amp; hypothesis Children'!AE137</f>
        <v>0</v>
      </c>
      <c r="AG290" s="1175">
        <f>'Data &amp; hypothesis Children'!AF137</f>
        <v>0</v>
      </c>
      <c r="AH290" s="1415">
        <f>'Data &amp; hypothesis Children'!AG137</f>
        <v>0</v>
      </c>
      <c r="AI290" s="1339" t="e">
        <f t="shared" ref="AI290:AI295" si="75">G69</f>
        <v>#DIV/0!</v>
      </c>
      <c r="AJ290" s="1340" t="e">
        <f t="shared" ref="AJ290:AJ295" si="76">G85</f>
        <v>#DIV/0!</v>
      </c>
    </row>
    <row r="291" spans="1:36" s="1279" customFormat="1" ht="15" x14ac:dyDescent="0.25">
      <c r="A291" s="1282"/>
      <c r="C291" s="1319" t="str">
        <v>AZT+3TC+NVP</v>
      </c>
      <c r="D291" s="1175">
        <f>'Data &amp; hypothesis Children'!C138</f>
        <v>0</v>
      </c>
      <c r="E291" s="1175">
        <f>'Data &amp; hypothesis Children'!D138</f>
        <v>0</v>
      </c>
      <c r="F291" s="1175">
        <f>'Data &amp; hypothesis Children'!E138</f>
        <v>0</v>
      </c>
      <c r="G291" s="1175">
        <f>'Data &amp; hypothesis Children'!F138</f>
        <v>0</v>
      </c>
      <c r="H291" s="1175">
        <f>'Data &amp; hypothesis Children'!G138</f>
        <v>0</v>
      </c>
      <c r="I291" s="1175">
        <f>'Data &amp; hypothesis Children'!H138</f>
        <v>0</v>
      </c>
      <c r="J291" s="1175">
        <f>'Data &amp; hypothesis Children'!I138</f>
        <v>0</v>
      </c>
      <c r="K291" s="1413">
        <f>'Data &amp; hypothesis Children'!J138</f>
        <v>0</v>
      </c>
      <c r="L291" s="1414">
        <f>'Data &amp; hypothesis Children'!K138</f>
        <v>0</v>
      </c>
      <c r="M291" s="1175" t="str">
        <f>'Data &amp; hypothesis Children'!L138</f>
        <v>X</v>
      </c>
      <c r="N291" s="1175">
        <f>'Data &amp; hypothesis Children'!M138</f>
        <v>0</v>
      </c>
      <c r="O291" s="1175">
        <f>'Data &amp; hypothesis Children'!N138</f>
        <v>0</v>
      </c>
      <c r="P291" s="1175">
        <f>'Data &amp; hypothesis Children'!O138</f>
        <v>0</v>
      </c>
      <c r="Q291" s="1175">
        <f>'Data &amp; hypothesis Children'!P138</f>
        <v>0</v>
      </c>
      <c r="R291" s="1175">
        <f>'Data &amp; hypothesis Children'!Q138</f>
        <v>0</v>
      </c>
      <c r="S291" s="1175">
        <f>'Data &amp; hypothesis Children'!R138</f>
        <v>0</v>
      </c>
      <c r="T291" s="1175">
        <f>'Data &amp; hypothesis Children'!S138</f>
        <v>0</v>
      </c>
      <c r="U291" s="1175">
        <f>'Data &amp; hypothesis Children'!T138</f>
        <v>0</v>
      </c>
      <c r="V291" s="1175">
        <f>'Data &amp; hypothesis Children'!U138</f>
        <v>0</v>
      </c>
      <c r="W291" s="1175">
        <f>'Data &amp; hypothesis Children'!V138</f>
        <v>0</v>
      </c>
      <c r="X291" s="1175">
        <f>'Data &amp; hypothesis Children'!W138</f>
        <v>0</v>
      </c>
      <c r="Y291" s="1175">
        <f>'Data &amp; hypothesis Children'!X138</f>
        <v>0</v>
      </c>
      <c r="Z291" s="1175">
        <f>'Data &amp; hypothesis Children'!Y138</f>
        <v>0</v>
      </c>
      <c r="AA291" s="1175">
        <f>'Data &amp; hypothesis Children'!Z138</f>
        <v>0</v>
      </c>
      <c r="AB291" s="1175">
        <f>'Data &amp; hypothesis Children'!AA138</f>
        <v>0</v>
      </c>
      <c r="AC291" s="1175">
        <f>'Data &amp; hypothesis Children'!AB138</f>
        <v>0</v>
      </c>
      <c r="AD291" s="1175">
        <f>'Data &amp; hypothesis Children'!AC138</f>
        <v>0</v>
      </c>
      <c r="AE291" s="1175">
        <f>'Data &amp; hypothesis Children'!AD138</f>
        <v>0</v>
      </c>
      <c r="AF291" s="1175">
        <f>'Data &amp; hypothesis Children'!AE138</f>
        <v>0</v>
      </c>
      <c r="AG291" s="1175">
        <f>'Data &amp; hypothesis Children'!AF138</f>
        <v>0</v>
      </c>
      <c r="AH291" s="1415">
        <f>'Data &amp; hypothesis Children'!AG138</f>
        <v>0</v>
      </c>
      <c r="AI291" s="1339" t="e">
        <f t="shared" si="75"/>
        <v>#DIV/0!</v>
      </c>
      <c r="AJ291" s="1340" t="e">
        <f t="shared" si="76"/>
        <v>#DIV/0!</v>
      </c>
    </row>
    <row r="292" spans="1:36" s="1279" customFormat="1" ht="15" x14ac:dyDescent="0.25">
      <c r="A292" s="1282"/>
      <c r="C292" s="1319" t="str">
        <v>AZT+3TC+EFV</v>
      </c>
      <c r="D292" s="1175">
        <f>'Data &amp; hypothesis Children'!C139</f>
        <v>0</v>
      </c>
      <c r="E292" s="1175">
        <f>'Data &amp; hypothesis Children'!D139</f>
        <v>0</v>
      </c>
      <c r="F292" s="1175">
        <f>'Data &amp; hypothesis Children'!E139</f>
        <v>0</v>
      </c>
      <c r="G292" s="1175">
        <f>'Data &amp; hypothesis Children'!F139</f>
        <v>0</v>
      </c>
      <c r="H292" s="1175">
        <f>'Data &amp; hypothesis Children'!G139</f>
        <v>0</v>
      </c>
      <c r="I292" s="1175">
        <f>'Data &amp; hypothesis Children'!H139</f>
        <v>0</v>
      </c>
      <c r="J292" s="1175" t="str">
        <f>'Data &amp; hypothesis Children'!I139</f>
        <v>X</v>
      </c>
      <c r="K292" s="1413">
        <f>'Data &amp; hypothesis Children'!J139</f>
        <v>0</v>
      </c>
      <c r="L292" s="1414">
        <f>'Data &amp; hypothesis Children'!K139</f>
        <v>0</v>
      </c>
      <c r="M292" s="1175">
        <f>'Data &amp; hypothesis Children'!L139</f>
        <v>0</v>
      </c>
      <c r="N292" s="1175">
        <f>'Data &amp; hypothesis Children'!M139</f>
        <v>0</v>
      </c>
      <c r="O292" s="1175" t="str">
        <f>'Data &amp; hypothesis Children'!N139</f>
        <v>X</v>
      </c>
      <c r="P292" s="1175">
        <f>'Data &amp; hypothesis Children'!O139</f>
        <v>0</v>
      </c>
      <c r="Q292" s="1175">
        <f>'Data &amp; hypothesis Children'!P139</f>
        <v>0</v>
      </c>
      <c r="R292" s="1175">
        <f>'Data &amp; hypothesis Children'!Q139</f>
        <v>0</v>
      </c>
      <c r="S292" s="1175">
        <f>'Data &amp; hypothesis Children'!R139</f>
        <v>0</v>
      </c>
      <c r="T292" s="1175">
        <f>'Data &amp; hypothesis Children'!S139</f>
        <v>0</v>
      </c>
      <c r="U292" s="1175">
        <f>'Data &amp; hypothesis Children'!T139</f>
        <v>0</v>
      </c>
      <c r="V292" s="1175">
        <f>'Data &amp; hypothesis Children'!U139</f>
        <v>0</v>
      </c>
      <c r="W292" s="1175">
        <f>'Data &amp; hypothesis Children'!V139</f>
        <v>0</v>
      </c>
      <c r="X292" s="1175">
        <f>'Data &amp; hypothesis Children'!W139</f>
        <v>0</v>
      </c>
      <c r="Y292" s="1175">
        <f>'Data &amp; hypothesis Children'!X139</f>
        <v>0</v>
      </c>
      <c r="Z292" s="1175">
        <f>'Data &amp; hypothesis Children'!Y139</f>
        <v>0</v>
      </c>
      <c r="AA292" s="1175">
        <f>'Data &amp; hypothesis Children'!Z139</f>
        <v>0</v>
      </c>
      <c r="AB292" s="1175">
        <f>'Data &amp; hypothesis Children'!AA139</f>
        <v>0</v>
      </c>
      <c r="AC292" s="1175">
        <f>'Data &amp; hypothesis Children'!AB139</f>
        <v>0</v>
      </c>
      <c r="AD292" s="1175">
        <f>'Data &amp; hypothesis Children'!AC139</f>
        <v>0</v>
      </c>
      <c r="AE292" s="1175">
        <f>'Data &amp; hypothesis Children'!AD139</f>
        <v>0</v>
      </c>
      <c r="AF292" s="1175" t="str">
        <f>'Data &amp; hypothesis Children'!AE139</f>
        <v>X</v>
      </c>
      <c r="AG292" s="1175">
        <f>'Data &amp; hypothesis Children'!AF139</f>
        <v>0</v>
      </c>
      <c r="AH292" s="1415">
        <f>'Data &amp; hypothesis Children'!AG139</f>
        <v>0</v>
      </c>
      <c r="AI292" s="1339" t="e">
        <f t="shared" si="75"/>
        <v>#DIV/0!</v>
      </c>
      <c r="AJ292" s="1340" t="e">
        <f t="shared" si="76"/>
        <v>#DIV/0!</v>
      </c>
    </row>
    <row r="293" spans="1:36" s="1279" customFormat="1" ht="15" x14ac:dyDescent="0.25">
      <c r="A293" s="1282"/>
      <c r="C293" s="1319" t="str">
        <v>LPV/r+3TC+ABC</v>
      </c>
      <c r="D293" s="1175">
        <f>'Data &amp; hypothesis Children'!C140</f>
        <v>0</v>
      </c>
      <c r="E293" s="1175">
        <f>'Data &amp; hypothesis Children'!D140</f>
        <v>0</v>
      </c>
      <c r="F293" s="1175">
        <f>'Data &amp; hypothesis Children'!E140</f>
        <v>0</v>
      </c>
      <c r="G293" s="1175">
        <f>'Data &amp; hypothesis Children'!F140</f>
        <v>0</v>
      </c>
      <c r="H293" s="1175">
        <f>'Data &amp; hypothesis Children'!G140</f>
        <v>0</v>
      </c>
      <c r="I293" s="1175">
        <f>'Data &amp; hypothesis Children'!H140</f>
        <v>0</v>
      </c>
      <c r="J293" s="1175">
        <f>'Data &amp; hypothesis Children'!I140</f>
        <v>0</v>
      </c>
      <c r="K293" s="1413" t="str">
        <f>'Data &amp; hypothesis Children'!J140</f>
        <v>X</v>
      </c>
      <c r="L293" s="1414">
        <f>'Data &amp; hypothesis Children'!K140</f>
        <v>0</v>
      </c>
      <c r="M293" s="1175">
        <f>'Data &amp; hypothesis Children'!L140</f>
        <v>0</v>
      </c>
      <c r="N293" s="1175">
        <f>'Data &amp; hypothesis Children'!M140</f>
        <v>0</v>
      </c>
      <c r="O293" s="1175">
        <f>'Data &amp; hypothesis Children'!N140</f>
        <v>0</v>
      </c>
      <c r="P293" s="1175">
        <f>'Data &amp; hypothesis Children'!O140</f>
        <v>0</v>
      </c>
      <c r="Q293" s="1175">
        <f>'Data &amp; hypothesis Children'!P140</f>
        <v>0</v>
      </c>
      <c r="R293" s="1175">
        <f>'Data &amp; hypothesis Children'!Q140</f>
        <v>0</v>
      </c>
      <c r="S293" s="1175">
        <f>'Data &amp; hypothesis Children'!R140</f>
        <v>0</v>
      </c>
      <c r="T293" s="1175">
        <f>'Data &amp; hypothesis Children'!S140</f>
        <v>0</v>
      </c>
      <c r="U293" s="1175">
        <f>'Data &amp; hypothesis Children'!T140</f>
        <v>0</v>
      </c>
      <c r="V293" s="1175" t="str">
        <f>'Data &amp; hypothesis Children'!U140</f>
        <v>X</v>
      </c>
      <c r="W293" s="1175">
        <f>'Data &amp; hypothesis Children'!V140</f>
        <v>0</v>
      </c>
      <c r="X293" s="1175">
        <f>'Data &amp; hypothesis Children'!W140</f>
        <v>0</v>
      </c>
      <c r="Y293" s="1175">
        <f>'Data &amp; hypothesis Children'!X140</f>
        <v>0</v>
      </c>
      <c r="Z293" s="1175">
        <f>'Data &amp; hypothesis Children'!Y140</f>
        <v>0</v>
      </c>
      <c r="AA293" s="1175">
        <f>'Data &amp; hypothesis Children'!Z140</f>
        <v>0</v>
      </c>
      <c r="AB293" s="1175">
        <f>'Data &amp; hypothesis Children'!AA140</f>
        <v>0</v>
      </c>
      <c r="AC293" s="1175">
        <f>'Data &amp; hypothesis Children'!AB140</f>
        <v>0</v>
      </c>
      <c r="AD293" s="1175">
        <f>'Data &amp; hypothesis Children'!AC140</f>
        <v>0</v>
      </c>
      <c r="AE293" s="1175">
        <f>'Data &amp; hypothesis Children'!AD140</f>
        <v>0</v>
      </c>
      <c r="AF293" s="1175">
        <f>'Data &amp; hypothesis Children'!AE140</f>
        <v>0</v>
      </c>
      <c r="AG293" s="1175">
        <f>'Data &amp; hypothesis Children'!AF140</f>
        <v>0</v>
      </c>
      <c r="AH293" s="1415">
        <f>'Data &amp; hypothesis Children'!AG140</f>
        <v>0</v>
      </c>
      <c r="AI293" s="1339" t="e">
        <f t="shared" si="75"/>
        <v>#DIV/0!</v>
      </c>
      <c r="AJ293" s="1340" t="e">
        <f t="shared" si="76"/>
        <v>#DIV/0!</v>
      </c>
    </row>
    <row r="294" spans="1:36" s="1279" customFormat="1" ht="15" x14ac:dyDescent="0.25">
      <c r="A294" s="1282"/>
      <c r="C294" s="1319" t="str">
        <v>ABC+3TC+NVP</v>
      </c>
      <c r="D294" s="1175">
        <f>'Data &amp; hypothesis Children'!C141</f>
        <v>0</v>
      </c>
      <c r="E294" s="1175">
        <f>'Data &amp; hypothesis Children'!D141</f>
        <v>0</v>
      </c>
      <c r="F294" s="1175">
        <f>'Data &amp; hypothesis Children'!E141</f>
        <v>0</v>
      </c>
      <c r="G294" s="1175">
        <f>'Data &amp; hypothesis Children'!F141</f>
        <v>0</v>
      </c>
      <c r="H294" s="1175">
        <f>'Data &amp; hypothesis Children'!G141</f>
        <v>0</v>
      </c>
      <c r="I294" s="1175" t="str">
        <f>'Data &amp; hypothesis Children'!H141</f>
        <v>X</v>
      </c>
      <c r="J294" s="1175">
        <f>'Data &amp; hypothesis Children'!I141</f>
        <v>0</v>
      </c>
      <c r="K294" s="1413">
        <f>'Data &amp; hypothesis Children'!J141</f>
        <v>0</v>
      </c>
      <c r="L294" s="1414">
        <f>'Data &amp; hypothesis Children'!K141</f>
        <v>0</v>
      </c>
      <c r="M294" s="1175">
        <f>'Data &amp; hypothesis Children'!L141</f>
        <v>0</v>
      </c>
      <c r="N294" s="1175">
        <f>'Data &amp; hypothesis Children'!M141</f>
        <v>0</v>
      </c>
      <c r="O294" s="1175">
        <f>'Data &amp; hypothesis Children'!N141</f>
        <v>0</v>
      </c>
      <c r="P294" s="1175">
        <f>'Data &amp; hypothesis Children'!O141</f>
        <v>0</v>
      </c>
      <c r="Q294" s="1175">
        <f>'Data &amp; hypothesis Children'!P141</f>
        <v>0</v>
      </c>
      <c r="R294" s="1175">
        <f>'Data &amp; hypothesis Children'!Q141</f>
        <v>0</v>
      </c>
      <c r="S294" s="1175">
        <f>'Data &amp; hypothesis Children'!R141</f>
        <v>0</v>
      </c>
      <c r="T294" s="1175">
        <f>'Data &amp; hypothesis Children'!S141</f>
        <v>0</v>
      </c>
      <c r="U294" s="1175" t="str">
        <f>'Data &amp; hypothesis Children'!T141</f>
        <v>X</v>
      </c>
      <c r="V294" s="1175">
        <f>'Data &amp; hypothesis Children'!U141</f>
        <v>0</v>
      </c>
      <c r="W294" s="1175">
        <f>'Data &amp; hypothesis Children'!V141</f>
        <v>0</v>
      </c>
      <c r="X294" s="1175">
        <f>'Data &amp; hypothesis Children'!W141</f>
        <v>0</v>
      </c>
      <c r="Y294" s="1175">
        <f>'Data &amp; hypothesis Children'!X141</f>
        <v>0</v>
      </c>
      <c r="Z294" s="1175">
        <f>'Data &amp; hypothesis Children'!Y141</f>
        <v>0</v>
      </c>
      <c r="AA294" s="1175">
        <f>'Data &amp; hypothesis Children'!Z141</f>
        <v>0</v>
      </c>
      <c r="AB294" s="1175">
        <f>'Data &amp; hypothesis Children'!AA141</f>
        <v>0</v>
      </c>
      <c r="AC294" s="1175">
        <f>'Data &amp; hypothesis Children'!AB141</f>
        <v>0</v>
      </c>
      <c r="AD294" s="1175">
        <f>'Data &amp; hypothesis Children'!AC141</f>
        <v>0</v>
      </c>
      <c r="AE294" s="1175" t="str">
        <f>'Data &amp; hypothesis Children'!AD141</f>
        <v>X</v>
      </c>
      <c r="AF294" s="1175">
        <f>'Data &amp; hypothesis Children'!AE141</f>
        <v>0</v>
      </c>
      <c r="AG294" s="1175">
        <f>'Data &amp; hypothesis Children'!AF141</f>
        <v>0</v>
      </c>
      <c r="AH294" s="1415">
        <f>'Data &amp; hypothesis Children'!AG141</f>
        <v>0</v>
      </c>
      <c r="AI294" s="1339" t="e">
        <f t="shared" si="75"/>
        <v>#DIV/0!</v>
      </c>
      <c r="AJ294" s="1340" t="e">
        <f t="shared" si="76"/>
        <v>#DIV/0!</v>
      </c>
    </row>
    <row r="295" spans="1:36" s="1279" customFormat="1" ht="15" x14ac:dyDescent="0.25">
      <c r="A295" s="1282"/>
      <c r="C295" s="1319" t="str">
        <v>AZT+3TC+LPV/r</v>
      </c>
      <c r="D295" s="1175">
        <f>'Data &amp; hypothesis Children'!C142</f>
        <v>0</v>
      </c>
      <c r="E295" s="1175">
        <f>'Data &amp; hypothesis Children'!D142</f>
        <v>0</v>
      </c>
      <c r="F295" s="1175">
        <f>'Data &amp; hypothesis Children'!E142</f>
        <v>0</v>
      </c>
      <c r="G295" s="1175">
        <f>'Data &amp; hypothesis Children'!F142</f>
        <v>0</v>
      </c>
      <c r="H295" s="1175">
        <f>'Data &amp; hypothesis Children'!G142</f>
        <v>0</v>
      </c>
      <c r="I295" s="1175">
        <f>'Data &amp; hypothesis Children'!H142</f>
        <v>0</v>
      </c>
      <c r="J295" s="1175">
        <f>'Data &amp; hypothesis Children'!I142</f>
        <v>0</v>
      </c>
      <c r="K295" s="1413" t="str">
        <f>'Data &amp; hypothesis Children'!J142</f>
        <v>X</v>
      </c>
      <c r="L295" s="1414">
        <f>'Data &amp; hypothesis Children'!K142</f>
        <v>0</v>
      </c>
      <c r="M295" s="1175">
        <f>'Data &amp; hypothesis Children'!L142</f>
        <v>0</v>
      </c>
      <c r="N295" s="1175">
        <f>'Data &amp; hypothesis Children'!M142</f>
        <v>0</v>
      </c>
      <c r="O295" s="1175" t="str">
        <f>'Data &amp; hypothesis Children'!N142</f>
        <v>X</v>
      </c>
      <c r="P295" s="1175">
        <f>'Data &amp; hypothesis Children'!O142</f>
        <v>0</v>
      </c>
      <c r="Q295" s="1175">
        <f>'Data &amp; hypothesis Children'!P142</f>
        <v>0</v>
      </c>
      <c r="R295" s="1175">
        <f>'Data &amp; hypothesis Children'!Q142</f>
        <v>0</v>
      </c>
      <c r="S295" s="1175">
        <f>'Data &amp; hypothesis Children'!R142</f>
        <v>0</v>
      </c>
      <c r="T295" s="1175">
        <f>'Data &amp; hypothesis Children'!S142</f>
        <v>0</v>
      </c>
      <c r="U295" s="1175">
        <f>'Data &amp; hypothesis Children'!T142</f>
        <v>0</v>
      </c>
      <c r="V295" s="1175">
        <f>'Data &amp; hypothesis Children'!U142</f>
        <v>0</v>
      </c>
      <c r="W295" s="1175">
        <f>'Data &amp; hypothesis Children'!V142</f>
        <v>0</v>
      </c>
      <c r="X295" s="1175">
        <f>'Data &amp; hypothesis Children'!W142</f>
        <v>0</v>
      </c>
      <c r="Y295" s="1175">
        <f>'Data &amp; hypothesis Children'!X142</f>
        <v>0</v>
      </c>
      <c r="Z295" s="1175">
        <f>'Data &amp; hypothesis Children'!Y142</f>
        <v>0</v>
      </c>
      <c r="AA295" s="1175">
        <f>'Data &amp; hypothesis Children'!Z142</f>
        <v>0</v>
      </c>
      <c r="AB295" s="1175">
        <f>'Data &amp; hypothesis Children'!AA142</f>
        <v>0</v>
      </c>
      <c r="AC295" s="1175">
        <f>'Data &amp; hypothesis Children'!AB142</f>
        <v>0</v>
      </c>
      <c r="AD295" s="1175">
        <f>'Data &amp; hypothesis Children'!AC142</f>
        <v>0</v>
      </c>
      <c r="AE295" s="1175">
        <f>'Data &amp; hypothesis Children'!AD142</f>
        <v>0</v>
      </c>
      <c r="AF295" s="1175">
        <f>'Data &amp; hypothesis Children'!AE142</f>
        <v>0</v>
      </c>
      <c r="AG295" s="1175">
        <f>'Data &amp; hypothesis Children'!AF142</f>
        <v>0</v>
      </c>
      <c r="AH295" s="1415" t="str">
        <f>'Data &amp; hypothesis Children'!AG142</f>
        <v>X</v>
      </c>
      <c r="AI295" s="1339" t="e">
        <f t="shared" si="75"/>
        <v>#DIV/0!</v>
      </c>
      <c r="AJ295" s="1340" t="e">
        <f t="shared" si="76"/>
        <v>#DIV/0!</v>
      </c>
    </row>
    <row r="296" spans="1:36" s="1279" customFormat="1" x14ac:dyDescent="0.2">
      <c r="A296" s="1282"/>
      <c r="C296" s="1296" t="str">
        <f>'TRAD-Children YEAR(1)'!$B$117</f>
        <v>Deuxièmes lignes</v>
      </c>
      <c r="D296" s="1410"/>
      <c r="E296" s="1410"/>
      <c r="F296" s="1410"/>
      <c r="G296" s="1410"/>
      <c r="H296" s="1410"/>
      <c r="I296" s="1410"/>
      <c r="J296" s="1410"/>
      <c r="K296" s="1411"/>
      <c r="L296" s="1412"/>
      <c r="M296" s="1410"/>
      <c r="N296" s="1410"/>
      <c r="O296" s="1410"/>
      <c r="P296" s="1410"/>
      <c r="Q296" s="1410"/>
      <c r="R296" s="1410"/>
      <c r="S296" s="1410"/>
      <c r="T296" s="1410"/>
      <c r="U296" s="1410"/>
      <c r="V296" s="1410"/>
      <c r="W296" s="1410"/>
      <c r="X296" s="1410"/>
      <c r="Y296" s="1410"/>
      <c r="Z296" s="1410"/>
      <c r="AA296" s="1410"/>
      <c r="AB296" s="1410"/>
      <c r="AC296" s="1410"/>
      <c r="AD296" s="1410"/>
      <c r="AE296" s="1410"/>
      <c r="AF296" s="1410"/>
      <c r="AG296" s="1410"/>
      <c r="AH296" s="1416"/>
      <c r="AI296" s="1339"/>
      <c r="AJ296" s="1340"/>
    </row>
    <row r="297" spans="1:36" s="1279" customFormat="1" ht="15" x14ac:dyDescent="0.25">
      <c r="A297" s="1282"/>
      <c r="C297" s="1301" t="str">
        <f t="array" ref="C297:C300">'Data &amp; hypothesis Children'!$C$32:$C$35</f>
        <v>ABC+3TC+EFV</v>
      </c>
      <c r="D297" s="1175">
        <f>'Data &amp; hypothesis Children'!C144</f>
        <v>0</v>
      </c>
      <c r="E297" s="1175">
        <f>'Data &amp; hypothesis Children'!D144</f>
        <v>0</v>
      </c>
      <c r="F297" s="1175">
        <f>'Data &amp; hypothesis Children'!E144</f>
        <v>0</v>
      </c>
      <c r="G297" s="1175">
        <f>'Data &amp; hypothesis Children'!F144</f>
        <v>0</v>
      </c>
      <c r="H297" s="1175">
        <f>'Data &amp; hypothesis Children'!G144</f>
        <v>0</v>
      </c>
      <c r="I297" s="1175">
        <f>'Data &amp; hypothesis Children'!H144</f>
        <v>0</v>
      </c>
      <c r="J297" s="1175" t="str">
        <f>'Data &amp; hypothesis Children'!I144</f>
        <v>X</v>
      </c>
      <c r="K297" s="1413">
        <f>'Data &amp; hypothesis Children'!J144</f>
        <v>0</v>
      </c>
      <c r="L297" s="1414">
        <f>'Data &amp; hypothesis Children'!K144</f>
        <v>0</v>
      </c>
      <c r="M297" s="1175">
        <f>'Data &amp; hypothesis Children'!L144</f>
        <v>0</v>
      </c>
      <c r="N297" s="1175">
        <f>'Data &amp; hypothesis Children'!M144</f>
        <v>0</v>
      </c>
      <c r="O297" s="1175">
        <f>'Data &amp; hypothesis Children'!N144</f>
        <v>0</v>
      </c>
      <c r="P297" s="1175">
        <f>'Data &amp; hypothesis Children'!O144</f>
        <v>0</v>
      </c>
      <c r="Q297" s="1175">
        <f>'Data &amp; hypothesis Children'!P144</f>
        <v>0</v>
      </c>
      <c r="R297" s="1175">
        <f>'Data &amp; hypothesis Children'!Q144</f>
        <v>0</v>
      </c>
      <c r="S297" s="1175">
        <f>'Data &amp; hypothesis Children'!R144</f>
        <v>0</v>
      </c>
      <c r="T297" s="1175">
        <f>'Data &amp; hypothesis Children'!S144</f>
        <v>0</v>
      </c>
      <c r="U297" s="1175">
        <f>'Data &amp; hypothesis Children'!T144</f>
        <v>0</v>
      </c>
      <c r="V297" s="1175" t="str">
        <f>'Data &amp; hypothesis Children'!U144</f>
        <v>X</v>
      </c>
      <c r="W297" s="1175">
        <f>'Data &amp; hypothesis Children'!V144</f>
        <v>0</v>
      </c>
      <c r="X297" s="1175">
        <f>'Data &amp; hypothesis Children'!W144</f>
        <v>0</v>
      </c>
      <c r="Y297" s="1175">
        <f>'Data &amp; hypothesis Children'!X144</f>
        <v>0</v>
      </c>
      <c r="Z297" s="1175">
        <f>'Data &amp; hypothesis Children'!Y144</f>
        <v>0</v>
      </c>
      <c r="AA297" s="1175">
        <f>'Data &amp; hypothesis Children'!Z144</f>
        <v>0</v>
      </c>
      <c r="AB297" s="1175">
        <f>'Data &amp; hypothesis Children'!AA144</f>
        <v>0</v>
      </c>
      <c r="AC297" s="1175">
        <f>'Data &amp; hypothesis Children'!AB144</f>
        <v>0</v>
      </c>
      <c r="AD297" s="1175">
        <f>'Data &amp; hypothesis Children'!AC144</f>
        <v>0</v>
      </c>
      <c r="AE297" s="1175">
        <f>'Data &amp; hypothesis Children'!AD144</f>
        <v>0</v>
      </c>
      <c r="AF297" s="1175">
        <f>'Data &amp; hypothesis Children'!AE144</f>
        <v>0</v>
      </c>
      <c r="AG297" s="1175">
        <f>'Data &amp; hypothesis Children'!AF144</f>
        <v>0</v>
      </c>
      <c r="AH297" s="1415" t="str">
        <f>'Data &amp; hypothesis Children'!AG144</f>
        <v>X</v>
      </c>
      <c r="AI297" s="1339" t="e">
        <f>G75</f>
        <v>#DIV/0!</v>
      </c>
      <c r="AJ297" s="1340" t="e">
        <f>G91</f>
        <v>#DIV/0!</v>
      </c>
    </row>
    <row r="298" spans="1:36" s="1279" customFormat="1" ht="15" x14ac:dyDescent="0.25">
      <c r="A298" s="1282"/>
      <c r="C298" s="1301" t="str">
        <v>TDF+3TC+LPV/r</v>
      </c>
      <c r="D298" s="1175">
        <f>'Data &amp; hypothesis Children'!C145</f>
        <v>0</v>
      </c>
      <c r="E298" s="1175">
        <f>'Data &amp; hypothesis Children'!D145</f>
        <v>0</v>
      </c>
      <c r="F298" s="1175">
        <f>'Data &amp; hypothesis Children'!E145</f>
        <v>0</v>
      </c>
      <c r="G298" s="1175">
        <f>'Data &amp; hypothesis Children'!F145</f>
        <v>0</v>
      </c>
      <c r="H298" s="1175">
        <f>'Data &amp; hypothesis Children'!G145</f>
        <v>0</v>
      </c>
      <c r="I298" s="1175">
        <f>'Data &amp; hypothesis Children'!H145</f>
        <v>0</v>
      </c>
      <c r="J298" s="1175">
        <f>'Data &amp; hypothesis Children'!I145</f>
        <v>0</v>
      </c>
      <c r="K298" s="1413">
        <f>'Data &amp; hypothesis Children'!J145</f>
        <v>0</v>
      </c>
      <c r="L298" s="1414">
        <f>'Data &amp; hypothesis Children'!K145</f>
        <v>0</v>
      </c>
      <c r="M298" s="1175">
        <f>'Data &amp; hypothesis Children'!L145</f>
        <v>0</v>
      </c>
      <c r="N298" s="1175">
        <f>'Data &amp; hypothesis Children'!M145</f>
        <v>0</v>
      </c>
      <c r="O298" s="1175">
        <f>'Data &amp; hypothesis Children'!N145</f>
        <v>0</v>
      </c>
      <c r="P298" s="1175">
        <f>'Data &amp; hypothesis Children'!O145</f>
        <v>0</v>
      </c>
      <c r="Q298" s="1175">
        <f>'Data &amp; hypothesis Children'!P145</f>
        <v>0</v>
      </c>
      <c r="R298" s="1175">
        <f>'Data &amp; hypothesis Children'!Q145</f>
        <v>0</v>
      </c>
      <c r="S298" s="1175">
        <f>'Data &amp; hypothesis Children'!R145</f>
        <v>0</v>
      </c>
      <c r="T298" s="1175">
        <f>'Data &amp; hypothesis Children'!S145</f>
        <v>0</v>
      </c>
      <c r="U298" s="1175">
        <f>'Data &amp; hypothesis Children'!T145</f>
        <v>0</v>
      </c>
      <c r="V298" s="1175">
        <f>'Data &amp; hypothesis Children'!U145</f>
        <v>0</v>
      </c>
      <c r="W298" s="1175">
        <f>'Data &amp; hypothesis Children'!V145</f>
        <v>0</v>
      </c>
      <c r="X298" s="1175">
        <f>'Data &amp; hypothesis Children'!W145</f>
        <v>0</v>
      </c>
      <c r="Y298" s="1175">
        <f>'Data &amp; hypothesis Children'!X145</f>
        <v>0</v>
      </c>
      <c r="Z298" s="1175">
        <f>'Data &amp; hypothesis Children'!Y145</f>
        <v>0</v>
      </c>
      <c r="AA298" s="1175">
        <f>'Data &amp; hypothesis Children'!Z145</f>
        <v>0</v>
      </c>
      <c r="AB298" s="1175">
        <f>'Data &amp; hypothesis Children'!AA145</f>
        <v>0</v>
      </c>
      <c r="AC298" s="1175">
        <f>'Data &amp; hypothesis Children'!AB145</f>
        <v>0</v>
      </c>
      <c r="AD298" s="1175">
        <f>'Data &amp; hypothesis Children'!AC145</f>
        <v>0</v>
      </c>
      <c r="AE298" s="1175">
        <f>'Data &amp; hypothesis Children'!AD145</f>
        <v>0</v>
      </c>
      <c r="AF298" s="1175">
        <f>'Data &amp; hypothesis Children'!AE145</f>
        <v>0</v>
      </c>
      <c r="AG298" s="1175">
        <f>'Data &amp; hypothesis Children'!AF145</f>
        <v>0</v>
      </c>
      <c r="AH298" s="1415" t="str">
        <f>'Data &amp; hypothesis Children'!AG145</f>
        <v>X</v>
      </c>
      <c r="AI298" s="1339" t="e">
        <f t="shared" ref="AI298:AI299" si="77">G76</f>
        <v>#DIV/0!</v>
      </c>
      <c r="AJ298" s="1340" t="e">
        <f t="shared" ref="AJ298:AJ299" si="78">G92</f>
        <v>#DIV/0!</v>
      </c>
    </row>
    <row r="299" spans="1:36" s="1279" customFormat="1" ht="15" x14ac:dyDescent="0.25">
      <c r="A299" s="1282"/>
      <c r="C299" s="1301" t="str">
        <v>AZT+3TC+EFV</v>
      </c>
      <c r="D299" s="1175">
        <f>'Data &amp; hypothesis Children'!C146</f>
        <v>0</v>
      </c>
      <c r="E299" s="1175">
        <f>'Data &amp; hypothesis Children'!D146</f>
        <v>0</v>
      </c>
      <c r="F299" s="1175">
        <f>'Data &amp; hypothesis Children'!E146</f>
        <v>0</v>
      </c>
      <c r="G299" s="1175">
        <f>'Data &amp; hypothesis Children'!F146</f>
        <v>0</v>
      </c>
      <c r="H299" s="1175">
        <f>'Data &amp; hypothesis Children'!G146</f>
        <v>0</v>
      </c>
      <c r="I299" s="1175">
        <f>'Data &amp; hypothesis Children'!H146</f>
        <v>0</v>
      </c>
      <c r="J299" s="1175">
        <f>'Data &amp; hypothesis Children'!I146</f>
        <v>0</v>
      </c>
      <c r="K299" s="1413">
        <f>'Data &amp; hypothesis Children'!J146</f>
        <v>0</v>
      </c>
      <c r="L299" s="1414">
        <f>'Data &amp; hypothesis Children'!K146</f>
        <v>0</v>
      </c>
      <c r="M299" s="1175">
        <f>'Data &amp; hypothesis Children'!L146</f>
        <v>0</v>
      </c>
      <c r="N299" s="1175">
        <f>'Data &amp; hypothesis Children'!M146</f>
        <v>0</v>
      </c>
      <c r="O299" s="1175">
        <f>'Data &amp; hypothesis Children'!N146</f>
        <v>0</v>
      </c>
      <c r="P299" s="1175">
        <f>'Data &amp; hypothesis Children'!O146</f>
        <v>0</v>
      </c>
      <c r="Q299" s="1175">
        <f>'Data &amp; hypothesis Children'!P146</f>
        <v>0</v>
      </c>
      <c r="R299" s="1175">
        <f>'Data &amp; hypothesis Children'!Q146</f>
        <v>0</v>
      </c>
      <c r="S299" s="1175">
        <f>'Data &amp; hypothesis Children'!R146</f>
        <v>0</v>
      </c>
      <c r="T299" s="1175">
        <f>'Data &amp; hypothesis Children'!S146</f>
        <v>0</v>
      </c>
      <c r="U299" s="1175">
        <f>'Data &amp; hypothesis Children'!T146</f>
        <v>0</v>
      </c>
      <c r="V299" s="1175">
        <f>'Data &amp; hypothesis Children'!U146</f>
        <v>0</v>
      </c>
      <c r="W299" s="1175">
        <f>'Data &amp; hypothesis Children'!V146</f>
        <v>0</v>
      </c>
      <c r="X299" s="1175">
        <f>'Data &amp; hypothesis Children'!W146</f>
        <v>0</v>
      </c>
      <c r="Y299" s="1175">
        <f>'Data &amp; hypothesis Children'!X146</f>
        <v>0</v>
      </c>
      <c r="Z299" s="1175">
        <f>'Data &amp; hypothesis Children'!Y146</f>
        <v>0</v>
      </c>
      <c r="AA299" s="1175">
        <f>'Data &amp; hypothesis Children'!Z146</f>
        <v>0</v>
      </c>
      <c r="AB299" s="1175">
        <f>'Data &amp; hypothesis Children'!AA146</f>
        <v>0</v>
      </c>
      <c r="AC299" s="1175">
        <f>'Data &amp; hypothesis Children'!AB146</f>
        <v>0</v>
      </c>
      <c r="AD299" s="1175">
        <f>'Data &amp; hypothesis Children'!AC146</f>
        <v>0</v>
      </c>
      <c r="AE299" s="1175">
        <f>'Data &amp; hypothesis Children'!AD146</f>
        <v>0</v>
      </c>
      <c r="AF299" s="1175">
        <f>'Data &amp; hypothesis Children'!AE146</f>
        <v>0</v>
      </c>
      <c r="AG299" s="1175">
        <f>'Data &amp; hypothesis Children'!AF146</f>
        <v>0</v>
      </c>
      <c r="AH299" s="1415">
        <f>'Data &amp; hypothesis Children'!AG146</f>
        <v>0</v>
      </c>
      <c r="AI299" s="1339" t="e">
        <f t="shared" si="77"/>
        <v>#DIV/0!</v>
      </c>
      <c r="AJ299" s="1340" t="e">
        <f t="shared" si="78"/>
        <v>#DIV/0!</v>
      </c>
    </row>
    <row r="300" spans="1:36" s="1279" customFormat="1" ht="15.75" thickBot="1" x14ac:dyDescent="0.3">
      <c r="A300" s="1282"/>
      <c r="C300" s="1301">
        <v>0</v>
      </c>
      <c r="D300" s="1175">
        <f>'Data &amp; hypothesis Children'!C147</f>
        <v>0</v>
      </c>
      <c r="E300" s="1175">
        <f>'Data &amp; hypothesis Children'!D147</f>
        <v>0</v>
      </c>
      <c r="F300" s="1175">
        <f>'Data &amp; hypothesis Children'!E147</f>
        <v>0</v>
      </c>
      <c r="G300" s="1175">
        <f>'Data &amp; hypothesis Children'!F147</f>
        <v>0</v>
      </c>
      <c r="H300" s="1175">
        <f>'Data &amp; hypothesis Children'!G147</f>
        <v>0</v>
      </c>
      <c r="I300" s="1175">
        <f>'Data &amp; hypothesis Children'!H147</f>
        <v>0</v>
      </c>
      <c r="J300" s="1175">
        <f>'Data &amp; hypothesis Children'!I147</f>
        <v>0</v>
      </c>
      <c r="K300" s="1413">
        <f>'Data &amp; hypothesis Children'!J147</f>
        <v>0</v>
      </c>
      <c r="L300" s="1417">
        <f>'Data &amp; hypothesis Children'!K147</f>
        <v>0</v>
      </c>
      <c r="M300" s="1418">
        <f>'Data &amp; hypothesis Children'!L147</f>
        <v>0</v>
      </c>
      <c r="N300" s="1418">
        <f>'Data &amp; hypothesis Children'!M147</f>
        <v>0</v>
      </c>
      <c r="O300" s="1418">
        <f>'Data &amp; hypothesis Children'!N147</f>
        <v>0</v>
      </c>
      <c r="P300" s="1418">
        <f>'Data &amp; hypothesis Children'!O147</f>
        <v>0</v>
      </c>
      <c r="Q300" s="1418">
        <f>'Data &amp; hypothesis Children'!P147</f>
        <v>0</v>
      </c>
      <c r="R300" s="1418">
        <f>'Data &amp; hypothesis Children'!Q147</f>
        <v>0</v>
      </c>
      <c r="S300" s="1418">
        <f>'Data &amp; hypothesis Children'!R147</f>
        <v>0</v>
      </c>
      <c r="T300" s="1418">
        <f>'Data &amp; hypothesis Children'!S147</f>
        <v>0</v>
      </c>
      <c r="U300" s="1418">
        <f>'Data &amp; hypothesis Children'!T147</f>
        <v>0</v>
      </c>
      <c r="V300" s="1418">
        <f>'Data &amp; hypothesis Children'!U147</f>
        <v>0</v>
      </c>
      <c r="W300" s="1418">
        <f>'Data &amp; hypothesis Children'!V147</f>
        <v>0</v>
      </c>
      <c r="X300" s="1418">
        <f>'Data &amp; hypothesis Children'!W147</f>
        <v>0</v>
      </c>
      <c r="Y300" s="1418">
        <f>'Data &amp; hypothesis Children'!X147</f>
        <v>0</v>
      </c>
      <c r="Z300" s="1418">
        <f>'Data &amp; hypothesis Children'!Y147</f>
        <v>0</v>
      </c>
      <c r="AA300" s="1418">
        <f>'Data &amp; hypothesis Children'!Z147</f>
        <v>0</v>
      </c>
      <c r="AB300" s="1418">
        <f>'Data &amp; hypothesis Children'!AA147</f>
        <v>0</v>
      </c>
      <c r="AC300" s="1418">
        <f>'Data &amp; hypothesis Children'!AB147</f>
        <v>0</v>
      </c>
      <c r="AD300" s="1418">
        <f>'Data &amp; hypothesis Children'!AC147</f>
        <v>0</v>
      </c>
      <c r="AE300" s="1418">
        <f>'Data &amp; hypothesis Children'!AD147</f>
        <v>0</v>
      </c>
      <c r="AF300" s="1418">
        <f>'Data &amp; hypothesis Children'!AE147</f>
        <v>0</v>
      </c>
      <c r="AG300" s="1418">
        <f>'Data &amp; hypothesis Children'!AF147</f>
        <v>0</v>
      </c>
      <c r="AH300" s="1419">
        <f>'Data &amp; hypothesis Children'!AG147</f>
        <v>0</v>
      </c>
      <c r="AI300" s="1339" t="e">
        <f>G78</f>
        <v>#DIV/0!</v>
      </c>
      <c r="AJ300" s="1340" t="e">
        <f>G94</f>
        <v>#DIV/0!</v>
      </c>
    </row>
    <row r="301" spans="1:36" s="1304" customFormat="1" ht="26.25" thickBot="1" x14ac:dyDescent="0.25">
      <c r="A301" s="1303"/>
      <c r="C301" s="1305" t="str">
        <f>'TRAD-Children YEAR(1)'!B118</f>
        <v>Nb de patients-mois / produit - SANS SS</v>
      </c>
      <c r="D301" s="1306">
        <f t="shared" ref="D301:AE301" si="79">SUMIF(D290:D300, "X", $AI290:$AI300)</f>
        <v>0</v>
      </c>
      <c r="E301" s="1306">
        <f t="shared" si="79"/>
        <v>0</v>
      </c>
      <c r="F301" s="1306">
        <f t="shared" si="79"/>
        <v>0</v>
      </c>
      <c r="G301" s="1306">
        <f t="shared" si="79"/>
        <v>0</v>
      </c>
      <c r="H301" s="1306">
        <f t="shared" si="79"/>
        <v>0</v>
      </c>
      <c r="I301" s="1306" t="e">
        <f t="shared" si="79"/>
        <v>#DIV/0!</v>
      </c>
      <c r="J301" s="1306" t="e">
        <f t="shared" si="79"/>
        <v>#DIV/0!</v>
      </c>
      <c r="K301" s="1307" t="e">
        <f t="shared" si="79"/>
        <v>#DIV/0!</v>
      </c>
      <c r="L301" s="1308">
        <f t="shared" si="79"/>
        <v>0</v>
      </c>
      <c r="M301" s="1306" t="e">
        <f t="shared" si="79"/>
        <v>#DIV/0!</v>
      </c>
      <c r="N301" s="1306">
        <f t="shared" si="79"/>
        <v>0</v>
      </c>
      <c r="O301" s="1306" t="e">
        <f t="shared" si="79"/>
        <v>#DIV/0!</v>
      </c>
      <c r="P301" s="1306">
        <f t="shared" si="79"/>
        <v>0</v>
      </c>
      <c r="Q301" s="1306">
        <f t="shared" si="79"/>
        <v>0</v>
      </c>
      <c r="R301" s="1306">
        <f t="shared" si="79"/>
        <v>0</v>
      </c>
      <c r="S301" s="1306">
        <f t="shared" si="79"/>
        <v>0</v>
      </c>
      <c r="T301" s="1306">
        <f t="shared" si="79"/>
        <v>0</v>
      </c>
      <c r="U301" s="1306" t="e">
        <f t="shared" si="79"/>
        <v>#DIV/0!</v>
      </c>
      <c r="V301" s="1306" t="e">
        <f t="shared" si="79"/>
        <v>#DIV/0!</v>
      </c>
      <c r="W301" s="1306">
        <f t="shared" si="79"/>
        <v>0</v>
      </c>
      <c r="X301" s="1306">
        <f t="shared" si="79"/>
        <v>0</v>
      </c>
      <c r="Y301" s="1306">
        <f t="shared" si="79"/>
        <v>0</v>
      </c>
      <c r="Z301" s="1306">
        <f t="shared" si="79"/>
        <v>0</v>
      </c>
      <c r="AA301" s="1306">
        <f t="shared" si="79"/>
        <v>0</v>
      </c>
      <c r="AB301" s="1306">
        <f t="shared" si="79"/>
        <v>0</v>
      </c>
      <c r="AC301" s="1306">
        <f t="shared" si="79"/>
        <v>0</v>
      </c>
      <c r="AD301" s="1306">
        <f t="shared" si="79"/>
        <v>0</v>
      </c>
      <c r="AE301" s="1306" t="e">
        <f t="shared" si="79"/>
        <v>#DIV/0!</v>
      </c>
      <c r="AF301" s="1306" t="e">
        <f t="shared" ref="AF301" si="80">SUMIF(AF290:AF300, "X", $AI290:$AI300)</f>
        <v>#DIV/0!</v>
      </c>
      <c r="AG301" s="1306">
        <f t="shared" ref="AG301" si="81">SUMIF(AG290:AG300, "X", $AI290:$AI300)</f>
        <v>0</v>
      </c>
      <c r="AH301" s="1306" t="e">
        <f t="shared" ref="AH301" si="82">SUMIF(AH290:AH300, "X", $AI290:$AI300)</f>
        <v>#DIV/0!</v>
      </c>
    </row>
    <row r="302" spans="1:36" s="1304" customFormat="1" ht="26.25" thickBot="1" x14ac:dyDescent="0.25">
      <c r="A302" s="1303"/>
      <c r="C302" s="1305" t="str">
        <f>'TRAD-Children YEAR(1)'!B119</f>
        <v>Nb de patients-mois / produit - AVEC SS</v>
      </c>
      <c r="D302" s="1309">
        <f t="shared" ref="D302:AH302" si="83">SUMIF(D290:D300, "X", $AJ290:$AJ300)</f>
        <v>0</v>
      </c>
      <c r="E302" s="1309">
        <f t="shared" si="83"/>
        <v>0</v>
      </c>
      <c r="F302" s="1309">
        <f t="shared" si="83"/>
        <v>0</v>
      </c>
      <c r="G302" s="1309">
        <f t="shared" si="83"/>
        <v>0</v>
      </c>
      <c r="H302" s="1309">
        <f t="shared" si="83"/>
        <v>0</v>
      </c>
      <c r="I302" s="1309" t="e">
        <f t="shared" si="83"/>
        <v>#DIV/0!</v>
      </c>
      <c r="J302" s="1309" t="e">
        <f t="shared" si="83"/>
        <v>#DIV/0!</v>
      </c>
      <c r="K302" s="1310" t="e">
        <f t="shared" si="83"/>
        <v>#DIV/0!</v>
      </c>
      <c r="L302" s="1311">
        <f t="shared" si="83"/>
        <v>0</v>
      </c>
      <c r="M302" s="1309" t="e">
        <f t="shared" si="83"/>
        <v>#DIV/0!</v>
      </c>
      <c r="N302" s="1309">
        <f t="shared" si="83"/>
        <v>0</v>
      </c>
      <c r="O302" s="1309" t="e">
        <f t="shared" si="83"/>
        <v>#DIV/0!</v>
      </c>
      <c r="P302" s="1309">
        <f t="shared" si="83"/>
        <v>0</v>
      </c>
      <c r="Q302" s="1309">
        <f t="shared" si="83"/>
        <v>0</v>
      </c>
      <c r="R302" s="1309">
        <f t="shared" si="83"/>
        <v>0</v>
      </c>
      <c r="S302" s="1309">
        <f t="shared" si="83"/>
        <v>0</v>
      </c>
      <c r="T302" s="1309">
        <f t="shared" si="83"/>
        <v>0</v>
      </c>
      <c r="U302" s="1309" t="e">
        <f t="shared" si="83"/>
        <v>#DIV/0!</v>
      </c>
      <c r="V302" s="1309" t="e">
        <f t="shared" si="83"/>
        <v>#DIV/0!</v>
      </c>
      <c r="W302" s="1309">
        <f t="shared" si="83"/>
        <v>0</v>
      </c>
      <c r="X302" s="1309">
        <f t="shared" si="83"/>
        <v>0</v>
      </c>
      <c r="Y302" s="1309">
        <f t="shared" si="83"/>
        <v>0</v>
      </c>
      <c r="Z302" s="1309">
        <f t="shared" si="83"/>
        <v>0</v>
      </c>
      <c r="AA302" s="1309">
        <f t="shared" si="83"/>
        <v>0</v>
      </c>
      <c r="AB302" s="1309">
        <f t="shared" si="83"/>
        <v>0</v>
      </c>
      <c r="AC302" s="1309">
        <f t="shared" si="83"/>
        <v>0</v>
      </c>
      <c r="AD302" s="1309">
        <f t="shared" si="83"/>
        <v>0</v>
      </c>
      <c r="AE302" s="1309" t="e">
        <f t="shared" si="83"/>
        <v>#DIV/0!</v>
      </c>
      <c r="AF302" s="1309" t="e">
        <f t="shared" si="83"/>
        <v>#DIV/0!</v>
      </c>
      <c r="AG302" s="1309">
        <f t="shared" si="83"/>
        <v>0</v>
      </c>
      <c r="AH302" s="1309" t="e">
        <f t="shared" si="83"/>
        <v>#DIV/0!</v>
      </c>
    </row>
    <row r="303" spans="1:36" s="1304" customFormat="1" ht="26.25" thickBot="1" x14ac:dyDescent="0.25">
      <c r="A303" s="1303"/>
      <c r="C303" s="1305" t="str">
        <f>'TRAD-Children YEAR(1)'!B120</f>
        <v>Nb de cdt - Estimation période SANS SS</v>
      </c>
      <c r="D303" s="1312">
        <f t="shared" ref="D303:U303" si="84">D301*D288</f>
        <v>0</v>
      </c>
      <c r="E303" s="1312">
        <f t="shared" si="84"/>
        <v>0</v>
      </c>
      <c r="F303" s="1312">
        <f t="shared" si="84"/>
        <v>0</v>
      </c>
      <c r="G303" s="1312">
        <f t="shared" si="84"/>
        <v>0</v>
      </c>
      <c r="H303" s="1312">
        <f t="shared" si="84"/>
        <v>0</v>
      </c>
      <c r="I303" s="1312" t="e">
        <f t="shared" si="84"/>
        <v>#DIV/0!</v>
      </c>
      <c r="J303" s="1312" t="e">
        <f t="shared" si="84"/>
        <v>#DIV/0!</v>
      </c>
      <c r="K303" s="1313" t="e">
        <f t="shared" si="84"/>
        <v>#DIV/0!</v>
      </c>
      <c r="L303" s="1314">
        <f t="shared" si="84"/>
        <v>0</v>
      </c>
      <c r="M303" s="1312" t="e">
        <f t="shared" si="84"/>
        <v>#DIV/0!</v>
      </c>
      <c r="N303" s="1312">
        <f t="shared" si="84"/>
        <v>0</v>
      </c>
      <c r="O303" s="1312" t="e">
        <f t="shared" si="84"/>
        <v>#DIV/0!</v>
      </c>
      <c r="P303" s="1312">
        <f t="shared" si="84"/>
        <v>0</v>
      </c>
      <c r="Q303" s="1312">
        <f t="shared" si="84"/>
        <v>0</v>
      </c>
      <c r="R303" s="1312">
        <f t="shared" ref="R303" si="85">R301*R288</f>
        <v>0</v>
      </c>
      <c r="S303" s="1312">
        <f t="shared" si="84"/>
        <v>0</v>
      </c>
      <c r="T303" s="1312">
        <f t="shared" si="84"/>
        <v>0</v>
      </c>
      <c r="U303" s="1312" t="e">
        <f t="shared" si="84"/>
        <v>#DIV/0!</v>
      </c>
      <c r="V303" s="1312" t="e">
        <f t="shared" ref="V303:AH303" si="86">V301*V288</f>
        <v>#DIV/0!</v>
      </c>
      <c r="W303" s="1312">
        <f t="shared" ref="W303:Y303" si="87">W301*W288</f>
        <v>0</v>
      </c>
      <c r="X303" s="1312">
        <f t="shared" ref="X303" si="88">X301*X288</f>
        <v>0</v>
      </c>
      <c r="Y303" s="1312">
        <f t="shared" si="87"/>
        <v>0</v>
      </c>
      <c r="Z303" s="1312">
        <f t="shared" si="86"/>
        <v>0</v>
      </c>
      <c r="AA303" s="1312">
        <f t="shared" si="86"/>
        <v>0</v>
      </c>
      <c r="AB303" s="1312">
        <f t="shared" si="86"/>
        <v>0</v>
      </c>
      <c r="AC303" s="1312">
        <f t="shared" si="86"/>
        <v>0</v>
      </c>
      <c r="AD303" s="1312">
        <f t="shared" si="86"/>
        <v>0</v>
      </c>
      <c r="AE303" s="1312" t="e">
        <f t="shared" ref="AE303" si="89">AE301*AE288</f>
        <v>#DIV/0!</v>
      </c>
      <c r="AF303" s="1312" t="e">
        <f t="shared" si="86"/>
        <v>#DIV/0!</v>
      </c>
      <c r="AG303" s="1312">
        <f t="shared" si="86"/>
        <v>0</v>
      </c>
      <c r="AH303" s="1312" t="e">
        <f t="shared" si="86"/>
        <v>#DIV/0!</v>
      </c>
    </row>
    <row r="304" spans="1:36" s="1304" customFormat="1" ht="26.25" thickBot="1" x14ac:dyDescent="0.25">
      <c r="A304" s="1303"/>
      <c r="C304" s="1305" t="str">
        <f>'TRAD-Children YEAR(1)'!B121</f>
        <v>Nb de cdt - Estimation période AVEC SS</v>
      </c>
      <c r="D304" s="1315">
        <f t="shared" ref="D304:U304" si="90">D302*D288</f>
        <v>0</v>
      </c>
      <c r="E304" s="1315">
        <f t="shared" si="90"/>
        <v>0</v>
      </c>
      <c r="F304" s="1315">
        <f t="shared" si="90"/>
        <v>0</v>
      </c>
      <c r="G304" s="1315">
        <f t="shared" si="90"/>
        <v>0</v>
      </c>
      <c r="H304" s="1315">
        <f t="shared" si="90"/>
        <v>0</v>
      </c>
      <c r="I304" s="1315" t="e">
        <f t="shared" si="90"/>
        <v>#DIV/0!</v>
      </c>
      <c r="J304" s="1315" t="e">
        <f t="shared" si="90"/>
        <v>#DIV/0!</v>
      </c>
      <c r="K304" s="1316" t="e">
        <f t="shared" si="90"/>
        <v>#DIV/0!</v>
      </c>
      <c r="L304" s="1317">
        <f t="shared" si="90"/>
        <v>0</v>
      </c>
      <c r="M304" s="1315" t="e">
        <f t="shared" si="90"/>
        <v>#DIV/0!</v>
      </c>
      <c r="N304" s="1315">
        <f t="shared" si="90"/>
        <v>0</v>
      </c>
      <c r="O304" s="1315" t="e">
        <f t="shared" si="90"/>
        <v>#DIV/0!</v>
      </c>
      <c r="P304" s="1315">
        <f t="shared" si="90"/>
        <v>0</v>
      </c>
      <c r="Q304" s="1315">
        <f t="shared" si="90"/>
        <v>0</v>
      </c>
      <c r="R304" s="1315">
        <f t="shared" ref="R304" si="91">R302*R288</f>
        <v>0</v>
      </c>
      <c r="S304" s="1315">
        <f t="shared" si="90"/>
        <v>0</v>
      </c>
      <c r="T304" s="1315">
        <f t="shared" si="90"/>
        <v>0</v>
      </c>
      <c r="U304" s="1315" t="e">
        <f t="shared" si="90"/>
        <v>#DIV/0!</v>
      </c>
      <c r="V304" s="1315" t="e">
        <f t="shared" ref="V304:AH304" si="92">V302*V288</f>
        <v>#DIV/0!</v>
      </c>
      <c r="W304" s="1315">
        <f t="shared" ref="W304:Y304" si="93">W302*W288</f>
        <v>0</v>
      </c>
      <c r="X304" s="1315">
        <f t="shared" ref="X304" si="94">X302*X288</f>
        <v>0</v>
      </c>
      <c r="Y304" s="1315">
        <f t="shared" si="93"/>
        <v>0</v>
      </c>
      <c r="Z304" s="1315">
        <f t="shared" si="92"/>
        <v>0</v>
      </c>
      <c r="AA304" s="1315">
        <f t="shared" si="92"/>
        <v>0</v>
      </c>
      <c r="AB304" s="1315">
        <f t="shared" si="92"/>
        <v>0</v>
      </c>
      <c r="AC304" s="1315">
        <f t="shared" si="92"/>
        <v>0</v>
      </c>
      <c r="AD304" s="1315">
        <f t="shared" si="92"/>
        <v>0</v>
      </c>
      <c r="AE304" s="1315" t="e">
        <f t="shared" ref="AE304" si="95">AE302*AE288</f>
        <v>#DIV/0!</v>
      </c>
      <c r="AF304" s="1315" t="e">
        <f t="shared" si="92"/>
        <v>#DIV/0!</v>
      </c>
      <c r="AG304" s="1315">
        <f t="shared" si="92"/>
        <v>0</v>
      </c>
      <c r="AH304" s="1315" t="e">
        <f t="shared" si="92"/>
        <v>#DIV/0!</v>
      </c>
    </row>
    <row r="305" spans="1:36" s="1279" customFormat="1" x14ac:dyDescent="0.2">
      <c r="A305" s="1282"/>
    </row>
    <row r="306" spans="1:36" s="1279" customFormat="1" ht="13.5" thickBot="1" x14ac:dyDescent="0.25">
      <c r="A306" s="1282"/>
    </row>
    <row r="307" spans="1:36" s="1279" customFormat="1" ht="13.5" thickBot="1" x14ac:dyDescent="0.25">
      <c r="A307" s="1282"/>
      <c r="B307" s="1283" t="str">
        <f>'TRAD-Children YEAR(1)'!B125</f>
        <v>Tranche 15 -19,9 kg</v>
      </c>
      <c r="C307" s="1284"/>
      <c r="D307" s="1285"/>
      <c r="E307" s="1285"/>
      <c r="F307" s="1285"/>
      <c r="G307" s="1285"/>
      <c r="H307" s="1285"/>
      <c r="I307" s="1286"/>
    </row>
    <row r="308" spans="1:36" s="1279" customFormat="1" ht="13.5" thickBot="1" x14ac:dyDescent="0.25">
      <c r="A308" s="1282"/>
      <c r="B308" s="1323"/>
      <c r="C308" s="1324"/>
      <c r="D308" s="1325"/>
      <c r="E308" s="1325"/>
      <c r="F308" s="1325"/>
      <c r="G308" s="1325"/>
      <c r="H308" s="1325"/>
      <c r="I308" s="1325"/>
    </row>
    <row r="309" spans="1:36" s="1279" customFormat="1" ht="26.25" thickBot="1" x14ac:dyDescent="0.25">
      <c r="A309" s="1282"/>
      <c r="D309" s="1287" t="str">
        <f>'TRAD-Children YEAR(1)'!B90</f>
        <v>Solutions buvables</v>
      </c>
      <c r="E309" s="1288"/>
      <c r="F309" s="1288"/>
      <c r="G309" s="1288"/>
      <c r="H309" s="1288"/>
      <c r="I309" s="1288"/>
      <c r="J309" s="1284"/>
      <c r="K309" s="1284"/>
      <c r="L309" s="1289" t="str">
        <f>'TRAD-Children YEAR(1)'!B91</f>
        <v>Comprimés</v>
      </c>
      <c r="M309" s="1284"/>
      <c r="N309" s="1284"/>
      <c r="O309" s="1284"/>
      <c r="P309" s="1284"/>
      <c r="Q309" s="1284"/>
      <c r="R309" s="1284"/>
      <c r="S309" s="1284"/>
      <c r="T309" s="1284"/>
      <c r="U309" s="1284"/>
      <c r="V309" s="1284"/>
      <c r="W309" s="1945"/>
      <c r="X309" s="1945"/>
      <c r="Y309" s="1945"/>
      <c r="Z309" s="1284"/>
      <c r="AA309" s="1284"/>
      <c r="AB309" s="1284"/>
      <c r="AC309" s="1284"/>
      <c r="AD309" s="1284"/>
      <c r="AE309" s="1284"/>
      <c r="AF309" s="1284"/>
      <c r="AG309" s="1284"/>
      <c r="AH309" s="1284"/>
    </row>
    <row r="310" spans="1:36" s="1292" customFormat="1" ht="25.5" x14ac:dyDescent="0.2">
      <c r="A310" s="1291"/>
      <c r="C310" s="1332" t="str">
        <f>'TRAD-Children YEAR(1)'!B113</f>
        <v>Nb de boites / mois pour l'ensemble des patients</v>
      </c>
      <c r="D310" s="1329" t="s">
        <v>39</v>
      </c>
      <c r="E310" s="1329" t="s">
        <v>61</v>
      </c>
      <c r="F310" s="1329" t="s">
        <v>15</v>
      </c>
      <c r="G310" s="1329" t="s">
        <v>25</v>
      </c>
      <c r="H310" s="1329" t="s">
        <v>28</v>
      </c>
      <c r="I310" s="1329" t="s">
        <v>19</v>
      </c>
      <c r="J310" s="1329" t="s">
        <v>17</v>
      </c>
      <c r="K310" s="1333" t="s">
        <v>33</v>
      </c>
      <c r="L310" s="1334" t="s">
        <v>7</v>
      </c>
      <c r="M310" s="1330" t="s">
        <v>386</v>
      </c>
      <c r="N310" s="1330" t="s">
        <v>11</v>
      </c>
      <c r="O310" s="1330" t="s">
        <v>387</v>
      </c>
      <c r="P310" s="1330" t="s">
        <v>50</v>
      </c>
      <c r="Q310" s="1330" t="s">
        <v>392</v>
      </c>
      <c r="R310" s="1330" t="s">
        <v>81</v>
      </c>
      <c r="S310" s="1330" t="s">
        <v>140</v>
      </c>
      <c r="T310" s="1330" t="s">
        <v>635</v>
      </c>
      <c r="U310" s="1330" t="s">
        <v>586</v>
      </c>
      <c r="V310" s="1330" t="s">
        <v>575</v>
      </c>
      <c r="W310" s="1946"/>
      <c r="X310" s="1946"/>
      <c r="Y310" s="1946"/>
      <c r="Z310" s="1422" t="s">
        <v>15</v>
      </c>
      <c r="AA310" s="1330" t="s">
        <v>25</v>
      </c>
      <c r="AB310" s="1330" t="s">
        <v>648</v>
      </c>
      <c r="AC310" s="1330" t="s">
        <v>28</v>
      </c>
      <c r="AD310" s="1422" t="s">
        <v>19</v>
      </c>
      <c r="AE310" s="1586" t="s">
        <v>19</v>
      </c>
      <c r="AF310" s="1422" t="s">
        <v>17</v>
      </c>
      <c r="AG310" s="1330" t="s">
        <v>33</v>
      </c>
      <c r="AH310" s="1335" t="s">
        <v>638</v>
      </c>
    </row>
    <row r="311" spans="1:36" s="1292" customFormat="1" ht="77.25" thickBot="1" x14ac:dyDescent="0.25">
      <c r="A311" s="1291"/>
      <c r="C311" s="1332" t="str">
        <f>'TRAD-Children YEAR(1)'!B114</f>
        <v>Dosage</v>
      </c>
      <c r="D311" s="1329" t="s">
        <v>41</v>
      </c>
      <c r="E311" s="1329" t="s">
        <v>41</v>
      </c>
      <c r="F311" s="1329" t="s">
        <v>41</v>
      </c>
      <c r="G311" s="1329" t="s">
        <v>44</v>
      </c>
      <c r="H311" s="1329" t="s">
        <v>46</v>
      </c>
      <c r="I311" s="1329" t="s">
        <v>41</v>
      </c>
      <c r="J311" s="1329" t="s">
        <v>259</v>
      </c>
      <c r="K311" s="1333" t="s">
        <v>47</v>
      </c>
      <c r="L311" s="1336" t="s">
        <v>9</v>
      </c>
      <c r="M311" s="1331" t="s">
        <v>384</v>
      </c>
      <c r="N311" s="1331" t="s">
        <v>12</v>
      </c>
      <c r="O311" s="1331" t="s">
        <v>382</v>
      </c>
      <c r="P311" s="1331" t="s">
        <v>80</v>
      </c>
      <c r="Q311" s="1331" t="s">
        <v>131</v>
      </c>
      <c r="R311" s="1331" t="s">
        <v>733</v>
      </c>
      <c r="S311" s="1331" t="s">
        <v>334</v>
      </c>
      <c r="T311" s="1331" t="s">
        <v>636</v>
      </c>
      <c r="U311" s="1331" t="s">
        <v>649</v>
      </c>
      <c r="V311" s="1331" t="s">
        <v>636</v>
      </c>
      <c r="W311" s="1331"/>
      <c r="X311" s="1331"/>
      <c r="Y311" s="1331"/>
      <c r="Z311" s="1424" t="s">
        <v>16</v>
      </c>
      <c r="AA311" s="1331" t="s">
        <v>23</v>
      </c>
      <c r="AB311" s="1331" t="s">
        <v>639</v>
      </c>
      <c r="AC311" s="1331" t="s">
        <v>29</v>
      </c>
      <c r="AD311" s="1424" t="s">
        <v>20</v>
      </c>
      <c r="AE311" s="1424" t="s">
        <v>248</v>
      </c>
      <c r="AF311" s="1424" t="s">
        <v>20</v>
      </c>
      <c r="AG311" s="1331" t="s">
        <v>34</v>
      </c>
      <c r="AH311" s="1337" t="s">
        <v>637</v>
      </c>
      <c r="AI311" s="1320" t="str">
        <f>'TRAD-Children YEAR(1)'!B126</f>
        <v>Répartition des patients mois / tranches de poids</v>
      </c>
    </row>
    <row r="312" spans="1:36" s="1279" customFormat="1" ht="26.25" thickBot="1" x14ac:dyDescent="0.25">
      <c r="A312" s="1282"/>
      <c r="C312" s="1332" t="str">
        <f>'TRAD-Children YEAR(1)'!B115</f>
        <v>Nb de cdt/mois pour la tranche</v>
      </c>
      <c r="D312" s="1404">
        <f t="array" ref="D312:AH312">TRANSPOSE($F$224:$F$254)</f>
        <v>3.75</v>
      </c>
      <c r="E312" s="1404">
        <v>3.75</v>
      </c>
      <c r="F312" s="1404">
        <v>1.875</v>
      </c>
      <c r="G312" s="1404">
        <v>1.875</v>
      </c>
      <c r="H312" s="1404">
        <v>3</v>
      </c>
      <c r="I312" s="1404">
        <v>3</v>
      </c>
      <c r="J312" s="1404">
        <v>2.1666666666666665</v>
      </c>
      <c r="K312" s="1405">
        <v>2.5</v>
      </c>
      <c r="L312" s="1406">
        <v>1</v>
      </c>
      <c r="M312" s="1407">
        <v>2.5</v>
      </c>
      <c r="N312" s="1407">
        <v>1</v>
      </c>
      <c r="O312" s="1407">
        <v>2.5</v>
      </c>
      <c r="P312" s="1407">
        <v>1</v>
      </c>
      <c r="Q312" s="1407">
        <v>2.5</v>
      </c>
      <c r="R312" s="1407">
        <v>2.5</v>
      </c>
      <c r="S312" s="1407">
        <v>1</v>
      </c>
      <c r="T312" s="1407">
        <v>2.5</v>
      </c>
      <c r="U312" s="1407">
        <v>1</v>
      </c>
      <c r="V312" s="1407">
        <v>2.5</v>
      </c>
      <c r="W312" s="1407">
        <v>0</v>
      </c>
      <c r="X312" s="1407">
        <v>0</v>
      </c>
      <c r="Y312" s="1407">
        <v>0</v>
      </c>
      <c r="Z312" s="1407">
        <v>0.5</v>
      </c>
      <c r="AA312" s="1407">
        <v>0.5</v>
      </c>
      <c r="AB312" s="1407">
        <v>2.5</v>
      </c>
      <c r="AC312" s="1407">
        <v>0</v>
      </c>
      <c r="AD312" s="1407">
        <v>0.75</v>
      </c>
      <c r="AE312" s="1407">
        <v>2.5</v>
      </c>
      <c r="AF312" s="1407">
        <v>1.5</v>
      </c>
      <c r="AG312" s="1407">
        <v>0.5</v>
      </c>
      <c r="AH312" s="1407">
        <v>2</v>
      </c>
      <c r="AI312" s="1338" t="s">
        <v>659</v>
      </c>
      <c r="AJ312" s="1281"/>
    </row>
    <row r="313" spans="1:36" s="1279" customFormat="1" ht="63.75" x14ac:dyDescent="0.2">
      <c r="A313" s="1282"/>
      <c r="B313" s="1293" t="str">
        <f>'TRAD-Children YEAR(1)'!B6</f>
        <v>Schéma thérapeutique</v>
      </c>
      <c r="C313" s="1332" t="str">
        <f>'TRAD-Children YEAR(1)'!B116</f>
        <v>Premières lignes</v>
      </c>
      <c r="D313" s="1297"/>
      <c r="E313" s="1297"/>
      <c r="F313" s="1297"/>
      <c r="G313" s="1297"/>
      <c r="H313" s="1297"/>
      <c r="I313" s="1297"/>
      <c r="J313" s="1297"/>
      <c r="K313" s="1298"/>
      <c r="L313" s="1299"/>
      <c r="M313" s="1297"/>
      <c r="N313" s="1297"/>
      <c r="O313" s="1297"/>
      <c r="P313" s="1297"/>
      <c r="Q313" s="1297"/>
      <c r="R313" s="1297"/>
      <c r="S313" s="1297"/>
      <c r="T313" s="1297"/>
      <c r="U313" s="1297"/>
      <c r="V313" s="1297"/>
      <c r="W313" s="1297"/>
      <c r="X313" s="1297"/>
      <c r="Y313" s="1297"/>
      <c r="Z313" s="1297"/>
      <c r="AA313" s="1297"/>
      <c r="AB313" s="1297"/>
      <c r="AC313" s="1297"/>
      <c r="AD313" s="1297"/>
      <c r="AE313" s="1297"/>
      <c r="AF313" s="1297"/>
      <c r="AG313" s="1297"/>
      <c r="AH313" s="1297"/>
      <c r="AI313" s="1318" t="str">
        <f>'TRAD-Children YEAR(1)'!B122</f>
        <v>nb de patients mois période quantifiée</v>
      </c>
      <c r="AJ313" s="1318" t="str">
        <f>'TRAD-Children YEAR(1)'!B123</f>
        <v>nb de patients mois avec période de sécurité</v>
      </c>
    </row>
    <row r="314" spans="1:36" s="1279" customFormat="1" ht="15" x14ac:dyDescent="0.25">
      <c r="A314" s="1282"/>
      <c r="C314" s="1319" t="str">
        <f t="array" ref="C314:C319">'Data &amp; hypothesis Children'!$C$26:$C$31</f>
        <v>D4T+3TC+NVP</v>
      </c>
      <c r="D314" s="1175">
        <f>'Data &amp; hypothesis Children'!C155</f>
        <v>0</v>
      </c>
      <c r="E314" s="1175">
        <f>'Data &amp; hypothesis Children'!D155</f>
        <v>0</v>
      </c>
      <c r="F314" s="1175">
        <f>'Data &amp; hypothesis Children'!E155</f>
        <v>0</v>
      </c>
      <c r="G314" s="1175">
        <f>'Data &amp; hypothesis Children'!F155</f>
        <v>0</v>
      </c>
      <c r="H314" s="1175">
        <f>'Data &amp; hypothesis Children'!G155</f>
        <v>0</v>
      </c>
      <c r="I314" s="1175">
        <f>'Data &amp; hypothesis Children'!H155</f>
        <v>0</v>
      </c>
      <c r="J314" s="1175">
        <f>'Data &amp; hypothesis Children'!I155</f>
        <v>0</v>
      </c>
      <c r="K314" s="1413">
        <f>'Data &amp; hypothesis Children'!J155</f>
        <v>0</v>
      </c>
      <c r="L314" s="1414">
        <f>'Data &amp; hypothesis Children'!K155</f>
        <v>0</v>
      </c>
      <c r="M314" s="1175">
        <f>'Data &amp; hypothesis Children'!L155</f>
        <v>0</v>
      </c>
      <c r="N314" s="1175">
        <f>'Data &amp; hypothesis Children'!M155</f>
        <v>0</v>
      </c>
      <c r="O314" s="1175">
        <f>'Data &amp; hypothesis Children'!N155</f>
        <v>0</v>
      </c>
      <c r="P314" s="1175">
        <f>'Data &amp; hypothesis Children'!O155</f>
        <v>0</v>
      </c>
      <c r="Q314" s="1175" t="str">
        <f>'Data &amp; hypothesis Children'!P155</f>
        <v>X</v>
      </c>
      <c r="R314" s="1175">
        <f>'Data &amp; hypothesis Children'!Q155</f>
        <v>0</v>
      </c>
      <c r="S314" s="1175">
        <f>'Data &amp; hypothesis Children'!R155</f>
        <v>0</v>
      </c>
      <c r="T314" s="1175">
        <f>'Data &amp; hypothesis Children'!S155</f>
        <v>0</v>
      </c>
      <c r="U314" s="1175">
        <f>'Data &amp; hypothesis Children'!T155</f>
        <v>0</v>
      </c>
      <c r="V314" s="1175">
        <f>'Data &amp; hypothesis Children'!U155</f>
        <v>0</v>
      </c>
      <c r="W314" s="1175">
        <f>'Data &amp; hypothesis Children'!V155</f>
        <v>0</v>
      </c>
      <c r="X314" s="1175">
        <f>'Data &amp; hypothesis Children'!W155</f>
        <v>0</v>
      </c>
      <c r="Y314" s="1175">
        <f>'Data &amp; hypothesis Children'!X155</f>
        <v>0</v>
      </c>
      <c r="Z314" s="1175">
        <f>'Data &amp; hypothesis Children'!Y155</f>
        <v>0</v>
      </c>
      <c r="AA314" s="1175">
        <f>'Data &amp; hypothesis Children'!Z155</f>
        <v>0</v>
      </c>
      <c r="AB314" s="1175">
        <f>'Data &amp; hypothesis Children'!AA155</f>
        <v>0</v>
      </c>
      <c r="AC314" s="1175">
        <f>'Data &amp; hypothesis Children'!AB155</f>
        <v>0</v>
      </c>
      <c r="AD314" s="1175">
        <f>'Data &amp; hypothesis Children'!AC155</f>
        <v>0</v>
      </c>
      <c r="AE314" s="1175">
        <f>'Data &amp; hypothesis Children'!AD155</f>
        <v>0</v>
      </c>
      <c r="AF314" s="1175">
        <f>'Data &amp; hypothesis Children'!AE155</f>
        <v>0</v>
      </c>
      <c r="AG314" s="1175">
        <f>'Data &amp; hypothesis Children'!AF155</f>
        <v>0</v>
      </c>
      <c r="AH314" s="1415">
        <f>'Data &amp; hypothesis Children'!AG155</f>
        <v>0</v>
      </c>
      <c r="AI314" s="1339" t="e">
        <f t="shared" ref="AI314:AI319" si="96">H69</f>
        <v>#DIV/0!</v>
      </c>
      <c r="AJ314" s="1340" t="e">
        <f t="shared" ref="AJ314:AJ319" si="97">H85</f>
        <v>#DIV/0!</v>
      </c>
    </row>
    <row r="315" spans="1:36" s="1279" customFormat="1" ht="15" x14ac:dyDescent="0.25">
      <c r="A315" s="1282"/>
      <c r="C315" s="1319" t="str">
        <v>AZT+3TC+NVP</v>
      </c>
      <c r="D315" s="1175">
        <f>'Data &amp; hypothesis Children'!C156</f>
        <v>0</v>
      </c>
      <c r="E315" s="1175">
        <f>'Data &amp; hypothesis Children'!D156</f>
        <v>0</v>
      </c>
      <c r="F315" s="1175">
        <f>'Data &amp; hypothesis Children'!E156</f>
        <v>0</v>
      </c>
      <c r="G315" s="1175">
        <f>'Data &amp; hypothesis Children'!F156</f>
        <v>0</v>
      </c>
      <c r="H315" s="1175">
        <f>'Data &amp; hypothesis Children'!G156</f>
        <v>0</v>
      </c>
      <c r="I315" s="1175">
        <f>'Data &amp; hypothesis Children'!H156</f>
        <v>0</v>
      </c>
      <c r="J315" s="1175">
        <f>'Data &amp; hypothesis Children'!I156</f>
        <v>0</v>
      </c>
      <c r="K315" s="1413">
        <f>'Data &amp; hypothesis Children'!J156</f>
        <v>0</v>
      </c>
      <c r="L315" s="1414">
        <f>'Data &amp; hypothesis Children'!K156</f>
        <v>0</v>
      </c>
      <c r="M315" s="1175" t="str">
        <f>'Data &amp; hypothesis Children'!L156</f>
        <v>X</v>
      </c>
      <c r="N315" s="1175">
        <f>'Data &amp; hypothesis Children'!M156</f>
        <v>0</v>
      </c>
      <c r="O315" s="1175">
        <f>'Data &amp; hypothesis Children'!N156</f>
        <v>0</v>
      </c>
      <c r="P315" s="1175">
        <f>'Data &amp; hypothesis Children'!O156</f>
        <v>0</v>
      </c>
      <c r="Q315" s="1175">
        <f>'Data &amp; hypothesis Children'!P156</f>
        <v>0</v>
      </c>
      <c r="R315" s="1175">
        <f>'Data &amp; hypothesis Children'!Q156</f>
        <v>0</v>
      </c>
      <c r="S315" s="1175">
        <f>'Data &amp; hypothesis Children'!R156</f>
        <v>0</v>
      </c>
      <c r="T315" s="1175">
        <f>'Data &amp; hypothesis Children'!S156</f>
        <v>0</v>
      </c>
      <c r="U315" s="1175">
        <f>'Data &amp; hypothesis Children'!T156</f>
        <v>0</v>
      </c>
      <c r="V315" s="1175">
        <f>'Data &amp; hypothesis Children'!U156</f>
        <v>0</v>
      </c>
      <c r="W315" s="1175">
        <f>'Data &amp; hypothesis Children'!V156</f>
        <v>0</v>
      </c>
      <c r="X315" s="1175">
        <f>'Data &amp; hypothesis Children'!W156</f>
        <v>0</v>
      </c>
      <c r="Y315" s="1175">
        <f>'Data &amp; hypothesis Children'!X156</f>
        <v>0</v>
      </c>
      <c r="Z315" s="1175">
        <f>'Data &amp; hypothesis Children'!Y156</f>
        <v>0</v>
      </c>
      <c r="AA315" s="1175">
        <f>'Data &amp; hypothesis Children'!Z156</f>
        <v>0</v>
      </c>
      <c r="AB315" s="1175">
        <f>'Data &amp; hypothesis Children'!AA156</f>
        <v>0</v>
      </c>
      <c r="AC315" s="1175">
        <f>'Data &amp; hypothesis Children'!AB156</f>
        <v>0</v>
      </c>
      <c r="AD315" s="1175">
        <f>'Data &amp; hypothesis Children'!AC156</f>
        <v>0</v>
      </c>
      <c r="AE315" s="1175">
        <f>'Data &amp; hypothesis Children'!AD156</f>
        <v>0</v>
      </c>
      <c r="AF315" s="1175">
        <f>'Data &amp; hypothesis Children'!AE156</f>
        <v>0</v>
      </c>
      <c r="AG315" s="1175">
        <f>'Data &amp; hypothesis Children'!AF156</f>
        <v>0</v>
      </c>
      <c r="AH315" s="1415">
        <f>'Data &amp; hypothesis Children'!AG156</f>
        <v>0</v>
      </c>
      <c r="AI315" s="1339" t="e">
        <f t="shared" si="96"/>
        <v>#DIV/0!</v>
      </c>
      <c r="AJ315" s="1340" t="e">
        <f t="shared" si="97"/>
        <v>#DIV/0!</v>
      </c>
    </row>
    <row r="316" spans="1:36" s="1279" customFormat="1" ht="15" x14ac:dyDescent="0.25">
      <c r="A316" s="1282"/>
      <c r="C316" s="1319" t="str">
        <v>AZT+3TC+EFV</v>
      </c>
      <c r="D316" s="1175">
        <f>'Data &amp; hypothesis Children'!C157</f>
        <v>0</v>
      </c>
      <c r="E316" s="1175">
        <f>'Data &amp; hypothesis Children'!D157</f>
        <v>0</v>
      </c>
      <c r="F316" s="1175">
        <f>'Data &amp; hypothesis Children'!E157</f>
        <v>0</v>
      </c>
      <c r="G316" s="1175">
        <f>'Data &amp; hypothesis Children'!F157</f>
        <v>0</v>
      </c>
      <c r="H316" s="1175">
        <f>'Data &amp; hypothesis Children'!G157</f>
        <v>0</v>
      </c>
      <c r="I316" s="1175">
        <f>'Data &amp; hypothesis Children'!H157</f>
        <v>0</v>
      </c>
      <c r="J316" s="1175">
        <f>'Data &amp; hypothesis Children'!I157</f>
        <v>0</v>
      </c>
      <c r="K316" s="1413">
        <f>'Data &amp; hypothesis Children'!J157</f>
        <v>0</v>
      </c>
      <c r="L316" s="1414">
        <f>'Data &amp; hypothesis Children'!K157</f>
        <v>0</v>
      </c>
      <c r="M316" s="1175">
        <f>'Data &amp; hypothesis Children'!L157</f>
        <v>0</v>
      </c>
      <c r="N316" s="1175">
        <f>'Data &amp; hypothesis Children'!M157</f>
        <v>0</v>
      </c>
      <c r="O316" s="1175" t="str">
        <f>'Data &amp; hypothesis Children'!N157</f>
        <v>X</v>
      </c>
      <c r="P316" s="1175">
        <f>'Data &amp; hypothesis Children'!O157</f>
        <v>0</v>
      </c>
      <c r="Q316" s="1175">
        <f>'Data &amp; hypothesis Children'!P157</f>
        <v>0</v>
      </c>
      <c r="R316" s="1175">
        <f>'Data &amp; hypothesis Children'!Q157</f>
        <v>0</v>
      </c>
      <c r="S316" s="1175">
        <f>'Data &amp; hypothesis Children'!R157</f>
        <v>0</v>
      </c>
      <c r="T316" s="1175">
        <f>'Data &amp; hypothesis Children'!S157</f>
        <v>0</v>
      </c>
      <c r="U316" s="1175">
        <f>'Data &amp; hypothesis Children'!T157</f>
        <v>0</v>
      </c>
      <c r="V316" s="1175">
        <f>'Data &amp; hypothesis Children'!U157</f>
        <v>0</v>
      </c>
      <c r="W316" s="1175">
        <f>'Data &amp; hypothesis Children'!V157</f>
        <v>0</v>
      </c>
      <c r="X316" s="1175">
        <f>'Data &amp; hypothesis Children'!W157</f>
        <v>0</v>
      </c>
      <c r="Y316" s="1175">
        <f>'Data &amp; hypothesis Children'!X157</f>
        <v>0</v>
      </c>
      <c r="Z316" s="1175">
        <f>'Data &amp; hypothesis Children'!Y157</f>
        <v>0</v>
      </c>
      <c r="AA316" s="1175">
        <f>'Data &amp; hypothesis Children'!Z157</f>
        <v>0</v>
      </c>
      <c r="AB316" s="1175">
        <f>'Data &amp; hypothesis Children'!AA157</f>
        <v>0</v>
      </c>
      <c r="AC316" s="1175">
        <f>'Data &amp; hypothesis Children'!AB157</f>
        <v>0</v>
      </c>
      <c r="AD316" s="1175">
        <f>'Data &amp; hypothesis Children'!AC157</f>
        <v>0</v>
      </c>
      <c r="AE316" s="1175">
        <f>'Data &amp; hypothesis Children'!AD157</f>
        <v>0</v>
      </c>
      <c r="AF316" s="1175" t="str">
        <f>'Data &amp; hypothesis Children'!AE157</f>
        <v>X</v>
      </c>
      <c r="AG316" s="1175">
        <f>'Data &amp; hypothesis Children'!AF157</f>
        <v>0</v>
      </c>
      <c r="AH316" s="1415">
        <f>'Data &amp; hypothesis Children'!AG157</f>
        <v>0</v>
      </c>
      <c r="AI316" s="1339" t="e">
        <f t="shared" si="96"/>
        <v>#DIV/0!</v>
      </c>
      <c r="AJ316" s="1340" t="e">
        <f t="shared" si="97"/>
        <v>#DIV/0!</v>
      </c>
    </row>
    <row r="317" spans="1:36" s="1279" customFormat="1" ht="15" x14ac:dyDescent="0.25">
      <c r="A317" s="1282"/>
      <c r="C317" s="1319" t="str">
        <v>LPV/r+3TC+ABC</v>
      </c>
      <c r="D317" s="1175">
        <f>'Data &amp; hypothesis Children'!C158</f>
        <v>0</v>
      </c>
      <c r="E317" s="1175">
        <f>'Data &amp; hypothesis Children'!D158</f>
        <v>0</v>
      </c>
      <c r="F317" s="1175">
        <f>'Data &amp; hypothesis Children'!E158</f>
        <v>0</v>
      </c>
      <c r="G317" s="1175">
        <f>'Data &amp; hypothesis Children'!F158</f>
        <v>0</v>
      </c>
      <c r="H317" s="1175">
        <f>'Data &amp; hypothesis Children'!G158</f>
        <v>0</v>
      </c>
      <c r="I317" s="1175">
        <f>'Data &amp; hypothesis Children'!H158</f>
        <v>0</v>
      </c>
      <c r="J317" s="1175">
        <f>'Data &amp; hypothesis Children'!I158</f>
        <v>0</v>
      </c>
      <c r="K317" s="1413">
        <f>'Data &amp; hypothesis Children'!J158</f>
        <v>0</v>
      </c>
      <c r="L317" s="1414">
        <f>'Data &amp; hypothesis Children'!K158</f>
        <v>0</v>
      </c>
      <c r="M317" s="1175">
        <f>'Data &amp; hypothesis Children'!L158</f>
        <v>0</v>
      </c>
      <c r="N317" s="1175">
        <f>'Data &amp; hypothesis Children'!M158</f>
        <v>0</v>
      </c>
      <c r="O317" s="1175">
        <f>'Data &amp; hypothesis Children'!N158</f>
        <v>0</v>
      </c>
      <c r="P317" s="1175">
        <f>'Data &amp; hypothesis Children'!O158</f>
        <v>0</v>
      </c>
      <c r="Q317" s="1175">
        <f>'Data &amp; hypothesis Children'!P158</f>
        <v>0</v>
      </c>
      <c r="R317" s="1175">
        <f>'Data &amp; hypothesis Children'!Q158</f>
        <v>0</v>
      </c>
      <c r="S317" s="1175">
        <f>'Data &amp; hypothesis Children'!R158</f>
        <v>0</v>
      </c>
      <c r="T317" s="1175">
        <f>'Data &amp; hypothesis Children'!S158</f>
        <v>0</v>
      </c>
      <c r="U317" s="1175">
        <f>'Data &amp; hypothesis Children'!T158</f>
        <v>0</v>
      </c>
      <c r="V317" s="1175">
        <f>'Data &amp; hypothesis Children'!U158</f>
        <v>0</v>
      </c>
      <c r="W317" s="1175">
        <f>'Data &amp; hypothesis Children'!V158</f>
        <v>0</v>
      </c>
      <c r="X317" s="1175">
        <f>'Data &amp; hypothesis Children'!W158</f>
        <v>0</v>
      </c>
      <c r="Y317" s="1175">
        <f>'Data &amp; hypothesis Children'!X158</f>
        <v>0</v>
      </c>
      <c r="Z317" s="1175">
        <f>'Data &amp; hypothesis Children'!Y158</f>
        <v>0</v>
      </c>
      <c r="AA317" s="1175">
        <f>'Data &amp; hypothesis Children'!Z158</f>
        <v>0</v>
      </c>
      <c r="AB317" s="1175">
        <f>'Data &amp; hypothesis Children'!AA158</f>
        <v>0</v>
      </c>
      <c r="AC317" s="1175">
        <f>'Data &amp; hypothesis Children'!AB158</f>
        <v>0</v>
      </c>
      <c r="AD317" s="1175">
        <f>'Data &amp; hypothesis Children'!AC158</f>
        <v>0</v>
      </c>
      <c r="AE317" s="1175">
        <f>'Data &amp; hypothesis Children'!AD158</f>
        <v>0</v>
      </c>
      <c r="AF317" s="1175">
        <f>'Data &amp; hypothesis Children'!AE158</f>
        <v>0</v>
      </c>
      <c r="AG317" s="1175">
        <f>'Data &amp; hypothesis Children'!AF158</f>
        <v>0</v>
      </c>
      <c r="AH317" s="1415">
        <f>'Data &amp; hypothesis Children'!AG158</f>
        <v>0</v>
      </c>
      <c r="AI317" s="1339" t="e">
        <f t="shared" si="96"/>
        <v>#DIV/0!</v>
      </c>
      <c r="AJ317" s="1340" t="e">
        <f t="shared" si="97"/>
        <v>#DIV/0!</v>
      </c>
    </row>
    <row r="318" spans="1:36" s="1279" customFormat="1" ht="15" x14ac:dyDescent="0.25">
      <c r="A318" s="1282"/>
      <c r="C318" s="1319" t="str">
        <v>ABC+3TC+NVP</v>
      </c>
      <c r="D318" s="1175">
        <f>'Data &amp; hypothesis Children'!C159</f>
        <v>0</v>
      </c>
      <c r="E318" s="1175">
        <f>'Data &amp; hypothesis Children'!D159</f>
        <v>0</v>
      </c>
      <c r="F318" s="1175">
        <f>'Data &amp; hypothesis Children'!E159</f>
        <v>0</v>
      </c>
      <c r="G318" s="1175">
        <f>'Data &amp; hypothesis Children'!F159</f>
        <v>0</v>
      </c>
      <c r="H318" s="1175">
        <f>'Data &amp; hypothesis Children'!G159</f>
        <v>0</v>
      </c>
      <c r="I318" s="1175">
        <f>'Data &amp; hypothesis Children'!H159</f>
        <v>0</v>
      </c>
      <c r="J318" s="1175">
        <f>'Data &amp; hypothesis Children'!I159</f>
        <v>0</v>
      </c>
      <c r="K318" s="1413">
        <f>'Data &amp; hypothesis Children'!J159</f>
        <v>0</v>
      </c>
      <c r="L318" s="1414">
        <f>'Data &amp; hypothesis Children'!K159</f>
        <v>0</v>
      </c>
      <c r="M318" s="1175">
        <f>'Data &amp; hypothesis Children'!L159</f>
        <v>0</v>
      </c>
      <c r="N318" s="1175">
        <f>'Data &amp; hypothesis Children'!M159</f>
        <v>0</v>
      </c>
      <c r="O318" s="1175">
        <f>'Data &amp; hypothesis Children'!N159</f>
        <v>0</v>
      </c>
      <c r="P318" s="1175">
        <f>'Data &amp; hypothesis Children'!O159</f>
        <v>0</v>
      </c>
      <c r="Q318" s="1175">
        <f>'Data &amp; hypothesis Children'!P159</f>
        <v>0</v>
      </c>
      <c r="R318" s="1175">
        <f>'Data &amp; hypothesis Children'!Q159</f>
        <v>0</v>
      </c>
      <c r="S318" s="1175">
        <f>'Data &amp; hypothesis Children'!R159</f>
        <v>0</v>
      </c>
      <c r="T318" s="1175">
        <f>'Data &amp; hypothesis Children'!S159</f>
        <v>0</v>
      </c>
      <c r="U318" s="1175">
        <f>'Data &amp; hypothesis Children'!T159</f>
        <v>0</v>
      </c>
      <c r="V318" s="1175" t="str">
        <f>'Data &amp; hypothesis Children'!U159</f>
        <v>X</v>
      </c>
      <c r="W318" s="1175">
        <f>'Data &amp; hypothesis Children'!V159</f>
        <v>0</v>
      </c>
      <c r="X318" s="1175">
        <f>'Data &amp; hypothesis Children'!W159</f>
        <v>0</v>
      </c>
      <c r="Y318" s="1175">
        <f>'Data &amp; hypothesis Children'!X159</f>
        <v>0</v>
      </c>
      <c r="Z318" s="1175">
        <f>'Data &amp; hypothesis Children'!Y159</f>
        <v>0</v>
      </c>
      <c r="AA318" s="1175">
        <f>'Data &amp; hypothesis Children'!Z159</f>
        <v>0</v>
      </c>
      <c r="AB318" s="1175">
        <f>'Data &amp; hypothesis Children'!AA159</f>
        <v>0</v>
      </c>
      <c r="AC318" s="1175">
        <f>'Data &amp; hypothesis Children'!AB159</f>
        <v>0</v>
      </c>
      <c r="AD318" s="1175">
        <f>'Data &amp; hypothesis Children'!AC159</f>
        <v>0</v>
      </c>
      <c r="AE318" s="1175" t="str">
        <f>'Data &amp; hypothesis Children'!AD159</f>
        <v>X</v>
      </c>
      <c r="AF318" s="1175">
        <f>'Data &amp; hypothesis Children'!AE159</f>
        <v>0</v>
      </c>
      <c r="AG318" s="1175">
        <f>'Data &amp; hypothesis Children'!AF159</f>
        <v>0</v>
      </c>
      <c r="AH318" s="1415">
        <f>'Data &amp; hypothesis Children'!AG159</f>
        <v>0</v>
      </c>
      <c r="AI318" s="1339" t="e">
        <f t="shared" si="96"/>
        <v>#DIV/0!</v>
      </c>
      <c r="AJ318" s="1340" t="e">
        <f t="shared" si="97"/>
        <v>#DIV/0!</v>
      </c>
    </row>
    <row r="319" spans="1:36" s="1279" customFormat="1" ht="15" x14ac:dyDescent="0.25">
      <c r="A319" s="1282"/>
      <c r="C319" s="1319" t="str">
        <v>AZT+3TC+LPV/r</v>
      </c>
      <c r="D319" s="1175">
        <f>'Data &amp; hypothesis Children'!C160</f>
        <v>0</v>
      </c>
      <c r="E319" s="1175">
        <f>'Data &amp; hypothesis Children'!D160</f>
        <v>0</v>
      </c>
      <c r="F319" s="1175">
        <f>'Data &amp; hypothesis Children'!E160</f>
        <v>0</v>
      </c>
      <c r="G319" s="1175">
        <f>'Data &amp; hypothesis Children'!F160</f>
        <v>0</v>
      </c>
      <c r="H319" s="1175">
        <f>'Data &amp; hypothesis Children'!G160</f>
        <v>0</v>
      </c>
      <c r="I319" s="1175">
        <f>'Data &amp; hypothesis Children'!H160</f>
        <v>0</v>
      </c>
      <c r="J319" s="1175">
        <f>'Data &amp; hypothesis Children'!I160</f>
        <v>0</v>
      </c>
      <c r="K319" s="1413">
        <f>'Data &amp; hypothesis Children'!J160</f>
        <v>0</v>
      </c>
      <c r="L319" s="1414">
        <f>'Data &amp; hypothesis Children'!K160</f>
        <v>0</v>
      </c>
      <c r="M319" s="1175">
        <f>'Data &amp; hypothesis Children'!L160</f>
        <v>0</v>
      </c>
      <c r="N319" s="1175">
        <f>'Data &amp; hypothesis Children'!M160</f>
        <v>0</v>
      </c>
      <c r="O319" s="1175" t="str">
        <f>'Data &amp; hypothesis Children'!N160</f>
        <v>X</v>
      </c>
      <c r="P319" s="1175">
        <f>'Data &amp; hypothesis Children'!O160</f>
        <v>0</v>
      </c>
      <c r="Q319" s="1175">
        <f>'Data &amp; hypothesis Children'!P160</f>
        <v>0</v>
      </c>
      <c r="R319" s="1175">
        <f>'Data &amp; hypothesis Children'!Q160</f>
        <v>0</v>
      </c>
      <c r="S319" s="1175">
        <f>'Data &amp; hypothesis Children'!R160</f>
        <v>0</v>
      </c>
      <c r="T319" s="1175">
        <f>'Data &amp; hypothesis Children'!S160</f>
        <v>0</v>
      </c>
      <c r="U319" s="1175">
        <f>'Data &amp; hypothesis Children'!T160</f>
        <v>0</v>
      </c>
      <c r="V319" s="1175">
        <f>'Data &amp; hypothesis Children'!U160</f>
        <v>0</v>
      </c>
      <c r="W319" s="1175">
        <f>'Data &amp; hypothesis Children'!V160</f>
        <v>0</v>
      </c>
      <c r="X319" s="1175">
        <f>'Data &amp; hypothesis Children'!W160</f>
        <v>0</v>
      </c>
      <c r="Y319" s="1175">
        <f>'Data &amp; hypothesis Children'!X160</f>
        <v>0</v>
      </c>
      <c r="Z319" s="1175">
        <f>'Data &amp; hypothesis Children'!Y160</f>
        <v>0</v>
      </c>
      <c r="AA319" s="1175">
        <f>'Data &amp; hypothesis Children'!Z160</f>
        <v>0</v>
      </c>
      <c r="AB319" s="1175">
        <f>'Data &amp; hypothesis Children'!AA160</f>
        <v>0</v>
      </c>
      <c r="AC319" s="1175">
        <f>'Data &amp; hypothesis Children'!AB160</f>
        <v>0</v>
      </c>
      <c r="AD319" s="1175">
        <f>'Data &amp; hypothesis Children'!AC160</f>
        <v>0</v>
      </c>
      <c r="AE319" s="1175">
        <f>'Data &amp; hypothesis Children'!AD160</f>
        <v>0</v>
      </c>
      <c r="AF319" s="1175">
        <f>'Data &amp; hypothesis Children'!AE160</f>
        <v>0</v>
      </c>
      <c r="AG319" s="1175">
        <f>'Data &amp; hypothesis Children'!AF160</f>
        <v>0</v>
      </c>
      <c r="AH319" s="1415" t="str">
        <f>'Data &amp; hypothesis Children'!AG160</f>
        <v>X</v>
      </c>
      <c r="AI319" s="1339" t="e">
        <f t="shared" si="96"/>
        <v>#DIV/0!</v>
      </c>
      <c r="AJ319" s="1340" t="e">
        <f t="shared" si="97"/>
        <v>#DIV/0!</v>
      </c>
    </row>
    <row r="320" spans="1:36" s="1279" customFormat="1" x14ac:dyDescent="0.2">
      <c r="A320" s="1282"/>
      <c r="C320" s="1296" t="str">
        <f>'TRAD-Children YEAR(1)'!$B$117</f>
        <v>Deuxièmes lignes</v>
      </c>
      <c r="D320" s="1410"/>
      <c r="E320" s="1410"/>
      <c r="F320" s="1410"/>
      <c r="G320" s="1410"/>
      <c r="H320" s="1410"/>
      <c r="I320" s="1410"/>
      <c r="J320" s="1410"/>
      <c r="K320" s="1411"/>
      <c r="L320" s="1412"/>
      <c r="M320" s="1410"/>
      <c r="N320" s="1410"/>
      <c r="O320" s="1410"/>
      <c r="P320" s="1410"/>
      <c r="Q320" s="1410"/>
      <c r="R320" s="1410"/>
      <c r="S320" s="1410"/>
      <c r="T320" s="1410"/>
      <c r="U320" s="1410"/>
      <c r="V320" s="1410"/>
      <c r="W320" s="1410"/>
      <c r="X320" s="1410"/>
      <c r="Y320" s="1410"/>
      <c r="Z320" s="1410"/>
      <c r="AA320" s="1410"/>
      <c r="AB320" s="1410"/>
      <c r="AC320" s="1410"/>
      <c r="AD320" s="1410"/>
      <c r="AE320" s="1410"/>
      <c r="AF320" s="1410"/>
      <c r="AG320" s="1410"/>
      <c r="AH320" s="1416"/>
      <c r="AI320" s="1339"/>
      <c r="AJ320" s="1340"/>
    </row>
    <row r="321" spans="1:36" s="1279" customFormat="1" ht="15" x14ac:dyDescent="0.25">
      <c r="A321" s="1282"/>
      <c r="C321" s="1301" t="str">
        <f t="array" ref="C321:C324">'Data &amp; hypothesis Children'!$C$32:$C$35</f>
        <v>ABC+3TC+EFV</v>
      </c>
      <c r="D321" s="1175">
        <f>'Data &amp; hypothesis Children'!C162</f>
        <v>0</v>
      </c>
      <c r="E321" s="1175">
        <f>'Data &amp; hypothesis Children'!D162</f>
        <v>0</v>
      </c>
      <c r="F321" s="1175">
        <f>'Data &amp; hypothesis Children'!E162</f>
        <v>0</v>
      </c>
      <c r="G321" s="1175">
        <f>'Data &amp; hypothesis Children'!F162</f>
        <v>0</v>
      </c>
      <c r="H321" s="1175">
        <f>'Data &amp; hypothesis Children'!G162</f>
        <v>0</v>
      </c>
      <c r="I321" s="1175">
        <f>'Data &amp; hypothesis Children'!H162</f>
        <v>0</v>
      </c>
      <c r="J321" s="1175" t="str">
        <f>'Data &amp; hypothesis Children'!I162</f>
        <v>X</v>
      </c>
      <c r="K321" s="1413">
        <f>'Data &amp; hypothesis Children'!J162</f>
        <v>0</v>
      </c>
      <c r="L321" s="1414">
        <f>'Data &amp; hypothesis Children'!K162</f>
        <v>0</v>
      </c>
      <c r="M321" s="1175">
        <f>'Data &amp; hypothesis Children'!L162</f>
        <v>0</v>
      </c>
      <c r="N321" s="1175">
        <f>'Data &amp; hypothesis Children'!M162</f>
        <v>0</v>
      </c>
      <c r="O321" s="1175">
        <f>'Data &amp; hypothesis Children'!N162</f>
        <v>0</v>
      </c>
      <c r="P321" s="1175">
        <f>'Data &amp; hypothesis Children'!O162</f>
        <v>0</v>
      </c>
      <c r="Q321" s="1175">
        <f>'Data &amp; hypothesis Children'!P162</f>
        <v>0</v>
      </c>
      <c r="R321" s="1175">
        <f>'Data &amp; hypothesis Children'!Q162</f>
        <v>0</v>
      </c>
      <c r="S321" s="1175">
        <f>'Data &amp; hypothesis Children'!R162</f>
        <v>0</v>
      </c>
      <c r="T321" s="1175">
        <f>'Data &amp; hypothesis Children'!S162</f>
        <v>0</v>
      </c>
      <c r="U321" s="1175">
        <f>'Data &amp; hypothesis Children'!T162</f>
        <v>0</v>
      </c>
      <c r="V321" s="1175" t="str">
        <f>'Data &amp; hypothesis Children'!U162</f>
        <v>X</v>
      </c>
      <c r="W321" s="1175">
        <f>'Data &amp; hypothesis Children'!V162</f>
        <v>0</v>
      </c>
      <c r="X321" s="1175">
        <f>'Data &amp; hypothesis Children'!W162</f>
        <v>0</v>
      </c>
      <c r="Y321" s="1175">
        <f>'Data &amp; hypothesis Children'!X162</f>
        <v>0</v>
      </c>
      <c r="Z321" s="1175">
        <f>'Data &amp; hypothesis Children'!Y162</f>
        <v>0</v>
      </c>
      <c r="AA321" s="1175">
        <f>'Data &amp; hypothesis Children'!Z162</f>
        <v>0</v>
      </c>
      <c r="AB321" s="1175">
        <f>'Data &amp; hypothesis Children'!AA162</f>
        <v>0</v>
      </c>
      <c r="AC321" s="1175">
        <f>'Data &amp; hypothesis Children'!AB162</f>
        <v>0</v>
      </c>
      <c r="AD321" s="1175">
        <f>'Data &amp; hypothesis Children'!AC162</f>
        <v>0</v>
      </c>
      <c r="AE321" s="1175">
        <f>'Data &amp; hypothesis Children'!AD162</f>
        <v>0</v>
      </c>
      <c r="AF321" s="1175" t="str">
        <f>'Data &amp; hypothesis Children'!AE162</f>
        <v>X</v>
      </c>
      <c r="AG321" s="1175">
        <f>'Data &amp; hypothesis Children'!AF162</f>
        <v>0</v>
      </c>
      <c r="AH321" s="1415">
        <f>'Data &amp; hypothesis Children'!AG162</f>
        <v>0</v>
      </c>
      <c r="AI321" s="1339" t="e">
        <f>H75</f>
        <v>#DIV/0!</v>
      </c>
      <c r="AJ321" s="1340" t="e">
        <f>H91</f>
        <v>#DIV/0!</v>
      </c>
    </row>
    <row r="322" spans="1:36" s="1279" customFormat="1" ht="15" x14ac:dyDescent="0.25">
      <c r="A322" s="1282"/>
      <c r="C322" s="1301" t="str">
        <v>TDF+3TC+LPV/r</v>
      </c>
      <c r="D322" s="1175">
        <f>'Data &amp; hypothesis Children'!C163</f>
        <v>0</v>
      </c>
      <c r="E322" s="1175">
        <f>'Data &amp; hypothesis Children'!D163</f>
        <v>0</v>
      </c>
      <c r="F322" s="1175">
        <f>'Data &amp; hypothesis Children'!E163</f>
        <v>0</v>
      </c>
      <c r="G322" s="1175">
        <f>'Data &amp; hypothesis Children'!F163</f>
        <v>0</v>
      </c>
      <c r="H322" s="1175">
        <f>'Data &amp; hypothesis Children'!G163</f>
        <v>0</v>
      </c>
      <c r="I322" s="1175">
        <f>'Data &amp; hypothesis Children'!H163</f>
        <v>0</v>
      </c>
      <c r="J322" s="1175" t="str">
        <f>'Data &amp; hypothesis Children'!I163</f>
        <v>X</v>
      </c>
      <c r="K322" s="1413">
        <f>'Data &amp; hypothesis Children'!J163</f>
        <v>0</v>
      </c>
      <c r="L322" s="1414">
        <f>'Data &amp; hypothesis Children'!K163</f>
        <v>0</v>
      </c>
      <c r="M322" s="1175">
        <f>'Data &amp; hypothesis Children'!L163</f>
        <v>0</v>
      </c>
      <c r="N322" s="1175">
        <f>'Data &amp; hypothesis Children'!M163</f>
        <v>0</v>
      </c>
      <c r="O322" s="1175" t="str">
        <f>'Data &amp; hypothesis Children'!N163</f>
        <v>X</v>
      </c>
      <c r="P322" s="1175">
        <f>'Data &amp; hypothesis Children'!O163</f>
        <v>0</v>
      </c>
      <c r="Q322" s="1175">
        <f>'Data &amp; hypothesis Children'!P163</f>
        <v>0</v>
      </c>
      <c r="R322" s="1175">
        <f>'Data &amp; hypothesis Children'!Q163</f>
        <v>0</v>
      </c>
      <c r="S322" s="1175">
        <f>'Data &amp; hypothesis Children'!R163</f>
        <v>0</v>
      </c>
      <c r="T322" s="1175">
        <f>'Data &amp; hypothesis Children'!S163</f>
        <v>0</v>
      </c>
      <c r="U322" s="1175">
        <f>'Data &amp; hypothesis Children'!T163</f>
        <v>0</v>
      </c>
      <c r="V322" s="1175">
        <f>'Data &amp; hypothesis Children'!U163</f>
        <v>0</v>
      </c>
      <c r="W322" s="1175">
        <f>'Data &amp; hypothesis Children'!V163</f>
        <v>0</v>
      </c>
      <c r="X322" s="1175">
        <f>'Data &amp; hypothesis Children'!W163</f>
        <v>0</v>
      </c>
      <c r="Y322" s="1175">
        <f>'Data &amp; hypothesis Children'!X163</f>
        <v>0</v>
      </c>
      <c r="Z322" s="1175">
        <f>'Data &amp; hypothesis Children'!Y163</f>
        <v>0</v>
      </c>
      <c r="AA322" s="1175">
        <f>'Data &amp; hypothesis Children'!Z163</f>
        <v>0</v>
      </c>
      <c r="AB322" s="1175">
        <f>'Data &amp; hypothesis Children'!AA163</f>
        <v>0</v>
      </c>
      <c r="AC322" s="1175">
        <f>'Data &amp; hypothesis Children'!AB163</f>
        <v>0</v>
      </c>
      <c r="AD322" s="1175">
        <f>'Data &amp; hypothesis Children'!AC163</f>
        <v>0</v>
      </c>
      <c r="AE322" s="1175">
        <f>'Data &amp; hypothesis Children'!AD163</f>
        <v>0</v>
      </c>
      <c r="AF322" s="1175">
        <f>'Data &amp; hypothesis Children'!AE163</f>
        <v>0</v>
      </c>
      <c r="AG322" s="1175">
        <f>'Data &amp; hypothesis Children'!AF163</f>
        <v>0</v>
      </c>
      <c r="AH322" s="1415" t="str">
        <f>'Data &amp; hypothesis Children'!AG163</f>
        <v>X</v>
      </c>
      <c r="AI322" s="1339" t="e">
        <f t="shared" ref="AI322:AI323" si="98">H76</f>
        <v>#DIV/0!</v>
      </c>
      <c r="AJ322" s="1340" t="e">
        <f t="shared" ref="AJ322:AJ323" si="99">H92</f>
        <v>#DIV/0!</v>
      </c>
    </row>
    <row r="323" spans="1:36" s="1279" customFormat="1" ht="15" x14ac:dyDescent="0.25">
      <c r="A323" s="1282"/>
      <c r="C323" s="1301" t="str">
        <v>AZT+3TC+EFV</v>
      </c>
      <c r="D323" s="1175">
        <f>'Data &amp; hypothesis Children'!C164</f>
        <v>0</v>
      </c>
      <c r="E323" s="1175">
        <f>'Data &amp; hypothesis Children'!D164</f>
        <v>0</v>
      </c>
      <c r="F323" s="1175">
        <f>'Data &amp; hypothesis Children'!E164</f>
        <v>0</v>
      </c>
      <c r="G323" s="1175">
        <f>'Data &amp; hypothesis Children'!F164</f>
        <v>0</v>
      </c>
      <c r="H323" s="1175">
        <f>'Data &amp; hypothesis Children'!G164</f>
        <v>0</v>
      </c>
      <c r="I323" s="1175">
        <f>'Data &amp; hypothesis Children'!H164</f>
        <v>0</v>
      </c>
      <c r="J323" s="1175">
        <f>'Data &amp; hypothesis Children'!I164</f>
        <v>0</v>
      </c>
      <c r="K323" s="1413">
        <f>'Data &amp; hypothesis Children'!J164</f>
        <v>0</v>
      </c>
      <c r="L323" s="1414">
        <f>'Data &amp; hypothesis Children'!K164</f>
        <v>0</v>
      </c>
      <c r="M323" s="1175">
        <f>'Data &amp; hypothesis Children'!L164</f>
        <v>0</v>
      </c>
      <c r="N323" s="1175">
        <f>'Data &amp; hypothesis Children'!M164</f>
        <v>0</v>
      </c>
      <c r="O323" s="1175">
        <f>'Data &amp; hypothesis Children'!N164</f>
        <v>0</v>
      </c>
      <c r="P323" s="1175">
        <f>'Data &amp; hypothesis Children'!O164</f>
        <v>0</v>
      </c>
      <c r="Q323" s="1175">
        <f>'Data &amp; hypothesis Children'!P164</f>
        <v>0</v>
      </c>
      <c r="R323" s="1175">
        <f>'Data &amp; hypothesis Children'!Q164</f>
        <v>0</v>
      </c>
      <c r="S323" s="1175">
        <f>'Data &amp; hypothesis Children'!R164</f>
        <v>0</v>
      </c>
      <c r="T323" s="1175">
        <f>'Data &amp; hypothesis Children'!S164</f>
        <v>0</v>
      </c>
      <c r="U323" s="1175">
        <f>'Data &amp; hypothesis Children'!T164</f>
        <v>0</v>
      </c>
      <c r="V323" s="1175">
        <f>'Data &amp; hypothesis Children'!U164</f>
        <v>0</v>
      </c>
      <c r="W323" s="1175">
        <f>'Data &amp; hypothesis Children'!V164</f>
        <v>0</v>
      </c>
      <c r="X323" s="1175">
        <f>'Data &amp; hypothesis Children'!W164</f>
        <v>0</v>
      </c>
      <c r="Y323" s="1175">
        <f>'Data &amp; hypothesis Children'!X164</f>
        <v>0</v>
      </c>
      <c r="Z323" s="1175">
        <f>'Data &amp; hypothesis Children'!Y164</f>
        <v>0</v>
      </c>
      <c r="AA323" s="1175">
        <f>'Data &amp; hypothesis Children'!Z164</f>
        <v>0</v>
      </c>
      <c r="AB323" s="1175">
        <f>'Data &amp; hypothesis Children'!AA164</f>
        <v>0</v>
      </c>
      <c r="AC323" s="1175">
        <f>'Data &amp; hypothesis Children'!AB164</f>
        <v>0</v>
      </c>
      <c r="AD323" s="1175">
        <f>'Data &amp; hypothesis Children'!AC164</f>
        <v>0</v>
      </c>
      <c r="AE323" s="1175">
        <f>'Data &amp; hypothesis Children'!AD164</f>
        <v>0</v>
      </c>
      <c r="AF323" s="1175">
        <f>'Data &amp; hypothesis Children'!AE164</f>
        <v>0</v>
      </c>
      <c r="AG323" s="1175">
        <f>'Data &amp; hypothesis Children'!AF164</f>
        <v>0</v>
      </c>
      <c r="AH323" s="1415">
        <f>'Data &amp; hypothesis Children'!AG164</f>
        <v>0</v>
      </c>
      <c r="AI323" s="1339" t="e">
        <f t="shared" si="98"/>
        <v>#DIV/0!</v>
      </c>
      <c r="AJ323" s="1340" t="e">
        <f t="shared" si="99"/>
        <v>#DIV/0!</v>
      </c>
    </row>
    <row r="324" spans="1:36" s="1279" customFormat="1" ht="15.75" thickBot="1" x14ac:dyDescent="0.3">
      <c r="A324" s="1282"/>
      <c r="C324" s="1301">
        <v>0</v>
      </c>
      <c r="D324" s="1175">
        <f>'Data &amp; hypothesis Children'!C165</f>
        <v>0</v>
      </c>
      <c r="E324" s="1175">
        <f>'Data &amp; hypothesis Children'!D165</f>
        <v>0</v>
      </c>
      <c r="F324" s="1175">
        <f>'Data &amp; hypothesis Children'!E165</f>
        <v>0</v>
      </c>
      <c r="G324" s="1175">
        <f>'Data &amp; hypothesis Children'!F165</f>
        <v>0</v>
      </c>
      <c r="H324" s="1175">
        <f>'Data &amp; hypothesis Children'!G165</f>
        <v>0</v>
      </c>
      <c r="I324" s="1175">
        <f>'Data &amp; hypothesis Children'!H165</f>
        <v>0</v>
      </c>
      <c r="J324" s="1175">
        <f>'Data &amp; hypothesis Children'!I165</f>
        <v>0</v>
      </c>
      <c r="K324" s="1413">
        <f>'Data &amp; hypothesis Children'!J165</f>
        <v>0</v>
      </c>
      <c r="L324" s="1417">
        <f>'Data &amp; hypothesis Children'!K165</f>
        <v>0</v>
      </c>
      <c r="M324" s="1418">
        <f>'Data &amp; hypothesis Children'!L165</f>
        <v>0</v>
      </c>
      <c r="N324" s="1418">
        <f>'Data &amp; hypothesis Children'!M165</f>
        <v>0</v>
      </c>
      <c r="O324" s="1418">
        <f>'Data &amp; hypothesis Children'!N165</f>
        <v>0</v>
      </c>
      <c r="P324" s="1418">
        <f>'Data &amp; hypothesis Children'!O165</f>
        <v>0</v>
      </c>
      <c r="Q324" s="1418">
        <f>'Data &amp; hypothesis Children'!P165</f>
        <v>0</v>
      </c>
      <c r="R324" s="1418">
        <f>'Data &amp; hypothesis Children'!Q165</f>
        <v>0</v>
      </c>
      <c r="S324" s="1418">
        <f>'Data &amp; hypothesis Children'!R165</f>
        <v>0</v>
      </c>
      <c r="T324" s="1418">
        <f>'Data &amp; hypothesis Children'!S165</f>
        <v>0</v>
      </c>
      <c r="U324" s="1418">
        <f>'Data &amp; hypothesis Children'!T165</f>
        <v>0</v>
      </c>
      <c r="V324" s="1418">
        <f>'Data &amp; hypothesis Children'!U165</f>
        <v>0</v>
      </c>
      <c r="W324" s="1418">
        <f>'Data &amp; hypothesis Children'!V165</f>
        <v>0</v>
      </c>
      <c r="X324" s="1418">
        <f>'Data &amp; hypothesis Children'!W165</f>
        <v>0</v>
      </c>
      <c r="Y324" s="1418">
        <f>'Data &amp; hypothesis Children'!X165</f>
        <v>0</v>
      </c>
      <c r="Z324" s="1418">
        <f>'Data &amp; hypothesis Children'!Y165</f>
        <v>0</v>
      </c>
      <c r="AA324" s="1418">
        <f>'Data &amp; hypothesis Children'!Z165</f>
        <v>0</v>
      </c>
      <c r="AB324" s="1418">
        <f>'Data &amp; hypothesis Children'!AA165</f>
        <v>0</v>
      </c>
      <c r="AC324" s="1418">
        <f>'Data &amp; hypothesis Children'!AB165</f>
        <v>0</v>
      </c>
      <c r="AD324" s="1418">
        <f>'Data &amp; hypothesis Children'!AC165</f>
        <v>0</v>
      </c>
      <c r="AE324" s="1418">
        <f>'Data &amp; hypothesis Children'!AD165</f>
        <v>0</v>
      </c>
      <c r="AF324" s="1418">
        <f>'Data &amp; hypothesis Children'!AE165</f>
        <v>0</v>
      </c>
      <c r="AG324" s="1418">
        <f>'Data &amp; hypothesis Children'!AF165</f>
        <v>0</v>
      </c>
      <c r="AH324" s="1419">
        <f>'Data &amp; hypothesis Children'!AG165</f>
        <v>0</v>
      </c>
      <c r="AI324" s="1339" t="e">
        <f>H78</f>
        <v>#DIV/0!</v>
      </c>
      <c r="AJ324" s="1340" t="e">
        <f>H94</f>
        <v>#DIV/0!</v>
      </c>
    </row>
    <row r="325" spans="1:36" s="1304" customFormat="1" ht="26.25" thickBot="1" x14ac:dyDescent="0.25">
      <c r="A325" s="1303"/>
      <c r="C325" s="1305" t="str">
        <f>'TRAD-Children YEAR(1)'!B118</f>
        <v>Nb de patients-mois / produit - SANS SS</v>
      </c>
      <c r="D325" s="1306">
        <f t="shared" ref="D325:AE325" si="100">SUMIF(D314:D324, "X", $AI314:$AI324)</f>
        <v>0</v>
      </c>
      <c r="E325" s="1306">
        <f t="shared" si="100"/>
        <v>0</v>
      </c>
      <c r="F325" s="1306">
        <f t="shared" si="100"/>
        <v>0</v>
      </c>
      <c r="G325" s="1306">
        <f t="shared" si="100"/>
        <v>0</v>
      </c>
      <c r="H325" s="1306">
        <f t="shared" si="100"/>
        <v>0</v>
      </c>
      <c r="I325" s="1306">
        <f t="shared" si="100"/>
        <v>0</v>
      </c>
      <c r="J325" s="1306" t="e">
        <f t="shared" si="100"/>
        <v>#DIV/0!</v>
      </c>
      <c r="K325" s="1307">
        <f t="shared" si="100"/>
        <v>0</v>
      </c>
      <c r="L325" s="1308">
        <f t="shared" si="100"/>
        <v>0</v>
      </c>
      <c r="M325" s="1306" t="e">
        <f t="shared" si="100"/>
        <v>#DIV/0!</v>
      </c>
      <c r="N325" s="1306">
        <f t="shared" si="100"/>
        <v>0</v>
      </c>
      <c r="O325" s="1306" t="e">
        <f t="shared" si="100"/>
        <v>#DIV/0!</v>
      </c>
      <c r="P325" s="1306">
        <f t="shared" si="100"/>
        <v>0</v>
      </c>
      <c r="Q325" s="1306" t="e">
        <f t="shared" si="100"/>
        <v>#DIV/0!</v>
      </c>
      <c r="R325" s="1306">
        <f t="shared" si="100"/>
        <v>0</v>
      </c>
      <c r="S325" s="1306">
        <f t="shared" si="100"/>
        <v>0</v>
      </c>
      <c r="T325" s="1306">
        <f t="shared" si="100"/>
        <v>0</v>
      </c>
      <c r="U325" s="1306">
        <f t="shared" si="100"/>
        <v>0</v>
      </c>
      <c r="V325" s="1306" t="e">
        <f t="shared" si="100"/>
        <v>#DIV/0!</v>
      </c>
      <c r="W325" s="1306">
        <f t="shared" si="100"/>
        <v>0</v>
      </c>
      <c r="X325" s="1306">
        <f t="shared" si="100"/>
        <v>0</v>
      </c>
      <c r="Y325" s="1306">
        <f t="shared" si="100"/>
        <v>0</v>
      </c>
      <c r="Z325" s="1306">
        <f t="shared" si="100"/>
        <v>0</v>
      </c>
      <c r="AA325" s="1306">
        <f t="shared" si="100"/>
        <v>0</v>
      </c>
      <c r="AB325" s="1306">
        <f t="shared" si="100"/>
        <v>0</v>
      </c>
      <c r="AC325" s="1306">
        <f t="shared" si="100"/>
        <v>0</v>
      </c>
      <c r="AD325" s="1306">
        <f t="shared" si="100"/>
        <v>0</v>
      </c>
      <c r="AE325" s="1306" t="e">
        <f t="shared" si="100"/>
        <v>#DIV/0!</v>
      </c>
      <c r="AF325" s="1306" t="e">
        <f t="shared" ref="AF325" si="101">SUMIF(AF314:AF324, "X", $AI314:$AI324)</f>
        <v>#DIV/0!</v>
      </c>
      <c r="AG325" s="1306">
        <f>SUMIF(AG314:AG324, "X", $AI314:$AI324)</f>
        <v>0</v>
      </c>
      <c r="AH325" s="1306" t="e">
        <f>SUMIF(AH314:$AH$324, "X", $AI314:$AI324)</f>
        <v>#DIV/0!</v>
      </c>
    </row>
    <row r="326" spans="1:36" s="1304" customFormat="1" ht="26.25" thickBot="1" x14ac:dyDescent="0.25">
      <c r="A326" s="1303"/>
      <c r="C326" s="1305" t="str">
        <f>'TRAD-Children YEAR(1)'!B119</f>
        <v>Nb de patients-mois / produit - AVEC SS</v>
      </c>
      <c r="D326" s="1309">
        <f t="shared" ref="D326:AG326" si="102">SUMIF(D314:D324, "X", $AJ314:$AJ324)</f>
        <v>0</v>
      </c>
      <c r="E326" s="1309">
        <f t="shared" si="102"/>
        <v>0</v>
      </c>
      <c r="F326" s="1309">
        <f t="shared" si="102"/>
        <v>0</v>
      </c>
      <c r="G326" s="1309">
        <f t="shared" si="102"/>
        <v>0</v>
      </c>
      <c r="H326" s="1309">
        <f t="shared" si="102"/>
        <v>0</v>
      </c>
      <c r="I326" s="1309">
        <f t="shared" si="102"/>
        <v>0</v>
      </c>
      <c r="J326" s="1309" t="e">
        <f t="shared" si="102"/>
        <v>#DIV/0!</v>
      </c>
      <c r="K326" s="1310">
        <f t="shared" si="102"/>
        <v>0</v>
      </c>
      <c r="L326" s="1311">
        <f t="shared" si="102"/>
        <v>0</v>
      </c>
      <c r="M326" s="1309" t="e">
        <f t="shared" si="102"/>
        <v>#DIV/0!</v>
      </c>
      <c r="N326" s="1309">
        <f t="shared" si="102"/>
        <v>0</v>
      </c>
      <c r="O326" s="1309" t="e">
        <f t="shared" si="102"/>
        <v>#DIV/0!</v>
      </c>
      <c r="P326" s="1309">
        <f t="shared" si="102"/>
        <v>0</v>
      </c>
      <c r="Q326" s="1309" t="e">
        <f t="shared" si="102"/>
        <v>#DIV/0!</v>
      </c>
      <c r="R326" s="1309">
        <f t="shared" si="102"/>
        <v>0</v>
      </c>
      <c r="S326" s="1309">
        <f t="shared" si="102"/>
        <v>0</v>
      </c>
      <c r="T326" s="1309">
        <f t="shared" si="102"/>
        <v>0</v>
      </c>
      <c r="U326" s="1309">
        <f t="shared" si="102"/>
        <v>0</v>
      </c>
      <c r="V326" s="1309" t="e">
        <f t="shared" si="102"/>
        <v>#DIV/0!</v>
      </c>
      <c r="W326" s="1309">
        <f t="shared" si="102"/>
        <v>0</v>
      </c>
      <c r="X326" s="1309">
        <f t="shared" si="102"/>
        <v>0</v>
      </c>
      <c r="Y326" s="1309">
        <f t="shared" si="102"/>
        <v>0</v>
      </c>
      <c r="Z326" s="1309">
        <f t="shared" si="102"/>
        <v>0</v>
      </c>
      <c r="AA326" s="1309">
        <f t="shared" si="102"/>
        <v>0</v>
      </c>
      <c r="AB326" s="1309">
        <f t="shared" si="102"/>
        <v>0</v>
      </c>
      <c r="AC326" s="1309">
        <f t="shared" si="102"/>
        <v>0</v>
      </c>
      <c r="AD326" s="1309">
        <f t="shared" si="102"/>
        <v>0</v>
      </c>
      <c r="AE326" s="1309" t="e">
        <f t="shared" si="102"/>
        <v>#DIV/0!</v>
      </c>
      <c r="AF326" s="1309" t="e">
        <f t="shared" si="102"/>
        <v>#DIV/0!</v>
      </c>
      <c r="AG326" s="1309">
        <f t="shared" si="102"/>
        <v>0</v>
      </c>
      <c r="AH326" s="1309" t="e">
        <f>SUMIF(AH314:$AH$324, "X", $AJ314:$AJ324)</f>
        <v>#DIV/0!</v>
      </c>
    </row>
    <row r="327" spans="1:36" s="1304" customFormat="1" ht="26.25" thickBot="1" x14ac:dyDescent="0.25">
      <c r="A327" s="1303"/>
      <c r="C327" s="1305" t="str">
        <f>'TRAD-Children YEAR(1)'!B120</f>
        <v>Nb de cdt - Estimation période SANS SS</v>
      </c>
      <c r="D327" s="1312">
        <f t="shared" ref="D327:AH327" si="103">D325*D312</f>
        <v>0</v>
      </c>
      <c r="E327" s="1312">
        <f t="shared" si="103"/>
        <v>0</v>
      </c>
      <c r="F327" s="1312">
        <f t="shared" si="103"/>
        <v>0</v>
      </c>
      <c r="G327" s="1312">
        <f t="shared" si="103"/>
        <v>0</v>
      </c>
      <c r="H327" s="1312">
        <f t="shared" si="103"/>
        <v>0</v>
      </c>
      <c r="I327" s="1312">
        <f t="shared" si="103"/>
        <v>0</v>
      </c>
      <c r="J327" s="1312" t="e">
        <f t="shared" si="103"/>
        <v>#DIV/0!</v>
      </c>
      <c r="K327" s="1313">
        <f t="shared" si="103"/>
        <v>0</v>
      </c>
      <c r="L327" s="1314">
        <f t="shared" si="103"/>
        <v>0</v>
      </c>
      <c r="M327" s="1312" t="e">
        <f t="shared" si="103"/>
        <v>#DIV/0!</v>
      </c>
      <c r="N327" s="1312">
        <f t="shared" si="103"/>
        <v>0</v>
      </c>
      <c r="O327" s="1312" t="e">
        <f t="shared" si="103"/>
        <v>#DIV/0!</v>
      </c>
      <c r="P327" s="1312">
        <f t="shared" si="103"/>
        <v>0</v>
      </c>
      <c r="Q327" s="1312" t="e">
        <f t="shared" si="103"/>
        <v>#DIV/0!</v>
      </c>
      <c r="R327" s="1312">
        <f t="shared" ref="R327" si="104">R325*R312</f>
        <v>0</v>
      </c>
      <c r="S327" s="1312">
        <f t="shared" si="103"/>
        <v>0</v>
      </c>
      <c r="T327" s="1312">
        <f t="shared" si="103"/>
        <v>0</v>
      </c>
      <c r="U327" s="1312">
        <f t="shared" si="103"/>
        <v>0</v>
      </c>
      <c r="V327" s="1312" t="e">
        <f t="shared" si="103"/>
        <v>#DIV/0!</v>
      </c>
      <c r="W327" s="1312">
        <f t="shared" ref="W327:Y327" si="105">W325*W312</f>
        <v>0</v>
      </c>
      <c r="X327" s="1312">
        <f t="shared" ref="X327" si="106">X325*X312</f>
        <v>0</v>
      </c>
      <c r="Y327" s="1312">
        <f t="shared" si="105"/>
        <v>0</v>
      </c>
      <c r="Z327" s="1312">
        <f t="shared" ref="Z327:AF327" si="107">Z325*Z312</f>
        <v>0</v>
      </c>
      <c r="AA327" s="1312">
        <f t="shared" si="107"/>
        <v>0</v>
      </c>
      <c r="AB327" s="1312">
        <f t="shared" si="107"/>
        <v>0</v>
      </c>
      <c r="AC327" s="1312">
        <f t="shared" si="107"/>
        <v>0</v>
      </c>
      <c r="AD327" s="1312">
        <f t="shared" si="107"/>
        <v>0</v>
      </c>
      <c r="AE327" s="1312" t="e">
        <f t="shared" ref="AE327" si="108">AE325*AE312</f>
        <v>#DIV/0!</v>
      </c>
      <c r="AF327" s="1312" t="e">
        <f t="shared" si="107"/>
        <v>#DIV/0!</v>
      </c>
      <c r="AG327" s="1312">
        <f t="shared" si="103"/>
        <v>0</v>
      </c>
      <c r="AH327" s="1312" t="e">
        <f t="shared" si="103"/>
        <v>#DIV/0!</v>
      </c>
    </row>
    <row r="328" spans="1:36" s="1304" customFormat="1" ht="26.25" thickBot="1" x14ac:dyDescent="0.25">
      <c r="A328" s="1303"/>
      <c r="C328" s="1305" t="str">
        <f>'TRAD-Children YEAR(1)'!B121</f>
        <v>Nb de cdt - Estimation période AVEC SS</v>
      </c>
      <c r="D328" s="1315">
        <f t="shared" ref="D328:AH328" si="109">D326*D312</f>
        <v>0</v>
      </c>
      <c r="E328" s="1315">
        <f t="shared" si="109"/>
        <v>0</v>
      </c>
      <c r="F328" s="1315">
        <f t="shared" si="109"/>
        <v>0</v>
      </c>
      <c r="G328" s="1315">
        <f t="shared" si="109"/>
        <v>0</v>
      </c>
      <c r="H328" s="1315">
        <f t="shared" si="109"/>
        <v>0</v>
      </c>
      <c r="I328" s="1315">
        <f t="shared" si="109"/>
        <v>0</v>
      </c>
      <c r="J328" s="1315" t="e">
        <f t="shared" si="109"/>
        <v>#DIV/0!</v>
      </c>
      <c r="K328" s="1316">
        <f t="shared" si="109"/>
        <v>0</v>
      </c>
      <c r="L328" s="1317">
        <f t="shared" si="109"/>
        <v>0</v>
      </c>
      <c r="M328" s="1315" t="e">
        <f t="shared" si="109"/>
        <v>#DIV/0!</v>
      </c>
      <c r="N328" s="1315">
        <f t="shared" si="109"/>
        <v>0</v>
      </c>
      <c r="O328" s="1315" t="e">
        <f t="shared" si="109"/>
        <v>#DIV/0!</v>
      </c>
      <c r="P328" s="1315">
        <f t="shared" si="109"/>
        <v>0</v>
      </c>
      <c r="Q328" s="1315" t="e">
        <f t="shared" si="109"/>
        <v>#DIV/0!</v>
      </c>
      <c r="R328" s="1315">
        <f t="shared" ref="R328" si="110">R326*R312</f>
        <v>0</v>
      </c>
      <c r="S328" s="1315">
        <f t="shared" si="109"/>
        <v>0</v>
      </c>
      <c r="T328" s="1315">
        <f t="shared" si="109"/>
        <v>0</v>
      </c>
      <c r="U328" s="1315">
        <f t="shared" si="109"/>
        <v>0</v>
      </c>
      <c r="V328" s="1315" t="e">
        <f t="shared" si="109"/>
        <v>#DIV/0!</v>
      </c>
      <c r="W328" s="1315">
        <f t="shared" ref="W328:Y328" si="111">W326*W312</f>
        <v>0</v>
      </c>
      <c r="X328" s="1315">
        <f t="shared" ref="X328" si="112">X326*X312</f>
        <v>0</v>
      </c>
      <c r="Y328" s="1315">
        <f t="shared" si="111"/>
        <v>0</v>
      </c>
      <c r="Z328" s="1315">
        <f t="shared" ref="Z328:AF328" si="113">Z326*Z312</f>
        <v>0</v>
      </c>
      <c r="AA328" s="1315">
        <f t="shared" si="113"/>
        <v>0</v>
      </c>
      <c r="AB328" s="1315">
        <f t="shared" si="113"/>
        <v>0</v>
      </c>
      <c r="AC328" s="1315">
        <f t="shared" si="113"/>
        <v>0</v>
      </c>
      <c r="AD328" s="1315">
        <f t="shared" si="113"/>
        <v>0</v>
      </c>
      <c r="AE328" s="1315" t="e">
        <f t="shared" ref="AE328" si="114">AE326*AE312</f>
        <v>#DIV/0!</v>
      </c>
      <c r="AF328" s="1315" t="e">
        <f t="shared" si="113"/>
        <v>#DIV/0!</v>
      </c>
      <c r="AG328" s="1315">
        <f t="shared" si="109"/>
        <v>0</v>
      </c>
      <c r="AH328" s="1315" t="e">
        <f t="shared" si="109"/>
        <v>#DIV/0!</v>
      </c>
    </row>
    <row r="329" spans="1:36" s="1279" customFormat="1" x14ac:dyDescent="0.2">
      <c r="A329" s="1282"/>
    </row>
    <row r="330" spans="1:36" s="1279" customFormat="1" ht="13.5" thickBot="1" x14ac:dyDescent="0.25">
      <c r="A330" s="1282"/>
    </row>
    <row r="331" spans="1:36" s="1279" customFormat="1" ht="13.5" thickBot="1" x14ac:dyDescent="0.25">
      <c r="A331" s="1282"/>
      <c r="B331" s="1283" t="str">
        <f>'TRAD-Children YEAR(1)'!B127</f>
        <v>Tranche 20 - 24,9 kg</v>
      </c>
      <c r="C331" s="1284"/>
      <c r="D331" s="1285"/>
      <c r="E331" s="1285"/>
      <c r="F331" s="1285"/>
      <c r="G331" s="1285"/>
      <c r="H331" s="1285"/>
      <c r="I331" s="1286"/>
    </row>
    <row r="332" spans="1:36" s="1279" customFormat="1" ht="13.5" thickBot="1" x14ac:dyDescent="0.25">
      <c r="A332" s="1282"/>
      <c r="B332" s="1323"/>
      <c r="C332" s="1324"/>
      <c r="D332" s="1325"/>
      <c r="E332" s="1325"/>
      <c r="F332" s="1325"/>
      <c r="G332" s="1325"/>
      <c r="H332" s="1325"/>
      <c r="I332" s="1325"/>
    </row>
    <row r="333" spans="1:36" s="1279" customFormat="1" ht="26.25" thickBot="1" x14ac:dyDescent="0.25">
      <c r="A333" s="1282"/>
      <c r="D333" s="1287" t="str">
        <f>'TRAD-Children YEAR(1)'!B90</f>
        <v>Solutions buvables</v>
      </c>
      <c r="E333" s="1288"/>
      <c r="F333" s="1288"/>
      <c r="G333" s="1288"/>
      <c r="H333" s="1288"/>
      <c r="I333" s="1288"/>
      <c r="J333" s="1284"/>
      <c r="K333" s="1284"/>
      <c r="L333" s="1289" t="str">
        <f>'TRAD-Children YEAR(1)'!B91</f>
        <v>Comprimés</v>
      </c>
      <c r="M333" s="1284"/>
      <c r="N333" s="1284"/>
      <c r="O333" s="1284"/>
      <c r="P333" s="1284"/>
      <c r="Q333" s="1284"/>
      <c r="R333" s="1284"/>
      <c r="S333" s="1284"/>
      <c r="T333" s="1284"/>
      <c r="U333" s="1284"/>
      <c r="V333" s="1284"/>
      <c r="W333" s="1945"/>
      <c r="X333" s="1945"/>
      <c r="Y333" s="1945"/>
      <c r="Z333" s="1284"/>
      <c r="AA333" s="1284"/>
      <c r="AB333" s="1284"/>
      <c r="AC333" s="1284"/>
      <c r="AD333" s="1284"/>
      <c r="AE333" s="1284"/>
      <c r="AF333" s="1284"/>
      <c r="AG333" s="1284"/>
      <c r="AH333" s="1284"/>
    </row>
    <row r="334" spans="1:36" s="1292" customFormat="1" ht="25.5" x14ac:dyDescent="0.2">
      <c r="A334" s="1291"/>
      <c r="C334" s="1332" t="str">
        <f>'TRAD-Children YEAR(1)'!B113</f>
        <v>Nb de boites / mois pour l'ensemble des patients</v>
      </c>
      <c r="D334" s="1329" t="s">
        <v>39</v>
      </c>
      <c r="E334" s="1329" t="s">
        <v>61</v>
      </c>
      <c r="F334" s="1329" t="s">
        <v>15</v>
      </c>
      <c r="G334" s="1329" t="s">
        <v>25</v>
      </c>
      <c r="H334" s="1329" t="s">
        <v>28</v>
      </c>
      <c r="I334" s="1329" t="s">
        <v>19</v>
      </c>
      <c r="J334" s="1329" t="s">
        <v>17</v>
      </c>
      <c r="K334" s="1333" t="s">
        <v>33</v>
      </c>
      <c r="L334" s="1334" t="s">
        <v>7</v>
      </c>
      <c r="M334" s="1330" t="s">
        <v>386</v>
      </c>
      <c r="N334" s="1330" t="s">
        <v>11</v>
      </c>
      <c r="O334" s="1330" t="s">
        <v>387</v>
      </c>
      <c r="P334" s="1330" t="s">
        <v>50</v>
      </c>
      <c r="Q334" s="1330" t="s">
        <v>392</v>
      </c>
      <c r="R334" s="1330" t="s">
        <v>81</v>
      </c>
      <c r="S334" s="1330" t="s">
        <v>140</v>
      </c>
      <c r="T334" s="1330" t="s">
        <v>635</v>
      </c>
      <c r="U334" s="1330" t="s">
        <v>586</v>
      </c>
      <c r="V334" s="1330" t="s">
        <v>575</v>
      </c>
      <c r="W334" s="1946"/>
      <c r="X334" s="1946"/>
      <c r="Y334" s="1946"/>
      <c r="Z334" s="1422" t="s">
        <v>15</v>
      </c>
      <c r="AA334" s="1330" t="s">
        <v>25</v>
      </c>
      <c r="AB334" s="1330" t="s">
        <v>648</v>
      </c>
      <c r="AC334" s="1330" t="s">
        <v>28</v>
      </c>
      <c r="AD334" s="1422" t="s">
        <v>19</v>
      </c>
      <c r="AE334" s="1586" t="s">
        <v>19</v>
      </c>
      <c r="AF334" s="1422" t="s">
        <v>17</v>
      </c>
      <c r="AG334" s="1330" t="s">
        <v>33</v>
      </c>
      <c r="AH334" s="1335" t="s">
        <v>638</v>
      </c>
    </row>
    <row r="335" spans="1:36" s="1292" customFormat="1" ht="77.25" thickBot="1" x14ac:dyDescent="0.25">
      <c r="A335" s="1291"/>
      <c r="C335" s="1332" t="str">
        <f>'TRAD-Children YEAR(1)'!B114</f>
        <v>Dosage</v>
      </c>
      <c r="D335" s="1329" t="s">
        <v>41</v>
      </c>
      <c r="E335" s="1329" t="s">
        <v>41</v>
      </c>
      <c r="F335" s="1329" t="s">
        <v>41</v>
      </c>
      <c r="G335" s="1329" t="s">
        <v>44</v>
      </c>
      <c r="H335" s="1329" t="s">
        <v>46</v>
      </c>
      <c r="I335" s="1329" t="s">
        <v>41</v>
      </c>
      <c r="J335" s="1329" t="s">
        <v>259</v>
      </c>
      <c r="K335" s="1333" t="s">
        <v>47</v>
      </c>
      <c r="L335" s="1336" t="s">
        <v>9</v>
      </c>
      <c r="M335" s="1331" t="s">
        <v>384</v>
      </c>
      <c r="N335" s="1331" t="s">
        <v>12</v>
      </c>
      <c r="O335" s="1331" t="s">
        <v>382</v>
      </c>
      <c r="P335" s="1331" t="s">
        <v>80</v>
      </c>
      <c r="Q335" s="1331" t="s">
        <v>131</v>
      </c>
      <c r="R335" s="1331" t="s">
        <v>733</v>
      </c>
      <c r="S335" s="1331" t="s">
        <v>334</v>
      </c>
      <c r="T335" s="1331" t="s">
        <v>636</v>
      </c>
      <c r="U335" s="1331" t="s">
        <v>649</v>
      </c>
      <c r="V335" s="1331" t="s">
        <v>636</v>
      </c>
      <c r="W335" s="1331"/>
      <c r="X335" s="1331"/>
      <c r="Y335" s="1331"/>
      <c r="Z335" s="1424" t="s">
        <v>16</v>
      </c>
      <c r="AA335" s="1331" t="s">
        <v>23</v>
      </c>
      <c r="AB335" s="1331" t="s">
        <v>639</v>
      </c>
      <c r="AC335" s="1331" t="s">
        <v>29</v>
      </c>
      <c r="AD335" s="1424" t="s">
        <v>20</v>
      </c>
      <c r="AE335" s="1424" t="s">
        <v>248</v>
      </c>
      <c r="AF335" s="1424" t="s">
        <v>20</v>
      </c>
      <c r="AG335" s="1331" t="s">
        <v>34</v>
      </c>
      <c r="AH335" s="1337" t="s">
        <v>637</v>
      </c>
      <c r="AI335" s="1320" t="str">
        <f>'TRAD-Children YEAR(1)'!B126</f>
        <v>Répartition des patients mois / tranches de poids</v>
      </c>
    </row>
    <row r="336" spans="1:36" s="1279" customFormat="1" ht="26.25" thickBot="1" x14ac:dyDescent="0.25">
      <c r="A336" s="1282"/>
      <c r="C336" s="1332" t="str">
        <f>'TRAD-Children YEAR(1)'!B115</f>
        <v>Nb de cdt/mois pour la tranche</v>
      </c>
      <c r="D336" s="1404">
        <f t="array" ref="D336:AH336">TRANSPOSE($G$224:$G$254)</f>
        <v>0</v>
      </c>
      <c r="E336" s="1404">
        <v>0</v>
      </c>
      <c r="F336" s="1404">
        <v>0</v>
      </c>
      <c r="G336" s="1404">
        <v>0</v>
      </c>
      <c r="H336" s="1404">
        <v>0</v>
      </c>
      <c r="I336" s="1404">
        <v>0</v>
      </c>
      <c r="J336" s="1404">
        <v>2.5</v>
      </c>
      <c r="K336" s="1405">
        <v>3</v>
      </c>
      <c r="L336" s="1406">
        <v>1</v>
      </c>
      <c r="M336" s="1407">
        <v>3</v>
      </c>
      <c r="N336" s="1407">
        <v>1</v>
      </c>
      <c r="O336" s="1407">
        <v>3</v>
      </c>
      <c r="P336" s="1407">
        <v>1</v>
      </c>
      <c r="Q336" s="1407">
        <v>3</v>
      </c>
      <c r="R336" s="1407">
        <v>3</v>
      </c>
      <c r="S336" s="1407">
        <v>1</v>
      </c>
      <c r="T336" s="1407">
        <v>3</v>
      </c>
      <c r="U336" s="1407">
        <v>1</v>
      </c>
      <c r="V336" s="1407">
        <v>3</v>
      </c>
      <c r="W336" s="1407">
        <v>1</v>
      </c>
      <c r="X336" s="1407">
        <v>1</v>
      </c>
      <c r="Y336" s="1407">
        <v>1</v>
      </c>
      <c r="Z336" s="1407">
        <v>1</v>
      </c>
      <c r="AA336" s="1407">
        <v>1</v>
      </c>
      <c r="AB336" s="1407">
        <v>3</v>
      </c>
      <c r="AC336" s="1407">
        <v>1</v>
      </c>
      <c r="AD336" s="1407">
        <v>1</v>
      </c>
      <c r="AE336" s="1407">
        <v>3</v>
      </c>
      <c r="AF336" s="1407">
        <v>1.5</v>
      </c>
      <c r="AG336" s="1407">
        <v>0.5</v>
      </c>
      <c r="AH336" s="1407">
        <v>2</v>
      </c>
      <c r="AI336" s="1338" t="s">
        <v>661</v>
      </c>
      <c r="AJ336" s="1281"/>
    </row>
    <row r="337" spans="1:36" s="1279" customFormat="1" ht="63.75" x14ac:dyDescent="0.2">
      <c r="A337" s="1282"/>
      <c r="B337" s="1293" t="str">
        <f>'TRAD-Children YEAR(1)'!B6</f>
        <v>Schéma thérapeutique</v>
      </c>
      <c r="C337" s="1332" t="str">
        <f>'TRAD-Children YEAR(1)'!B116</f>
        <v>Premières lignes</v>
      </c>
      <c r="D337" s="1297"/>
      <c r="E337" s="1297"/>
      <c r="F337" s="1297"/>
      <c r="G337" s="1297"/>
      <c r="H337" s="1297"/>
      <c r="I337" s="1297"/>
      <c r="J337" s="1297"/>
      <c r="K337" s="1298"/>
      <c r="L337" s="1299"/>
      <c r="M337" s="1297"/>
      <c r="N337" s="1297"/>
      <c r="O337" s="1297"/>
      <c r="P337" s="1297"/>
      <c r="Q337" s="1297"/>
      <c r="R337" s="1297"/>
      <c r="S337" s="1297"/>
      <c r="T337" s="1297"/>
      <c r="U337" s="1297"/>
      <c r="V337" s="1297"/>
      <c r="W337" s="1297"/>
      <c r="X337" s="1297"/>
      <c r="Y337" s="1297"/>
      <c r="Z337" s="1297"/>
      <c r="AA337" s="1297"/>
      <c r="AB337" s="1297"/>
      <c r="AC337" s="1297"/>
      <c r="AD337" s="1297"/>
      <c r="AE337" s="1297"/>
      <c r="AF337" s="1297"/>
      <c r="AG337" s="1297"/>
      <c r="AH337" s="1297"/>
      <c r="AI337" s="1318" t="str">
        <f>'TRAD-Children YEAR(1)'!B122</f>
        <v>nb de patients mois période quantifiée</v>
      </c>
      <c r="AJ337" s="1318" t="str">
        <f>'TRAD-Children YEAR(1)'!B123</f>
        <v>nb de patients mois avec période de sécurité</v>
      </c>
    </row>
    <row r="338" spans="1:36" s="1279" customFormat="1" ht="15" x14ac:dyDescent="0.25">
      <c r="A338" s="1282"/>
      <c r="C338" s="1319" t="str">
        <f t="array" ref="C338:C343">'Data &amp; hypothesis Children'!$C$26:$C$31</f>
        <v>D4T+3TC+NVP</v>
      </c>
      <c r="D338" s="1175">
        <f>'Data &amp; hypothesis Children'!C173</f>
        <v>0</v>
      </c>
      <c r="E338" s="1175">
        <f>'Data &amp; hypothesis Children'!D173</f>
        <v>0</v>
      </c>
      <c r="F338" s="1175">
        <f>'Data &amp; hypothesis Children'!E173</f>
        <v>0</v>
      </c>
      <c r="G338" s="1175">
        <f>'Data &amp; hypothesis Children'!F173</f>
        <v>0</v>
      </c>
      <c r="H338" s="1175">
        <f>'Data &amp; hypothesis Children'!G173</f>
        <v>0</v>
      </c>
      <c r="I338" s="1175">
        <f>'Data &amp; hypothesis Children'!H173</f>
        <v>0</v>
      </c>
      <c r="J338" s="1175">
        <f>'Data &amp; hypothesis Children'!I173</f>
        <v>0</v>
      </c>
      <c r="K338" s="1413">
        <f>'Data &amp; hypothesis Children'!J173</f>
        <v>0</v>
      </c>
      <c r="L338" s="1414">
        <f>'Data &amp; hypothesis Children'!K173</f>
        <v>0</v>
      </c>
      <c r="M338" s="1175">
        <f>'Data &amp; hypothesis Children'!L173</f>
        <v>0</v>
      </c>
      <c r="N338" s="1175">
        <f>'Data &amp; hypothesis Children'!M173</f>
        <v>0</v>
      </c>
      <c r="O338" s="1175">
        <f>'Data &amp; hypothesis Children'!N173</f>
        <v>0</v>
      </c>
      <c r="P338" s="1175">
        <f>'Data &amp; hypothesis Children'!O173</f>
        <v>0</v>
      </c>
      <c r="Q338" s="1175">
        <f>'Data &amp; hypothesis Children'!P173</f>
        <v>0</v>
      </c>
      <c r="R338" s="1175">
        <f>'Data &amp; hypothesis Children'!Q173</f>
        <v>0</v>
      </c>
      <c r="S338" s="1175">
        <f>'Data &amp; hypothesis Children'!R173</f>
        <v>0</v>
      </c>
      <c r="T338" s="1175">
        <f>'Data &amp; hypothesis Children'!S173</f>
        <v>0</v>
      </c>
      <c r="U338" s="1175">
        <f>'Data &amp; hypothesis Children'!T173</f>
        <v>0</v>
      </c>
      <c r="V338" s="1175">
        <f>'Data &amp; hypothesis Children'!U173</f>
        <v>0</v>
      </c>
      <c r="W338" s="1175">
        <f>'Data &amp; hypothesis Children'!V173</f>
        <v>0</v>
      </c>
      <c r="X338" s="1175">
        <f>'Data &amp; hypothesis Children'!W173</f>
        <v>0</v>
      </c>
      <c r="Y338" s="1175">
        <f>'Data &amp; hypothesis Children'!X173</f>
        <v>0</v>
      </c>
      <c r="Z338" s="1175">
        <f>'Data &amp; hypothesis Children'!Y173</f>
        <v>0</v>
      </c>
      <c r="AA338" s="1175">
        <f>'Data &amp; hypothesis Children'!Z173</f>
        <v>0</v>
      </c>
      <c r="AB338" s="1175">
        <f>'Data &amp; hypothesis Children'!AA173</f>
        <v>0</v>
      </c>
      <c r="AC338" s="1175">
        <f>'Data &amp; hypothesis Children'!AB173</f>
        <v>0</v>
      </c>
      <c r="AD338" s="1175">
        <f>'Data &amp; hypothesis Children'!AC173</f>
        <v>0</v>
      </c>
      <c r="AE338" s="1175">
        <f>'Data &amp; hypothesis Children'!AD173</f>
        <v>0</v>
      </c>
      <c r="AF338" s="1175">
        <f>'Data &amp; hypothesis Children'!AE173</f>
        <v>0</v>
      </c>
      <c r="AG338" s="1175">
        <f>'Data &amp; hypothesis Children'!AF173</f>
        <v>0</v>
      </c>
      <c r="AH338" s="1415">
        <f>'Data &amp; hypothesis Children'!AG173</f>
        <v>0</v>
      </c>
      <c r="AI338" s="1339" t="e">
        <f t="shared" ref="AI338:AI343" si="115">I69</f>
        <v>#DIV/0!</v>
      </c>
      <c r="AJ338" s="1340" t="e">
        <f t="shared" ref="AJ338:AJ343" si="116">I85</f>
        <v>#DIV/0!</v>
      </c>
    </row>
    <row r="339" spans="1:36" s="1279" customFormat="1" ht="15" x14ac:dyDescent="0.25">
      <c r="A339" s="1282"/>
      <c r="C339" s="1319" t="str">
        <v>AZT+3TC+NVP</v>
      </c>
      <c r="D339" s="1175">
        <f>'Data &amp; hypothesis Children'!C174</f>
        <v>0</v>
      </c>
      <c r="E339" s="1175">
        <f>'Data &amp; hypothesis Children'!D174</f>
        <v>0</v>
      </c>
      <c r="F339" s="1175">
        <f>'Data &amp; hypothesis Children'!E174</f>
        <v>0</v>
      </c>
      <c r="G339" s="1175">
        <f>'Data &amp; hypothesis Children'!F174</f>
        <v>0</v>
      </c>
      <c r="H339" s="1175">
        <f>'Data &amp; hypothesis Children'!G174</f>
        <v>0</v>
      </c>
      <c r="I339" s="1175">
        <f>'Data &amp; hypothesis Children'!H174</f>
        <v>0</v>
      </c>
      <c r="J339" s="1175">
        <f>'Data &amp; hypothesis Children'!I174</f>
        <v>0</v>
      </c>
      <c r="K339" s="1413">
        <f>'Data &amp; hypothesis Children'!J174</f>
        <v>0</v>
      </c>
      <c r="L339" s="1414">
        <f>'Data &amp; hypothesis Children'!K174</f>
        <v>0</v>
      </c>
      <c r="M339" s="1175" t="str">
        <f>'Data &amp; hypothesis Children'!L174</f>
        <v>X</v>
      </c>
      <c r="N339" s="1175">
        <f>'Data &amp; hypothesis Children'!M174</f>
        <v>0</v>
      </c>
      <c r="O339" s="1175">
        <f>'Data &amp; hypothesis Children'!N174</f>
        <v>0</v>
      </c>
      <c r="P339" s="1175">
        <f>'Data &amp; hypothesis Children'!O174</f>
        <v>0</v>
      </c>
      <c r="Q339" s="1175">
        <f>'Data &amp; hypothesis Children'!P174</f>
        <v>0</v>
      </c>
      <c r="R339" s="1175">
        <f>'Data &amp; hypothesis Children'!Q174</f>
        <v>0</v>
      </c>
      <c r="S339" s="1175">
        <f>'Data &amp; hypothesis Children'!R174</f>
        <v>0</v>
      </c>
      <c r="T339" s="1175">
        <f>'Data &amp; hypothesis Children'!S174</f>
        <v>0</v>
      </c>
      <c r="U339" s="1175">
        <f>'Data &amp; hypothesis Children'!T174</f>
        <v>0</v>
      </c>
      <c r="V339" s="1175">
        <f>'Data &amp; hypothesis Children'!U174</f>
        <v>0</v>
      </c>
      <c r="W339" s="1175">
        <f>'Data &amp; hypothesis Children'!V174</f>
        <v>0</v>
      </c>
      <c r="X339" s="1175">
        <f>'Data &amp; hypothesis Children'!W174</f>
        <v>0</v>
      </c>
      <c r="Y339" s="1175">
        <f>'Data &amp; hypothesis Children'!X174</f>
        <v>0</v>
      </c>
      <c r="Z339" s="1175">
        <f>'Data &amp; hypothesis Children'!Y174</f>
        <v>0</v>
      </c>
      <c r="AA339" s="1175">
        <f>'Data &amp; hypothesis Children'!Z174</f>
        <v>0</v>
      </c>
      <c r="AB339" s="1175">
        <f>'Data &amp; hypothesis Children'!AA174</f>
        <v>0</v>
      </c>
      <c r="AC339" s="1175">
        <f>'Data &amp; hypothesis Children'!AB174</f>
        <v>0</v>
      </c>
      <c r="AD339" s="1175">
        <f>'Data &amp; hypothesis Children'!AC174</f>
        <v>0</v>
      </c>
      <c r="AE339" s="1175">
        <f>'Data &amp; hypothesis Children'!AD174</f>
        <v>0</v>
      </c>
      <c r="AF339" s="1175">
        <f>'Data &amp; hypothesis Children'!AE174</f>
        <v>0</v>
      </c>
      <c r="AG339" s="1175">
        <f>'Data &amp; hypothesis Children'!AF174</f>
        <v>0</v>
      </c>
      <c r="AH339" s="1415">
        <f>'Data &amp; hypothesis Children'!AG174</f>
        <v>0</v>
      </c>
      <c r="AI339" s="1339" t="e">
        <f t="shared" si="115"/>
        <v>#DIV/0!</v>
      </c>
      <c r="AJ339" s="1340" t="e">
        <f t="shared" si="116"/>
        <v>#DIV/0!</v>
      </c>
    </row>
    <row r="340" spans="1:36" s="1279" customFormat="1" ht="15" x14ac:dyDescent="0.25">
      <c r="A340" s="1282"/>
      <c r="C340" s="1319" t="str">
        <v>AZT+3TC+EFV</v>
      </c>
      <c r="D340" s="1175">
        <f>'Data &amp; hypothesis Children'!C175</f>
        <v>0</v>
      </c>
      <c r="E340" s="1175">
        <f>'Data &amp; hypothesis Children'!D175</f>
        <v>0</v>
      </c>
      <c r="F340" s="1175">
        <f>'Data &amp; hypothesis Children'!E175</f>
        <v>0</v>
      </c>
      <c r="G340" s="1175">
        <f>'Data &amp; hypothesis Children'!F175</f>
        <v>0</v>
      </c>
      <c r="H340" s="1175">
        <f>'Data &amp; hypothesis Children'!G175</f>
        <v>0</v>
      </c>
      <c r="I340" s="1175">
        <f>'Data &amp; hypothesis Children'!H175</f>
        <v>0</v>
      </c>
      <c r="J340" s="1175">
        <f>'Data &amp; hypothesis Children'!I175</f>
        <v>0</v>
      </c>
      <c r="K340" s="1413">
        <f>'Data &amp; hypothesis Children'!J175</f>
        <v>0</v>
      </c>
      <c r="L340" s="1414">
        <f>'Data &amp; hypothesis Children'!K175</f>
        <v>0</v>
      </c>
      <c r="M340" s="1175">
        <f>'Data &amp; hypothesis Children'!L175</f>
        <v>0</v>
      </c>
      <c r="N340" s="1175">
        <f>'Data &amp; hypothesis Children'!M175</f>
        <v>0</v>
      </c>
      <c r="O340" s="1175" t="str">
        <f>'Data &amp; hypothesis Children'!N175</f>
        <v>X</v>
      </c>
      <c r="P340" s="1175">
        <f>'Data &amp; hypothesis Children'!O175</f>
        <v>0</v>
      </c>
      <c r="Q340" s="1175">
        <f>'Data &amp; hypothesis Children'!P175</f>
        <v>0</v>
      </c>
      <c r="R340" s="1175">
        <f>'Data &amp; hypothesis Children'!Q175</f>
        <v>0</v>
      </c>
      <c r="S340" s="1175">
        <f>'Data &amp; hypothesis Children'!R175</f>
        <v>0</v>
      </c>
      <c r="T340" s="1175">
        <f>'Data &amp; hypothesis Children'!S175</f>
        <v>0</v>
      </c>
      <c r="U340" s="1175">
        <f>'Data &amp; hypothesis Children'!T175</f>
        <v>0</v>
      </c>
      <c r="V340" s="1175">
        <f>'Data &amp; hypothesis Children'!U175</f>
        <v>0</v>
      </c>
      <c r="W340" s="1175">
        <f>'Data &amp; hypothesis Children'!V175</f>
        <v>0</v>
      </c>
      <c r="X340" s="1175">
        <f>'Data &amp; hypothesis Children'!W175</f>
        <v>0</v>
      </c>
      <c r="Y340" s="1175">
        <f>'Data &amp; hypothesis Children'!X175</f>
        <v>0</v>
      </c>
      <c r="Z340" s="1175">
        <f>'Data &amp; hypothesis Children'!Y175</f>
        <v>0</v>
      </c>
      <c r="AA340" s="1175">
        <f>'Data &amp; hypothesis Children'!Z175</f>
        <v>0</v>
      </c>
      <c r="AB340" s="1175">
        <f>'Data &amp; hypothesis Children'!AA175</f>
        <v>0</v>
      </c>
      <c r="AC340" s="1175">
        <f>'Data &amp; hypothesis Children'!AB175</f>
        <v>0</v>
      </c>
      <c r="AD340" s="1175">
        <f>'Data &amp; hypothesis Children'!AC175</f>
        <v>0</v>
      </c>
      <c r="AE340" s="1175">
        <f>'Data &amp; hypothesis Children'!AD175</f>
        <v>0</v>
      </c>
      <c r="AF340" s="1175" t="str">
        <f>'Data &amp; hypothesis Children'!AE175</f>
        <v>X</v>
      </c>
      <c r="AG340" s="1175">
        <f>'Data &amp; hypothesis Children'!AF175</f>
        <v>0</v>
      </c>
      <c r="AH340" s="1415">
        <f>'Data &amp; hypothesis Children'!AG175</f>
        <v>0</v>
      </c>
      <c r="AI340" s="1339" t="e">
        <f t="shared" si="115"/>
        <v>#DIV/0!</v>
      </c>
      <c r="AJ340" s="1340" t="e">
        <f t="shared" si="116"/>
        <v>#DIV/0!</v>
      </c>
    </row>
    <row r="341" spans="1:36" s="1279" customFormat="1" ht="15" x14ac:dyDescent="0.25">
      <c r="A341" s="1282"/>
      <c r="C341" s="1319" t="str">
        <v>LPV/r+3TC+ABC</v>
      </c>
      <c r="D341" s="1175">
        <f>'Data &amp; hypothesis Children'!C176</f>
        <v>0</v>
      </c>
      <c r="E341" s="1175">
        <f>'Data &amp; hypothesis Children'!D176</f>
        <v>0</v>
      </c>
      <c r="F341" s="1175">
        <f>'Data &amp; hypothesis Children'!E176</f>
        <v>0</v>
      </c>
      <c r="G341" s="1175">
        <f>'Data &amp; hypothesis Children'!F176</f>
        <v>0</v>
      </c>
      <c r="H341" s="1175">
        <f>'Data &amp; hypothesis Children'!G176</f>
        <v>0</v>
      </c>
      <c r="I341" s="1175">
        <f>'Data &amp; hypothesis Children'!H176</f>
        <v>0</v>
      </c>
      <c r="J341" s="1175">
        <f>'Data &amp; hypothesis Children'!I176</f>
        <v>0</v>
      </c>
      <c r="K341" s="1413">
        <f>'Data &amp; hypothesis Children'!J176</f>
        <v>0</v>
      </c>
      <c r="L341" s="1414">
        <f>'Data &amp; hypothesis Children'!K176</f>
        <v>0</v>
      </c>
      <c r="M341" s="1175">
        <f>'Data &amp; hypothesis Children'!L176</f>
        <v>0</v>
      </c>
      <c r="N341" s="1175">
        <f>'Data &amp; hypothesis Children'!M176</f>
        <v>0</v>
      </c>
      <c r="O341" s="1175">
        <f>'Data &amp; hypothesis Children'!N176</f>
        <v>0</v>
      </c>
      <c r="P341" s="1175">
        <f>'Data &amp; hypothesis Children'!O176</f>
        <v>0</v>
      </c>
      <c r="Q341" s="1175">
        <f>'Data &amp; hypothesis Children'!P176</f>
        <v>0</v>
      </c>
      <c r="R341" s="1175">
        <f>'Data &amp; hypothesis Children'!Q176</f>
        <v>0</v>
      </c>
      <c r="S341" s="1175">
        <f>'Data &amp; hypothesis Children'!R176</f>
        <v>0</v>
      </c>
      <c r="T341" s="1175">
        <f>'Data &amp; hypothesis Children'!S176</f>
        <v>0</v>
      </c>
      <c r="U341" s="1175">
        <f>'Data &amp; hypothesis Children'!T176</f>
        <v>0</v>
      </c>
      <c r="V341" s="1175">
        <f>'Data &amp; hypothesis Children'!U176</f>
        <v>0</v>
      </c>
      <c r="W341" s="1175">
        <f>'Data &amp; hypothesis Children'!V176</f>
        <v>0</v>
      </c>
      <c r="X341" s="1175">
        <f>'Data &amp; hypothesis Children'!W176</f>
        <v>0</v>
      </c>
      <c r="Y341" s="1175">
        <f>'Data &amp; hypothesis Children'!X176</f>
        <v>0</v>
      </c>
      <c r="Z341" s="1175">
        <f>'Data &amp; hypothesis Children'!Y176</f>
        <v>0</v>
      </c>
      <c r="AA341" s="1175">
        <f>'Data &amp; hypothesis Children'!Z176</f>
        <v>0</v>
      </c>
      <c r="AB341" s="1175">
        <f>'Data &amp; hypothesis Children'!AA176</f>
        <v>0</v>
      </c>
      <c r="AC341" s="1175">
        <f>'Data &amp; hypothesis Children'!AB176</f>
        <v>0</v>
      </c>
      <c r="AD341" s="1175">
        <f>'Data &amp; hypothesis Children'!AC176</f>
        <v>0</v>
      </c>
      <c r="AE341" s="1175">
        <f>'Data &amp; hypothesis Children'!AD176</f>
        <v>0</v>
      </c>
      <c r="AF341" s="1175">
        <f>'Data &amp; hypothesis Children'!AE176</f>
        <v>0</v>
      </c>
      <c r="AG341" s="1175">
        <f>'Data &amp; hypothesis Children'!AF176</f>
        <v>0</v>
      </c>
      <c r="AH341" s="1415">
        <f>'Data &amp; hypothesis Children'!AG176</f>
        <v>0</v>
      </c>
      <c r="AI341" s="1339" t="e">
        <f t="shared" si="115"/>
        <v>#DIV/0!</v>
      </c>
      <c r="AJ341" s="1340" t="e">
        <f t="shared" si="116"/>
        <v>#DIV/0!</v>
      </c>
    </row>
    <row r="342" spans="1:36" s="1279" customFormat="1" ht="15" x14ac:dyDescent="0.25">
      <c r="A342" s="1282"/>
      <c r="C342" s="1319" t="str">
        <v>ABC+3TC+NVP</v>
      </c>
      <c r="D342" s="1175">
        <f>'Data &amp; hypothesis Children'!C177</f>
        <v>0</v>
      </c>
      <c r="E342" s="1175">
        <f>'Data &amp; hypothesis Children'!D177</f>
        <v>0</v>
      </c>
      <c r="F342" s="1175">
        <f>'Data &amp; hypothesis Children'!E177</f>
        <v>0</v>
      </c>
      <c r="G342" s="1175">
        <f>'Data &amp; hypothesis Children'!F177</f>
        <v>0</v>
      </c>
      <c r="H342" s="1175">
        <f>'Data &amp; hypothesis Children'!G177</f>
        <v>0</v>
      </c>
      <c r="I342" s="1175">
        <f>'Data &amp; hypothesis Children'!H177</f>
        <v>0</v>
      </c>
      <c r="J342" s="1175">
        <f>'Data &amp; hypothesis Children'!I177</f>
        <v>0</v>
      </c>
      <c r="K342" s="1413">
        <f>'Data &amp; hypothesis Children'!J177</f>
        <v>0</v>
      </c>
      <c r="L342" s="1414">
        <f>'Data &amp; hypothesis Children'!K177</f>
        <v>0</v>
      </c>
      <c r="M342" s="1175">
        <f>'Data &amp; hypothesis Children'!L177</f>
        <v>0</v>
      </c>
      <c r="N342" s="1175">
        <f>'Data &amp; hypothesis Children'!M177</f>
        <v>0</v>
      </c>
      <c r="O342" s="1175">
        <f>'Data &amp; hypothesis Children'!N177</f>
        <v>0</v>
      </c>
      <c r="P342" s="1175">
        <f>'Data &amp; hypothesis Children'!O177</f>
        <v>0</v>
      </c>
      <c r="Q342" s="1175">
        <f>'Data &amp; hypothesis Children'!P177</f>
        <v>0</v>
      </c>
      <c r="R342" s="1175">
        <f>'Data &amp; hypothesis Children'!Q177</f>
        <v>0</v>
      </c>
      <c r="S342" s="1175">
        <f>'Data &amp; hypothesis Children'!R177</f>
        <v>0</v>
      </c>
      <c r="T342" s="1175">
        <f>'Data &amp; hypothesis Children'!S177</f>
        <v>0</v>
      </c>
      <c r="U342" s="1175">
        <f>'Data &amp; hypothesis Children'!T177</f>
        <v>0</v>
      </c>
      <c r="V342" s="1175" t="str">
        <f>'Data &amp; hypothesis Children'!U177</f>
        <v>X</v>
      </c>
      <c r="W342" s="1175">
        <f>'Data &amp; hypothesis Children'!V177</f>
        <v>0</v>
      </c>
      <c r="X342" s="1175">
        <f>'Data &amp; hypothesis Children'!W177</f>
        <v>0</v>
      </c>
      <c r="Y342" s="1175">
        <f>'Data &amp; hypothesis Children'!X177</f>
        <v>0</v>
      </c>
      <c r="Z342" s="1175">
        <f>'Data &amp; hypothesis Children'!Y177</f>
        <v>0</v>
      </c>
      <c r="AA342" s="1175">
        <f>'Data &amp; hypothesis Children'!Z177</f>
        <v>0</v>
      </c>
      <c r="AB342" s="1175">
        <f>'Data &amp; hypothesis Children'!AA177</f>
        <v>0</v>
      </c>
      <c r="AC342" s="1175">
        <f>'Data &amp; hypothesis Children'!AB177</f>
        <v>0</v>
      </c>
      <c r="AD342" s="1175">
        <f>'Data &amp; hypothesis Children'!AC177</f>
        <v>0</v>
      </c>
      <c r="AE342" s="1175" t="str">
        <f>'Data &amp; hypothesis Children'!AD177</f>
        <v>X</v>
      </c>
      <c r="AF342" s="1175">
        <f>'Data &amp; hypothesis Children'!AE177</f>
        <v>0</v>
      </c>
      <c r="AG342" s="1175">
        <f>'Data &amp; hypothesis Children'!AF177</f>
        <v>0</v>
      </c>
      <c r="AH342" s="1415">
        <f>'Data &amp; hypothesis Children'!AG177</f>
        <v>0</v>
      </c>
      <c r="AI342" s="1339" t="e">
        <f t="shared" si="115"/>
        <v>#DIV/0!</v>
      </c>
      <c r="AJ342" s="1340" t="e">
        <f t="shared" si="116"/>
        <v>#DIV/0!</v>
      </c>
    </row>
    <row r="343" spans="1:36" s="1279" customFormat="1" ht="15" x14ac:dyDescent="0.25">
      <c r="A343" s="1282"/>
      <c r="C343" s="1319" t="str">
        <v>AZT+3TC+LPV/r</v>
      </c>
      <c r="D343" s="1175">
        <f>'Data &amp; hypothesis Children'!C178</f>
        <v>0</v>
      </c>
      <c r="E343" s="1175">
        <f>'Data &amp; hypothesis Children'!D178</f>
        <v>0</v>
      </c>
      <c r="F343" s="1175">
        <f>'Data &amp; hypothesis Children'!E178</f>
        <v>0</v>
      </c>
      <c r="G343" s="1175">
        <f>'Data &amp; hypothesis Children'!F178</f>
        <v>0</v>
      </c>
      <c r="H343" s="1175">
        <f>'Data &amp; hypothesis Children'!G178</f>
        <v>0</v>
      </c>
      <c r="I343" s="1175">
        <f>'Data &amp; hypothesis Children'!H178</f>
        <v>0</v>
      </c>
      <c r="J343" s="1175">
        <f>'Data &amp; hypothesis Children'!I178</f>
        <v>0</v>
      </c>
      <c r="K343" s="1413">
        <f>'Data &amp; hypothesis Children'!J178</f>
        <v>0</v>
      </c>
      <c r="L343" s="1414">
        <f>'Data &amp; hypothesis Children'!K178</f>
        <v>0</v>
      </c>
      <c r="M343" s="1175">
        <f>'Data &amp; hypothesis Children'!L178</f>
        <v>0</v>
      </c>
      <c r="N343" s="1175">
        <f>'Data &amp; hypothesis Children'!M178</f>
        <v>0</v>
      </c>
      <c r="O343" s="1175" t="str">
        <f>'Data &amp; hypothesis Children'!N178</f>
        <v>X</v>
      </c>
      <c r="P343" s="1175">
        <f>'Data &amp; hypothesis Children'!O178</f>
        <v>0</v>
      </c>
      <c r="Q343" s="1175">
        <f>'Data &amp; hypothesis Children'!P178</f>
        <v>0</v>
      </c>
      <c r="R343" s="1175">
        <f>'Data &amp; hypothesis Children'!Q178</f>
        <v>0</v>
      </c>
      <c r="S343" s="1175">
        <f>'Data &amp; hypothesis Children'!R178</f>
        <v>0</v>
      </c>
      <c r="T343" s="1175">
        <f>'Data &amp; hypothesis Children'!S178</f>
        <v>0</v>
      </c>
      <c r="U343" s="1175">
        <f>'Data &amp; hypothesis Children'!T178</f>
        <v>0</v>
      </c>
      <c r="V343" s="1175">
        <f>'Data &amp; hypothesis Children'!U178</f>
        <v>0</v>
      </c>
      <c r="W343" s="1175">
        <f>'Data &amp; hypothesis Children'!V178</f>
        <v>0</v>
      </c>
      <c r="X343" s="1175">
        <f>'Data &amp; hypothesis Children'!W178</f>
        <v>0</v>
      </c>
      <c r="Y343" s="1175">
        <f>'Data &amp; hypothesis Children'!X178</f>
        <v>0</v>
      </c>
      <c r="Z343" s="1175">
        <f>'Data &amp; hypothesis Children'!Y178</f>
        <v>0</v>
      </c>
      <c r="AA343" s="1175">
        <f>'Data &amp; hypothesis Children'!Z178</f>
        <v>0</v>
      </c>
      <c r="AB343" s="1175">
        <f>'Data &amp; hypothesis Children'!AA178</f>
        <v>0</v>
      </c>
      <c r="AC343" s="1175">
        <f>'Data &amp; hypothesis Children'!AB178</f>
        <v>0</v>
      </c>
      <c r="AD343" s="1175">
        <f>'Data &amp; hypothesis Children'!AC178</f>
        <v>0</v>
      </c>
      <c r="AE343" s="1175">
        <f>'Data &amp; hypothesis Children'!AD178</f>
        <v>0</v>
      </c>
      <c r="AF343" s="1175">
        <f>'Data &amp; hypothesis Children'!AE178</f>
        <v>0</v>
      </c>
      <c r="AG343" s="1175">
        <f>'Data &amp; hypothesis Children'!AF178</f>
        <v>0</v>
      </c>
      <c r="AH343" s="1415" t="str">
        <f>'Data &amp; hypothesis Children'!AG178</f>
        <v>X</v>
      </c>
      <c r="AI343" s="1339" t="e">
        <f t="shared" si="115"/>
        <v>#DIV/0!</v>
      </c>
      <c r="AJ343" s="1340" t="e">
        <f t="shared" si="116"/>
        <v>#DIV/0!</v>
      </c>
    </row>
    <row r="344" spans="1:36" s="1279" customFormat="1" x14ac:dyDescent="0.2">
      <c r="A344" s="1282"/>
      <c r="C344" s="1296" t="str">
        <f>'TRAD-Children YEAR(1)'!$B$117</f>
        <v>Deuxièmes lignes</v>
      </c>
      <c r="D344" s="1410"/>
      <c r="E344" s="1410"/>
      <c r="F344" s="1410"/>
      <c r="G344" s="1410"/>
      <c r="H344" s="1410"/>
      <c r="I344" s="1410"/>
      <c r="J344" s="1410"/>
      <c r="K344" s="1411"/>
      <c r="L344" s="1412"/>
      <c r="M344" s="1410"/>
      <c r="N344" s="1410"/>
      <c r="O344" s="1410"/>
      <c r="P344" s="1410"/>
      <c r="Q344" s="1410"/>
      <c r="R344" s="1410"/>
      <c r="S344" s="1410"/>
      <c r="T344" s="1410"/>
      <c r="U344" s="1410"/>
      <c r="V344" s="1410"/>
      <c r="W344" s="1410"/>
      <c r="X344" s="1410"/>
      <c r="Y344" s="1410"/>
      <c r="Z344" s="1410"/>
      <c r="AA344" s="1410"/>
      <c r="AB344" s="1410"/>
      <c r="AC344" s="1410"/>
      <c r="AD344" s="1410"/>
      <c r="AE344" s="1410"/>
      <c r="AF344" s="1410"/>
      <c r="AG344" s="1410"/>
      <c r="AH344" s="1416"/>
      <c r="AI344" s="1339"/>
      <c r="AJ344" s="1340"/>
    </row>
    <row r="345" spans="1:36" s="1279" customFormat="1" ht="15" x14ac:dyDescent="0.25">
      <c r="A345" s="1282"/>
      <c r="C345" s="1301" t="str">
        <f t="array" ref="C345:C348">'Data &amp; hypothesis Children'!$C$32:$C$35</f>
        <v>ABC+3TC+EFV</v>
      </c>
      <c r="D345" s="1175">
        <f>'Data &amp; hypothesis Children'!C180</f>
        <v>0</v>
      </c>
      <c r="E345" s="1175">
        <f>'Data &amp; hypothesis Children'!D180</f>
        <v>0</v>
      </c>
      <c r="F345" s="1175">
        <f>'Data &amp; hypothesis Children'!E180</f>
        <v>0</v>
      </c>
      <c r="G345" s="1175">
        <f>'Data &amp; hypothesis Children'!F180</f>
        <v>0</v>
      </c>
      <c r="H345" s="1175">
        <f>'Data &amp; hypothesis Children'!G180</f>
        <v>0</v>
      </c>
      <c r="I345" s="1175">
        <f>'Data &amp; hypothesis Children'!H180</f>
        <v>0</v>
      </c>
      <c r="J345" s="1175">
        <f>'Data &amp; hypothesis Children'!I180</f>
        <v>0</v>
      </c>
      <c r="K345" s="1413">
        <f>'Data &amp; hypothesis Children'!J180</f>
        <v>0</v>
      </c>
      <c r="L345" s="1414">
        <f>'Data &amp; hypothesis Children'!K180</f>
        <v>0</v>
      </c>
      <c r="M345" s="1175">
        <f>'Data &amp; hypothesis Children'!L180</f>
        <v>0</v>
      </c>
      <c r="N345" s="1175">
        <f>'Data &amp; hypothesis Children'!M180</f>
        <v>0</v>
      </c>
      <c r="O345" s="1175">
        <f>'Data &amp; hypothesis Children'!N180</f>
        <v>0</v>
      </c>
      <c r="P345" s="1175">
        <f>'Data &amp; hypothesis Children'!O180</f>
        <v>0</v>
      </c>
      <c r="Q345" s="1175">
        <f>'Data &amp; hypothesis Children'!P180</f>
        <v>0</v>
      </c>
      <c r="R345" s="1175">
        <f>'Data &amp; hypothesis Children'!Q180</f>
        <v>0</v>
      </c>
      <c r="S345" s="1175">
        <f>'Data &amp; hypothesis Children'!R180</f>
        <v>0</v>
      </c>
      <c r="T345" s="1175">
        <f>'Data &amp; hypothesis Children'!S180</f>
        <v>0</v>
      </c>
      <c r="U345" s="1175">
        <f>'Data &amp; hypothesis Children'!T180</f>
        <v>0</v>
      </c>
      <c r="V345" s="1175" t="str">
        <f>'Data &amp; hypothesis Children'!U180</f>
        <v>X</v>
      </c>
      <c r="W345" s="1175">
        <f>'Data &amp; hypothesis Children'!V180</f>
        <v>0</v>
      </c>
      <c r="X345" s="1175">
        <f>'Data &amp; hypothesis Children'!W180</f>
        <v>0</v>
      </c>
      <c r="Y345" s="1175">
        <f>'Data &amp; hypothesis Children'!X180</f>
        <v>0</v>
      </c>
      <c r="Z345" s="1175">
        <f>'Data &amp; hypothesis Children'!Y180</f>
        <v>0</v>
      </c>
      <c r="AA345" s="1175">
        <f>'Data &amp; hypothesis Children'!Z180</f>
        <v>0</v>
      </c>
      <c r="AB345" s="1175">
        <f>'Data &amp; hypothesis Children'!AA180</f>
        <v>0</v>
      </c>
      <c r="AC345" s="1175">
        <f>'Data &amp; hypothesis Children'!AB180</f>
        <v>0</v>
      </c>
      <c r="AD345" s="1175">
        <f>'Data &amp; hypothesis Children'!AC180</f>
        <v>0</v>
      </c>
      <c r="AE345" s="1175">
        <f>'Data &amp; hypothesis Children'!AD180</f>
        <v>0</v>
      </c>
      <c r="AF345" s="1175" t="str">
        <f>'Data &amp; hypothesis Children'!AE180</f>
        <v>X</v>
      </c>
      <c r="AG345" s="1175">
        <f>'Data &amp; hypothesis Children'!AF180</f>
        <v>0</v>
      </c>
      <c r="AH345" s="1415">
        <f>'Data &amp; hypothesis Children'!AG180</f>
        <v>0</v>
      </c>
      <c r="AI345" s="1339" t="e">
        <f>I75</f>
        <v>#DIV/0!</v>
      </c>
      <c r="AJ345" s="1340" t="e">
        <f>I91</f>
        <v>#DIV/0!</v>
      </c>
    </row>
    <row r="346" spans="1:36" s="1279" customFormat="1" ht="15" x14ac:dyDescent="0.25">
      <c r="A346" s="1282"/>
      <c r="C346" s="1301" t="str">
        <v>TDF+3TC+LPV/r</v>
      </c>
      <c r="D346" s="1175">
        <f>'Data &amp; hypothesis Children'!C181</f>
        <v>0</v>
      </c>
      <c r="E346" s="1175">
        <f>'Data &amp; hypothesis Children'!D181</f>
        <v>0</v>
      </c>
      <c r="F346" s="1175">
        <f>'Data &amp; hypothesis Children'!E181</f>
        <v>0</v>
      </c>
      <c r="G346" s="1175">
        <f>'Data &amp; hypothesis Children'!F181</f>
        <v>0</v>
      </c>
      <c r="H346" s="1175">
        <f>'Data &amp; hypothesis Children'!G181</f>
        <v>0</v>
      </c>
      <c r="I346" s="1175">
        <f>'Data &amp; hypothesis Children'!H181</f>
        <v>0</v>
      </c>
      <c r="J346" s="1175">
        <f>'Data &amp; hypothesis Children'!I181</f>
        <v>0</v>
      </c>
      <c r="K346" s="1413">
        <f>'Data &amp; hypothesis Children'!J181</f>
        <v>0</v>
      </c>
      <c r="L346" s="1414">
        <f>'Data &amp; hypothesis Children'!K181</f>
        <v>0</v>
      </c>
      <c r="M346" s="1175">
        <f>'Data &amp; hypothesis Children'!L181</f>
        <v>0</v>
      </c>
      <c r="N346" s="1175">
        <f>'Data &amp; hypothesis Children'!M181</f>
        <v>0</v>
      </c>
      <c r="O346" s="1175">
        <f>'Data &amp; hypothesis Children'!N181</f>
        <v>0</v>
      </c>
      <c r="P346" s="1175">
        <f>'Data &amp; hypothesis Children'!O181</f>
        <v>0</v>
      </c>
      <c r="Q346" s="1175">
        <f>'Data &amp; hypothesis Children'!P181</f>
        <v>0</v>
      </c>
      <c r="R346" s="1175">
        <f>'Data &amp; hypothesis Children'!Q181</f>
        <v>0</v>
      </c>
      <c r="S346" s="1175">
        <f>'Data &amp; hypothesis Children'!R181</f>
        <v>0</v>
      </c>
      <c r="T346" s="1175">
        <f>'Data &amp; hypothesis Children'!S181</f>
        <v>0</v>
      </c>
      <c r="U346" s="1175">
        <f>'Data &amp; hypothesis Children'!T181</f>
        <v>0</v>
      </c>
      <c r="V346" s="1175">
        <f>'Data &amp; hypothesis Children'!U181</f>
        <v>0</v>
      </c>
      <c r="W346" s="1175">
        <f>'Data &amp; hypothesis Children'!V181</f>
        <v>0</v>
      </c>
      <c r="X346" s="1175" t="str">
        <f>'Data &amp; hypothesis Children'!W181</f>
        <v>X</v>
      </c>
      <c r="Y346" s="1175">
        <f>'Data &amp; hypothesis Children'!X181</f>
        <v>0</v>
      </c>
      <c r="Z346" s="1175">
        <f>'Data &amp; hypothesis Children'!Y181</f>
        <v>0</v>
      </c>
      <c r="AA346" s="1175">
        <f>'Data &amp; hypothesis Children'!Z181</f>
        <v>0</v>
      </c>
      <c r="AB346" s="1175">
        <f>'Data &amp; hypothesis Children'!AA181</f>
        <v>0</v>
      </c>
      <c r="AC346" s="1175">
        <f>'Data &amp; hypothesis Children'!AB181</f>
        <v>0</v>
      </c>
      <c r="AD346" s="1175">
        <f>'Data &amp; hypothesis Children'!AC181</f>
        <v>0</v>
      </c>
      <c r="AE346" s="1175">
        <f>'Data &amp; hypothesis Children'!AD181</f>
        <v>0</v>
      </c>
      <c r="AF346" s="1175">
        <f>'Data &amp; hypothesis Children'!AE181</f>
        <v>0</v>
      </c>
      <c r="AG346" s="1175">
        <f>'Data &amp; hypothesis Children'!AF181</f>
        <v>0</v>
      </c>
      <c r="AH346" s="1415" t="str">
        <f>'Data &amp; hypothesis Children'!AG181</f>
        <v>X</v>
      </c>
      <c r="AI346" s="1339" t="e">
        <f t="shared" ref="AI346:AI347" si="117">I76</f>
        <v>#DIV/0!</v>
      </c>
      <c r="AJ346" s="1340" t="e">
        <f t="shared" ref="AJ346:AJ347" si="118">I92</f>
        <v>#DIV/0!</v>
      </c>
    </row>
    <row r="347" spans="1:36" s="1279" customFormat="1" ht="15" x14ac:dyDescent="0.25">
      <c r="A347" s="1282"/>
      <c r="C347" s="1301" t="str">
        <v>AZT+3TC+EFV</v>
      </c>
      <c r="D347" s="1175">
        <f>'Data &amp; hypothesis Children'!C182</f>
        <v>0</v>
      </c>
      <c r="E347" s="1175">
        <f>'Data &amp; hypothesis Children'!D182</f>
        <v>0</v>
      </c>
      <c r="F347" s="1175">
        <f>'Data &amp; hypothesis Children'!E182</f>
        <v>0</v>
      </c>
      <c r="G347" s="1175">
        <f>'Data &amp; hypothesis Children'!F182</f>
        <v>0</v>
      </c>
      <c r="H347" s="1175">
        <f>'Data &amp; hypothesis Children'!G182</f>
        <v>0</v>
      </c>
      <c r="I347" s="1175">
        <f>'Data &amp; hypothesis Children'!H182</f>
        <v>0</v>
      </c>
      <c r="J347" s="1175">
        <f>'Data &amp; hypothesis Children'!I182</f>
        <v>0</v>
      </c>
      <c r="K347" s="1413">
        <f>'Data &amp; hypothesis Children'!J182</f>
        <v>0</v>
      </c>
      <c r="L347" s="1414">
        <f>'Data &amp; hypothesis Children'!K182</f>
        <v>0</v>
      </c>
      <c r="M347" s="1175">
        <f>'Data &amp; hypothesis Children'!L182</f>
        <v>0</v>
      </c>
      <c r="N347" s="1175">
        <f>'Data &amp; hypothesis Children'!M182</f>
        <v>0</v>
      </c>
      <c r="O347" s="1175">
        <f>'Data &amp; hypothesis Children'!N182</f>
        <v>0</v>
      </c>
      <c r="P347" s="1175">
        <f>'Data &amp; hypothesis Children'!O182</f>
        <v>0</v>
      </c>
      <c r="Q347" s="1175">
        <f>'Data &amp; hypothesis Children'!P182</f>
        <v>0</v>
      </c>
      <c r="R347" s="1175">
        <f>'Data &amp; hypothesis Children'!Q182</f>
        <v>0</v>
      </c>
      <c r="S347" s="1175">
        <f>'Data &amp; hypothesis Children'!R182</f>
        <v>0</v>
      </c>
      <c r="T347" s="1175">
        <f>'Data &amp; hypothesis Children'!S182</f>
        <v>0</v>
      </c>
      <c r="U347" s="1175">
        <f>'Data &amp; hypothesis Children'!T182</f>
        <v>0</v>
      </c>
      <c r="V347" s="1175">
        <f>'Data &amp; hypothesis Children'!U182</f>
        <v>0</v>
      </c>
      <c r="W347" s="1175">
        <f>'Data &amp; hypothesis Children'!V182</f>
        <v>0</v>
      </c>
      <c r="X347" s="1175">
        <f>'Data &amp; hypothesis Children'!W182</f>
        <v>0</v>
      </c>
      <c r="Y347" s="1175">
        <f>'Data &amp; hypothesis Children'!X182</f>
        <v>0</v>
      </c>
      <c r="Z347" s="1175">
        <f>'Data &amp; hypothesis Children'!Y182</f>
        <v>0</v>
      </c>
      <c r="AA347" s="1175">
        <f>'Data &amp; hypothesis Children'!Z182</f>
        <v>0</v>
      </c>
      <c r="AB347" s="1175">
        <f>'Data &amp; hypothesis Children'!AA182</f>
        <v>0</v>
      </c>
      <c r="AC347" s="1175">
        <f>'Data &amp; hypothesis Children'!AB182</f>
        <v>0</v>
      </c>
      <c r="AD347" s="1175">
        <f>'Data &amp; hypothesis Children'!AC182</f>
        <v>0</v>
      </c>
      <c r="AE347" s="1175">
        <f>'Data &amp; hypothesis Children'!AD182</f>
        <v>0</v>
      </c>
      <c r="AF347" s="1175">
        <f>'Data &amp; hypothesis Children'!AE182</f>
        <v>0</v>
      </c>
      <c r="AG347" s="1175">
        <f>'Data &amp; hypothesis Children'!AF182</f>
        <v>0</v>
      </c>
      <c r="AH347" s="1415">
        <f>'Data &amp; hypothesis Children'!AG182</f>
        <v>0</v>
      </c>
      <c r="AI347" s="1339" t="e">
        <f t="shared" si="117"/>
        <v>#DIV/0!</v>
      </c>
      <c r="AJ347" s="1340" t="e">
        <f t="shared" si="118"/>
        <v>#DIV/0!</v>
      </c>
    </row>
    <row r="348" spans="1:36" s="1279" customFormat="1" ht="15.75" thickBot="1" x14ac:dyDescent="0.3">
      <c r="A348" s="1282"/>
      <c r="C348" s="1301">
        <v>0</v>
      </c>
      <c r="D348" s="1175">
        <f>'Data &amp; hypothesis Children'!C183</f>
        <v>0</v>
      </c>
      <c r="E348" s="1175">
        <f>'Data &amp; hypothesis Children'!D183</f>
        <v>0</v>
      </c>
      <c r="F348" s="1175">
        <f>'Data &amp; hypothesis Children'!E183</f>
        <v>0</v>
      </c>
      <c r="G348" s="1175">
        <f>'Data &amp; hypothesis Children'!F183</f>
        <v>0</v>
      </c>
      <c r="H348" s="1175">
        <f>'Data &amp; hypothesis Children'!G183</f>
        <v>0</v>
      </c>
      <c r="I348" s="1175">
        <f>'Data &amp; hypothesis Children'!H183</f>
        <v>0</v>
      </c>
      <c r="J348" s="1175">
        <f>'Data &amp; hypothesis Children'!I183</f>
        <v>0</v>
      </c>
      <c r="K348" s="1413">
        <f>'Data &amp; hypothesis Children'!J183</f>
        <v>0</v>
      </c>
      <c r="L348" s="1417">
        <f>'Data &amp; hypothesis Children'!K183</f>
        <v>0</v>
      </c>
      <c r="M348" s="1418">
        <f>'Data &amp; hypothesis Children'!L183</f>
        <v>0</v>
      </c>
      <c r="N348" s="1418">
        <f>'Data &amp; hypothesis Children'!M183</f>
        <v>0</v>
      </c>
      <c r="O348" s="1418">
        <f>'Data &amp; hypothesis Children'!N183</f>
        <v>0</v>
      </c>
      <c r="P348" s="1418">
        <f>'Data &amp; hypothesis Children'!O183</f>
        <v>0</v>
      </c>
      <c r="Q348" s="1418">
        <f>'Data &amp; hypothesis Children'!P183</f>
        <v>0</v>
      </c>
      <c r="R348" s="1418">
        <f>'Data &amp; hypothesis Children'!Q183</f>
        <v>0</v>
      </c>
      <c r="S348" s="1418">
        <f>'Data &amp; hypothesis Children'!R183</f>
        <v>0</v>
      </c>
      <c r="T348" s="1418">
        <f>'Data &amp; hypothesis Children'!S183</f>
        <v>0</v>
      </c>
      <c r="U348" s="1418">
        <f>'Data &amp; hypothesis Children'!T183</f>
        <v>0</v>
      </c>
      <c r="V348" s="1418">
        <f>'Data &amp; hypothesis Children'!U183</f>
        <v>0</v>
      </c>
      <c r="W348" s="1418">
        <f>'Data &amp; hypothesis Children'!V183</f>
        <v>0</v>
      </c>
      <c r="X348" s="1418">
        <f>'Data &amp; hypothesis Children'!W183</f>
        <v>0</v>
      </c>
      <c r="Y348" s="1418">
        <f>'Data &amp; hypothesis Children'!X183</f>
        <v>0</v>
      </c>
      <c r="Z348" s="1418">
        <f>'Data &amp; hypothesis Children'!Y183</f>
        <v>0</v>
      </c>
      <c r="AA348" s="1418">
        <f>'Data &amp; hypothesis Children'!Z183</f>
        <v>0</v>
      </c>
      <c r="AB348" s="1418">
        <f>'Data &amp; hypothesis Children'!AA183</f>
        <v>0</v>
      </c>
      <c r="AC348" s="1418">
        <f>'Data &amp; hypothesis Children'!AB183</f>
        <v>0</v>
      </c>
      <c r="AD348" s="1418">
        <f>'Data &amp; hypothesis Children'!AC183</f>
        <v>0</v>
      </c>
      <c r="AE348" s="1418">
        <f>'Data &amp; hypothesis Children'!AD183</f>
        <v>0</v>
      </c>
      <c r="AF348" s="1418">
        <f>'Data &amp; hypothesis Children'!AE183</f>
        <v>0</v>
      </c>
      <c r="AG348" s="1418">
        <f>'Data &amp; hypothesis Children'!AF183</f>
        <v>0</v>
      </c>
      <c r="AH348" s="1419">
        <f>'Data &amp; hypothesis Children'!AG183</f>
        <v>0</v>
      </c>
      <c r="AI348" s="1339" t="e">
        <f>I78</f>
        <v>#DIV/0!</v>
      </c>
      <c r="AJ348" s="1340" t="e">
        <f>I94</f>
        <v>#DIV/0!</v>
      </c>
    </row>
    <row r="349" spans="1:36" s="1304" customFormat="1" ht="26.25" thickBot="1" x14ac:dyDescent="0.25">
      <c r="A349" s="1303"/>
      <c r="C349" s="1305" t="str">
        <f>'TRAD-Children YEAR(1)'!B118</f>
        <v>Nb de patients-mois / produit - SANS SS</v>
      </c>
      <c r="D349" s="1306">
        <f t="shared" ref="D349:AE349" si="119">SUMIF(D338:D348, "X", $AI338:$AI348)</f>
        <v>0</v>
      </c>
      <c r="E349" s="1306">
        <f t="shared" si="119"/>
        <v>0</v>
      </c>
      <c r="F349" s="1306">
        <f t="shared" si="119"/>
        <v>0</v>
      </c>
      <c r="G349" s="1306">
        <f t="shared" si="119"/>
        <v>0</v>
      </c>
      <c r="H349" s="1306">
        <f t="shared" si="119"/>
        <v>0</v>
      </c>
      <c r="I349" s="1306">
        <f t="shared" si="119"/>
        <v>0</v>
      </c>
      <c r="J349" s="1306">
        <f t="shared" si="119"/>
        <v>0</v>
      </c>
      <c r="K349" s="1307">
        <f t="shared" si="119"/>
        <v>0</v>
      </c>
      <c r="L349" s="1308">
        <f t="shared" si="119"/>
        <v>0</v>
      </c>
      <c r="M349" s="1306" t="e">
        <f t="shared" si="119"/>
        <v>#DIV/0!</v>
      </c>
      <c r="N349" s="1306">
        <f t="shared" si="119"/>
        <v>0</v>
      </c>
      <c r="O349" s="1306" t="e">
        <f t="shared" si="119"/>
        <v>#DIV/0!</v>
      </c>
      <c r="P349" s="1306">
        <f t="shared" si="119"/>
        <v>0</v>
      </c>
      <c r="Q349" s="1306">
        <f t="shared" si="119"/>
        <v>0</v>
      </c>
      <c r="R349" s="1306">
        <f t="shared" si="119"/>
        <v>0</v>
      </c>
      <c r="S349" s="1306">
        <f t="shared" si="119"/>
        <v>0</v>
      </c>
      <c r="T349" s="1306">
        <f t="shared" si="119"/>
        <v>0</v>
      </c>
      <c r="U349" s="1306">
        <f t="shared" si="119"/>
        <v>0</v>
      </c>
      <c r="V349" s="1306" t="e">
        <f t="shared" si="119"/>
        <v>#DIV/0!</v>
      </c>
      <c r="W349" s="1306">
        <f t="shared" si="119"/>
        <v>0</v>
      </c>
      <c r="X349" s="1306" t="e">
        <f t="shared" si="119"/>
        <v>#DIV/0!</v>
      </c>
      <c r="Y349" s="1306">
        <f t="shared" si="119"/>
        <v>0</v>
      </c>
      <c r="Z349" s="1306">
        <f t="shared" si="119"/>
        <v>0</v>
      </c>
      <c r="AA349" s="1306">
        <f t="shared" si="119"/>
        <v>0</v>
      </c>
      <c r="AB349" s="1306">
        <f t="shared" si="119"/>
        <v>0</v>
      </c>
      <c r="AC349" s="1306">
        <f t="shared" si="119"/>
        <v>0</v>
      </c>
      <c r="AD349" s="1306">
        <f t="shared" si="119"/>
        <v>0</v>
      </c>
      <c r="AE349" s="1306" t="e">
        <f t="shared" si="119"/>
        <v>#DIV/0!</v>
      </c>
      <c r="AF349" s="1306" t="e">
        <f t="shared" ref="AF349" si="120">SUMIF(AF338:AF348, "X", $AI338:$AI348)</f>
        <v>#DIV/0!</v>
      </c>
      <c r="AG349" s="1306">
        <f>SUMIF(AG338:AG348, "X", $AI338:$AI348)</f>
        <v>0</v>
      </c>
      <c r="AH349" s="1306" t="e">
        <f>SUMIF(AH338:$AH$348, "X", $AI338:$AI348)</f>
        <v>#DIV/0!</v>
      </c>
    </row>
    <row r="350" spans="1:36" s="1304" customFormat="1" ht="26.25" thickBot="1" x14ac:dyDescent="0.25">
      <c r="A350" s="1303"/>
      <c r="C350" s="1305" t="str">
        <f>'TRAD-Children YEAR(1)'!B119</f>
        <v>Nb de patients-mois / produit - AVEC SS</v>
      </c>
      <c r="D350" s="1309">
        <f t="shared" ref="D350:AG350" si="121">SUMIF(D338:D348, "X", $AJ338:$AJ348)</f>
        <v>0</v>
      </c>
      <c r="E350" s="1309">
        <f t="shared" si="121"/>
        <v>0</v>
      </c>
      <c r="F350" s="1309">
        <f t="shared" si="121"/>
        <v>0</v>
      </c>
      <c r="G350" s="1309">
        <f t="shared" si="121"/>
        <v>0</v>
      </c>
      <c r="H350" s="1309">
        <f t="shared" si="121"/>
        <v>0</v>
      </c>
      <c r="I350" s="1309">
        <f t="shared" si="121"/>
        <v>0</v>
      </c>
      <c r="J350" s="1309">
        <f t="shared" si="121"/>
        <v>0</v>
      </c>
      <c r="K350" s="1310">
        <f t="shared" si="121"/>
        <v>0</v>
      </c>
      <c r="L350" s="1311">
        <f t="shared" si="121"/>
        <v>0</v>
      </c>
      <c r="M350" s="1309" t="e">
        <f t="shared" si="121"/>
        <v>#DIV/0!</v>
      </c>
      <c r="N350" s="1309">
        <f t="shared" si="121"/>
        <v>0</v>
      </c>
      <c r="O350" s="1309" t="e">
        <f t="shared" si="121"/>
        <v>#DIV/0!</v>
      </c>
      <c r="P350" s="1309">
        <f t="shared" si="121"/>
        <v>0</v>
      </c>
      <c r="Q350" s="1309">
        <f t="shared" si="121"/>
        <v>0</v>
      </c>
      <c r="R350" s="1309">
        <f t="shared" si="121"/>
        <v>0</v>
      </c>
      <c r="S350" s="1309">
        <f t="shared" si="121"/>
        <v>0</v>
      </c>
      <c r="T350" s="1309">
        <f t="shared" si="121"/>
        <v>0</v>
      </c>
      <c r="U350" s="1309">
        <f t="shared" si="121"/>
        <v>0</v>
      </c>
      <c r="V350" s="1309" t="e">
        <f t="shared" si="121"/>
        <v>#DIV/0!</v>
      </c>
      <c r="W350" s="1309">
        <f t="shared" si="121"/>
        <v>0</v>
      </c>
      <c r="X350" s="1309" t="e">
        <f t="shared" si="121"/>
        <v>#DIV/0!</v>
      </c>
      <c r="Y350" s="1309">
        <f t="shared" si="121"/>
        <v>0</v>
      </c>
      <c r="Z350" s="1309">
        <f t="shared" si="121"/>
        <v>0</v>
      </c>
      <c r="AA350" s="1309">
        <f t="shared" si="121"/>
        <v>0</v>
      </c>
      <c r="AB350" s="1309">
        <f t="shared" si="121"/>
        <v>0</v>
      </c>
      <c r="AC350" s="1309">
        <f t="shared" si="121"/>
        <v>0</v>
      </c>
      <c r="AD350" s="1309">
        <f t="shared" si="121"/>
        <v>0</v>
      </c>
      <c r="AE350" s="1309" t="e">
        <f t="shared" si="121"/>
        <v>#DIV/0!</v>
      </c>
      <c r="AF350" s="1309" t="e">
        <f t="shared" si="121"/>
        <v>#DIV/0!</v>
      </c>
      <c r="AG350" s="1309">
        <f t="shared" si="121"/>
        <v>0</v>
      </c>
      <c r="AH350" s="1309" t="e">
        <f>SUMIF(AH338:$AH$348, "X", $AJ338:$AJ348)</f>
        <v>#DIV/0!</v>
      </c>
    </row>
    <row r="351" spans="1:36" s="1304" customFormat="1" ht="26.25" thickBot="1" x14ac:dyDescent="0.25">
      <c r="A351" s="1303"/>
      <c r="C351" s="1305" t="str">
        <f>'TRAD-Children YEAR(1)'!B120</f>
        <v>Nb de cdt - Estimation période SANS SS</v>
      </c>
      <c r="D351" s="1312">
        <f t="shared" ref="D351:AH351" si="122">D349*D336</f>
        <v>0</v>
      </c>
      <c r="E351" s="1312">
        <f t="shared" si="122"/>
        <v>0</v>
      </c>
      <c r="F351" s="1312">
        <f t="shared" si="122"/>
        <v>0</v>
      </c>
      <c r="G351" s="1312">
        <f t="shared" si="122"/>
        <v>0</v>
      </c>
      <c r="H351" s="1312">
        <f t="shared" si="122"/>
        <v>0</v>
      </c>
      <c r="I351" s="1312">
        <f t="shared" si="122"/>
        <v>0</v>
      </c>
      <c r="J351" s="1312">
        <f t="shared" si="122"/>
        <v>0</v>
      </c>
      <c r="K351" s="1313">
        <f t="shared" si="122"/>
        <v>0</v>
      </c>
      <c r="L351" s="1314">
        <f t="shared" si="122"/>
        <v>0</v>
      </c>
      <c r="M351" s="1312" t="e">
        <f t="shared" si="122"/>
        <v>#DIV/0!</v>
      </c>
      <c r="N351" s="1312">
        <f t="shared" si="122"/>
        <v>0</v>
      </c>
      <c r="O351" s="1312" t="e">
        <f t="shared" si="122"/>
        <v>#DIV/0!</v>
      </c>
      <c r="P351" s="1312">
        <f t="shared" si="122"/>
        <v>0</v>
      </c>
      <c r="Q351" s="1312">
        <f t="shared" si="122"/>
        <v>0</v>
      </c>
      <c r="R351" s="1312">
        <f t="shared" ref="R351" si="123">R349*R336</f>
        <v>0</v>
      </c>
      <c r="S351" s="1312">
        <f t="shared" si="122"/>
        <v>0</v>
      </c>
      <c r="T351" s="1312">
        <f t="shared" si="122"/>
        <v>0</v>
      </c>
      <c r="U351" s="1312">
        <f t="shared" si="122"/>
        <v>0</v>
      </c>
      <c r="V351" s="1312" t="e">
        <f t="shared" si="122"/>
        <v>#DIV/0!</v>
      </c>
      <c r="W351" s="1312">
        <f t="shared" ref="W351:Y351" si="124">W349*W336</f>
        <v>0</v>
      </c>
      <c r="X351" s="1312" t="e">
        <f t="shared" ref="X351" si="125">X349*X336</f>
        <v>#DIV/0!</v>
      </c>
      <c r="Y351" s="1312">
        <f t="shared" si="124"/>
        <v>0</v>
      </c>
      <c r="Z351" s="1312">
        <f t="shared" ref="Z351:AF351" si="126">Z349*Z336</f>
        <v>0</v>
      </c>
      <c r="AA351" s="1312">
        <f t="shared" si="126"/>
        <v>0</v>
      </c>
      <c r="AB351" s="1312">
        <f t="shared" si="126"/>
        <v>0</v>
      </c>
      <c r="AC351" s="1312">
        <f t="shared" si="126"/>
        <v>0</v>
      </c>
      <c r="AD351" s="1312">
        <f t="shared" si="126"/>
        <v>0</v>
      </c>
      <c r="AE351" s="1312" t="e">
        <f t="shared" ref="AE351" si="127">AE349*AE336</f>
        <v>#DIV/0!</v>
      </c>
      <c r="AF351" s="1312" t="e">
        <f t="shared" si="126"/>
        <v>#DIV/0!</v>
      </c>
      <c r="AG351" s="1312">
        <f t="shared" si="122"/>
        <v>0</v>
      </c>
      <c r="AH351" s="1312" t="e">
        <f t="shared" si="122"/>
        <v>#DIV/0!</v>
      </c>
    </row>
    <row r="352" spans="1:36" s="1304" customFormat="1" ht="26.25" thickBot="1" x14ac:dyDescent="0.25">
      <c r="A352" s="1303"/>
      <c r="C352" s="1305" t="str">
        <f>'TRAD-Children YEAR(1)'!B121</f>
        <v>Nb de cdt - Estimation période AVEC SS</v>
      </c>
      <c r="D352" s="1315">
        <f t="shared" ref="D352:AH352" si="128">D350*D336</f>
        <v>0</v>
      </c>
      <c r="E352" s="1315">
        <f t="shared" si="128"/>
        <v>0</v>
      </c>
      <c r="F352" s="1315">
        <f t="shared" si="128"/>
        <v>0</v>
      </c>
      <c r="G352" s="1315">
        <f t="shared" si="128"/>
        <v>0</v>
      </c>
      <c r="H352" s="1315">
        <f t="shared" si="128"/>
        <v>0</v>
      </c>
      <c r="I352" s="1315">
        <f t="shared" si="128"/>
        <v>0</v>
      </c>
      <c r="J352" s="1315">
        <f t="shared" si="128"/>
        <v>0</v>
      </c>
      <c r="K352" s="1316">
        <f t="shared" si="128"/>
        <v>0</v>
      </c>
      <c r="L352" s="1317">
        <f t="shared" si="128"/>
        <v>0</v>
      </c>
      <c r="M352" s="1315" t="e">
        <f t="shared" si="128"/>
        <v>#DIV/0!</v>
      </c>
      <c r="N352" s="1315">
        <f t="shared" si="128"/>
        <v>0</v>
      </c>
      <c r="O352" s="1315" t="e">
        <f t="shared" si="128"/>
        <v>#DIV/0!</v>
      </c>
      <c r="P352" s="1315">
        <f t="shared" si="128"/>
        <v>0</v>
      </c>
      <c r="Q352" s="1315">
        <f t="shared" si="128"/>
        <v>0</v>
      </c>
      <c r="R352" s="1315">
        <f t="shared" ref="R352" si="129">R350*R336</f>
        <v>0</v>
      </c>
      <c r="S352" s="1315">
        <f t="shared" si="128"/>
        <v>0</v>
      </c>
      <c r="T352" s="1315">
        <f t="shared" si="128"/>
        <v>0</v>
      </c>
      <c r="U352" s="1315">
        <f t="shared" si="128"/>
        <v>0</v>
      </c>
      <c r="V352" s="1315" t="e">
        <f t="shared" si="128"/>
        <v>#DIV/0!</v>
      </c>
      <c r="W352" s="1315">
        <f t="shared" ref="W352:Y352" si="130">W350*W336</f>
        <v>0</v>
      </c>
      <c r="X352" s="1315" t="e">
        <f t="shared" ref="X352" si="131">X350*X336</f>
        <v>#DIV/0!</v>
      </c>
      <c r="Y352" s="1315">
        <f t="shared" si="130"/>
        <v>0</v>
      </c>
      <c r="Z352" s="1315">
        <f t="shared" ref="Z352:AF352" si="132">Z350*Z336</f>
        <v>0</v>
      </c>
      <c r="AA352" s="1315">
        <f t="shared" si="132"/>
        <v>0</v>
      </c>
      <c r="AB352" s="1315">
        <f t="shared" si="132"/>
        <v>0</v>
      </c>
      <c r="AC352" s="1315">
        <f t="shared" si="132"/>
        <v>0</v>
      </c>
      <c r="AD352" s="1315">
        <f t="shared" si="132"/>
        <v>0</v>
      </c>
      <c r="AE352" s="1315" t="e">
        <f t="shared" ref="AE352" si="133">AE350*AE336</f>
        <v>#DIV/0!</v>
      </c>
      <c r="AF352" s="1315" t="e">
        <f t="shared" si="132"/>
        <v>#DIV/0!</v>
      </c>
      <c r="AG352" s="1315">
        <f t="shared" si="128"/>
        <v>0</v>
      </c>
      <c r="AH352" s="1315" t="e">
        <f t="shared" si="128"/>
        <v>#DIV/0!</v>
      </c>
    </row>
    <row r="353" spans="1:15" s="1279" customFormat="1" x14ac:dyDescent="0.2">
      <c r="A353" s="1282"/>
    </row>
    <row r="354" spans="1:15" x14ac:dyDescent="0.2">
      <c r="C354" s="528"/>
      <c r="F354" s="640"/>
      <c r="G354" s="640"/>
    </row>
    <row r="355" spans="1:15" s="263" customFormat="1" ht="16.5" thickBot="1" x14ac:dyDescent="0.3">
      <c r="A355" s="641" t="str">
        <f>'TRAD-Children YEAR(2)'!B15</f>
        <v>Quantification des besoins pour la prise en charge médicale pour la première année selon la répartition envisagée</v>
      </c>
      <c r="B355" s="641"/>
      <c r="C355" s="641"/>
      <c r="D355" s="641"/>
      <c r="E355" s="641"/>
      <c r="F355" s="641"/>
      <c r="G355" s="641"/>
      <c r="H355" s="641"/>
      <c r="I355" s="641"/>
      <c r="J355" s="641"/>
      <c r="K355" s="641"/>
      <c r="L355" s="641"/>
    </row>
    <row r="356" spans="1:15" x14ac:dyDescent="0.2">
      <c r="B356" s="528"/>
      <c r="E356" s="640"/>
      <c r="F356" s="640"/>
    </row>
    <row r="357" spans="1:15" ht="15" x14ac:dyDescent="0.2">
      <c r="B357" s="2143" t="str">
        <f>'TRAD-Children YEAR(2)'!B23</f>
        <v>Quantification des besoins en ARV pour la prise en charge pédiatrique sur la 4ème année SANS stock de sécurité</v>
      </c>
      <c r="C357" s="2143"/>
      <c r="D357" s="2143"/>
      <c r="E357" s="2143"/>
      <c r="F357" s="2143"/>
      <c r="G357" s="2143"/>
      <c r="H357" s="2143"/>
      <c r="I357" s="2143"/>
      <c r="J357" s="2143"/>
      <c r="K357" s="2143"/>
      <c r="L357" s="2143"/>
      <c r="M357" s="2143"/>
    </row>
    <row r="358" spans="1:15" ht="13.5" thickBot="1" x14ac:dyDescent="0.25">
      <c r="B358" s="528"/>
      <c r="E358" s="640"/>
      <c r="F358" s="640"/>
    </row>
    <row r="359" spans="1:15" ht="13.5" thickBot="1" x14ac:dyDescent="0.25">
      <c r="B359" s="528"/>
      <c r="C359" s="528"/>
      <c r="D359" s="528"/>
      <c r="E359" s="2141" t="str">
        <f>'TRAD-Children YEAR(1)'!B86</f>
        <v>Poids envisagés</v>
      </c>
      <c r="F359" s="2142"/>
      <c r="G359" s="2142"/>
      <c r="H359" s="2192"/>
    </row>
    <row r="360" spans="1:15" ht="26.25" thickBot="1" x14ac:dyDescent="0.25">
      <c r="B360" s="642"/>
      <c r="C360" s="643" t="str">
        <f>'TRAD-Children YEAR(1)'!B113</f>
        <v>Nb de boites / mois pour l'ensemble des patients</v>
      </c>
      <c r="D360" s="369" t="str">
        <f>'TRAD-Children YEAR(1)'!B114</f>
        <v>Dosage</v>
      </c>
      <c r="E360" s="645" t="s">
        <v>206</v>
      </c>
      <c r="F360" s="646" t="s">
        <v>207</v>
      </c>
      <c r="G360" s="646" t="s">
        <v>208</v>
      </c>
      <c r="H360" s="647" t="s">
        <v>112</v>
      </c>
      <c r="I360" s="648" t="s">
        <v>129</v>
      </c>
      <c r="J360" s="649" t="s">
        <v>6</v>
      </c>
    </row>
    <row r="361" spans="1:15" x14ac:dyDescent="0.2">
      <c r="B361" s="650" t="str">
        <f>'TRAD-Children YEAR(1)'!B74</f>
        <v>sol buv</v>
      </c>
      <c r="C361" s="651" t="s">
        <v>39</v>
      </c>
      <c r="D361" s="651" t="s">
        <v>41</v>
      </c>
      <c r="E361" s="652">
        <f t="array" ref="E361:E391">TRANSPOSE($D$279:$AH$279)</f>
        <v>0</v>
      </c>
      <c r="F361" s="652">
        <f t="array" ref="F361:F391">TRANSPOSE($D$303:$AH$303)</f>
        <v>0</v>
      </c>
      <c r="G361" s="652">
        <f t="array" ref="G361:G391">TRANSPOSE($D$327:$AH$327)</f>
        <v>0</v>
      </c>
      <c r="H361" s="652">
        <f t="array" ref="H361:H391">TRANSPOSE($D$351:$AH$351)</f>
        <v>0</v>
      </c>
      <c r="I361" s="582">
        <f>G130</f>
        <v>0</v>
      </c>
      <c r="J361" s="653">
        <f>SUM(E361:I361)</f>
        <v>0</v>
      </c>
      <c r="L361" s="260">
        <v>279</v>
      </c>
      <c r="M361" s="260">
        <v>303</v>
      </c>
      <c r="N361" s="260">
        <v>327</v>
      </c>
      <c r="O361" s="260" t="s">
        <v>1591</v>
      </c>
    </row>
    <row r="362" spans="1:15" x14ac:dyDescent="0.2">
      <c r="B362" s="654"/>
      <c r="C362" s="655" t="s">
        <v>61</v>
      </c>
      <c r="D362" s="655" t="s">
        <v>41</v>
      </c>
      <c r="E362" s="656">
        <v>0</v>
      </c>
      <c r="F362" s="656">
        <v>0</v>
      </c>
      <c r="G362" s="656">
        <v>0</v>
      </c>
      <c r="H362" s="656">
        <v>0</v>
      </c>
      <c r="I362" s="585">
        <f>G129</f>
        <v>0</v>
      </c>
      <c r="J362" s="657">
        <f t="shared" ref="J362:J368" si="134">SUM(E362:I362)</f>
        <v>0</v>
      </c>
    </row>
    <row r="363" spans="1:15" x14ac:dyDescent="0.2">
      <c r="B363" s="654"/>
      <c r="C363" s="655" t="s">
        <v>15</v>
      </c>
      <c r="D363" s="655" t="s">
        <v>41</v>
      </c>
      <c r="E363" s="656">
        <v>0</v>
      </c>
      <c r="F363" s="656">
        <v>0</v>
      </c>
      <c r="G363" s="656">
        <v>0</v>
      </c>
      <c r="H363" s="656">
        <v>0</v>
      </c>
      <c r="I363" s="585">
        <f>G131</f>
        <v>0</v>
      </c>
      <c r="J363" s="657">
        <f t="shared" si="134"/>
        <v>0</v>
      </c>
    </row>
    <row r="364" spans="1:15" x14ac:dyDescent="0.2">
      <c r="B364" s="654"/>
      <c r="C364" s="655" t="s">
        <v>25</v>
      </c>
      <c r="D364" s="655" t="s">
        <v>44</v>
      </c>
      <c r="E364" s="656">
        <v>0</v>
      </c>
      <c r="F364" s="656">
        <v>0</v>
      </c>
      <c r="G364" s="656">
        <v>0</v>
      </c>
      <c r="H364" s="656">
        <v>0</v>
      </c>
      <c r="I364" s="585"/>
      <c r="J364" s="657">
        <f t="shared" si="134"/>
        <v>0</v>
      </c>
    </row>
    <row r="365" spans="1:15" x14ac:dyDescent="0.2">
      <c r="B365" s="654"/>
      <c r="C365" s="655" t="s">
        <v>28</v>
      </c>
      <c r="D365" s="655" t="s">
        <v>46</v>
      </c>
      <c r="E365" s="656">
        <v>0</v>
      </c>
      <c r="F365" s="656">
        <v>0</v>
      </c>
      <c r="G365" s="656">
        <v>0</v>
      </c>
      <c r="H365" s="656">
        <v>0</v>
      </c>
      <c r="I365" s="585"/>
      <c r="J365" s="657">
        <f t="shared" si="134"/>
        <v>0</v>
      </c>
    </row>
    <row r="366" spans="1:15" x14ac:dyDescent="0.2">
      <c r="B366" s="654"/>
      <c r="C366" s="655" t="s">
        <v>19</v>
      </c>
      <c r="D366" s="655" t="s">
        <v>41</v>
      </c>
      <c r="E366" s="656" t="e">
        <v>#DIV/0!</v>
      </c>
      <c r="F366" s="656" t="e">
        <v>#DIV/0!</v>
      </c>
      <c r="G366" s="656">
        <v>0</v>
      </c>
      <c r="H366" s="656">
        <v>0</v>
      </c>
      <c r="I366" s="585">
        <f>G132</f>
        <v>0</v>
      </c>
      <c r="J366" s="657" t="e">
        <f>SUM(E366:I366)</f>
        <v>#DIV/0!</v>
      </c>
    </row>
    <row r="367" spans="1:15" x14ac:dyDescent="0.2">
      <c r="B367" s="658"/>
      <c r="C367" s="659" t="s">
        <v>17</v>
      </c>
      <c r="D367" s="659" t="s">
        <v>259</v>
      </c>
      <c r="E367" s="660">
        <v>0</v>
      </c>
      <c r="F367" s="660" t="e">
        <v>#DIV/0!</v>
      </c>
      <c r="G367" s="660" t="e">
        <v>#DIV/0!</v>
      </c>
      <c r="H367" s="660">
        <v>0</v>
      </c>
      <c r="I367" s="672"/>
      <c r="J367" s="661" t="e">
        <f>SUM(E367:I367)</f>
        <v>#DIV/0!</v>
      </c>
    </row>
    <row r="368" spans="1:15" ht="13.5" thickBot="1" x14ac:dyDescent="0.25">
      <c r="B368" s="662"/>
      <c r="C368" s="663" t="s">
        <v>33</v>
      </c>
      <c r="D368" s="663" t="s">
        <v>47</v>
      </c>
      <c r="E368" s="664" t="e">
        <v>#DIV/0!</v>
      </c>
      <c r="F368" s="664" t="e">
        <v>#DIV/0!</v>
      </c>
      <c r="G368" s="664">
        <v>0</v>
      </c>
      <c r="H368" s="664">
        <v>0</v>
      </c>
      <c r="I368" s="673"/>
      <c r="J368" s="666" t="e">
        <f t="shared" si="134"/>
        <v>#DIV/0!</v>
      </c>
    </row>
    <row r="369" spans="2:10" ht="25.5" x14ac:dyDescent="0.2">
      <c r="B369" s="650" t="str">
        <f>'TRAD-Children YEAR(1)'!B91</f>
        <v>Comprimés</v>
      </c>
      <c r="C369" s="408" t="str">
        <f t="array" ref="C369:D391">'Data &amp; hypothesis Children'!$C$238:$D$260</f>
        <v>AZT+ 3TC+ NVP adulte</v>
      </c>
      <c r="D369" s="409" t="str">
        <v>300/150/200 mg</v>
      </c>
      <c r="E369" s="1358">
        <v>0</v>
      </c>
      <c r="F369" s="1358">
        <v>0</v>
      </c>
      <c r="G369" s="1358">
        <v>0</v>
      </c>
      <c r="H369" s="1358">
        <v>0</v>
      </c>
      <c r="I369" s="585"/>
      <c r="J369" s="657">
        <f>SUM(E369:I369)</f>
        <v>0</v>
      </c>
    </row>
    <row r="370" spans="2:10" ht="25.5" x14ac:dyDescent="0.2">
      <c r="B370" s="667"/>
      <c r="C370" s="413" t="str">
        <v>AZT+ 3TC+ NVP bébé</v>
      </c>
      <c r="D370" s="414" t="str">
        <v>60/30/50 mg</v>
      </c>
      <c r="E370" s="656" t="e">
        <v>#DIV/0!</v>
      </c>
      <c r="F370" s="656" t="e">
        <v>#DIV/0!</v>
      </c>
      <c r="G370" s="656" t="e">
        <v>#DIV/0!</v>
      </c>
      <c r="H370" s="656" t="e">
        <v>#DIV/0!</v>
      </c>
      <c r="I370" s="585">
        <f>G135</f>
        <v>0</v>
      </c>
      <c r="J370" s="657" t="e">
        <f>SUM(E370:I370)</f>
        <v>#DIV/0!</v>
      </c>
    </row>
    <row r="371" spans="2:10" ht="25.5" x14ac:dyDescent="0.2">
      <c r="B371" s="668"/>
      <c r="C371" s="413" t="str">
        <v>AZT+ 3TC adulte</v>
      </c>
      <c r="D371" s="414" t="str">
        <v>300/150 mg</v>
      </c>
      <c r="E371" s="656">
        <v>0</v>
      </c>
      <c r="F371" s="656">
        <v>0</v>
      </c>
      <c r="G371" s="656">
        <v>0</v>
      </c>
      <c r="H371" s="656">
        <v>0</v>
      </c>
      <c r="I371" s="585"/>
      <c r="J371" s="1327">
        <f>SUM(E371:I371)</f>
        <v>0</v>
      </c>
    </row>
    <row r="372" spans="2:10" x14ac:dyDescent="0.2">
      <c r="B372" s="668"/>
      <c r="C372" s="413" t="str">
        <v>AZT+ 3TC bébé</v>
      </c>
      <c r="D372" s="414" t="str">
        <v>60/30 mg</v>
      </c>
      <c r="E372" s="656" t="e">
        <v>#DIV/0!</v>
      </c>
      <c r="F372" s="656" t="e">
        <v>#DIV/0!</v>
      </c>
      <c r="G372" s="656" t="e">
        <v>#DIV/0!</v>
      </c>
      <c r="H372" s="656" t="e">
        <v>#DIV/0!</v>
      </c>
      <c r="I372" s="585">
        <f>G136</f>
        <v>0</v>
      </c>
      <c r="J372" s="1327" t="e">
        <f>SUM(E372:I372)</f>
        <v>#DIV/0!</v>
      </c>
    </row>
    <row r="373" spans="2:10" ht="25.5" x14ac:dyDescent="0.2">
      <c r="B373" s="668"/>
      <c r="C373" s="413" t="str">
        <v>D4T+ 3TC+ NVP adulte</v>
      </c>
      <c r="D373" s="414" t="str">
        <v>30/150/200 mg</v>
      </c>
      <c r="E373" s="656">
        <v>0</v>
      </c>
      <c r="F373" s="656">
        <v>0</v>
      </c>
      <c r="G373" s="656">
        <v>0</v>
      </c>
      <c r="H373" s="656">
        <v>0</v>
      </c>
      <c r="I373" s="585"/>
      <c r="J373" s="1327">
        <f t="shared" ref="J373:J389" si="135">SUM(E373:I373)</f>
        <v>0</v>
      </c>
    </row>
    <row r="374" spans="2:10" ht="25.5" x14ac:dyDescent="0.2">
      <c r="B374" s="668"/>
      <c r="C374" s="413" t="str">
        <v>D4T+ 3TC+ NVP bébé</v>
      </c>
      <c r="D374" s="414" t="str">
        <v>6/30/50 mg</v>
      </c>
      <c r="E374" s="656">
        <v>0</v>
      </c>
      <c r="F374" s="656">
        <v>0</v>
      </c>
      <c r="G374" s="656" t="e">
        <v>#DIV/0!</v>
      </c>
      <c r="H374" s="656">
        <v>0</v>
      </c>
      <c r="I374" s="585">
        <f>G133</f>
        <v>0</v>
      </c>
      <c r="J374" s="1327" t="e">
        <f t="shared" si="135"/>
        <v>#DIV/0!</v>
      </c>
    </row>
    <row r="375" spans="2:10" x14ac:dyDescent="0.2">
      <c r="B375" s="668"/>
      <c r="C375" s="413" t="str">
        <v>D4T+ 3TC bébé</v>
      </c>
      <c r="D375" s="414" t="str">
        <v>6/30 mg</v>
      </c>
      <c r="E375" s="656">
        <v>0</v>
      </c>
      <c r="F375" s="656">
        <v>0</v>
      </c>
      <c r="G375" s="656">
        <v>0</v>
      </c>
      <c r="H375" s="656">
        <v>0</v>
      </c>
      <c r="I375" s="585">
        <f>G134</f>
        <v>0</v>
      </c>
      <c r="J375" s="1327">
        <f t="shared" si="135"/>
        <v>0</v>
      </c>
    </row>
    <row r="376" spans="2:10" ht="25.5" x14ac:dyDescent="0.2">
      <c r="B376" s="668"/>
      <c r="C376" s="413" t="str">
        <v>AZT+ 3TC+ ABC adulte</v>
      </c>
      <c r="D376" s="414" t="str">
        <v>300/150/300 mg</v>
      </c>
      <c r="E376" s="656">
        <v>0</v>
      </c>
      <c r="F376" s="656">
        <v>0</v>
      </c>
      <c r="G376" s="656">
        <v>0</v>
      </c>
      <c r="H376" s="656">
        <v>0</v>
      </c>
      <c r="I376" s="585"/>
      <c r="J376" s="1327">
        <f t="shared" si="135"/>
        <v>0</v>
      </c>
    </row>
    <row r="377" spans="2:10" ht="25.5" x14ac:dyDescent="0.2">
      <c r="B377" s="668"/>
      <c r="C377" s="413" t="str">
        <v>AZT+ 3TC+ ABC bébé</v>
      </c>
      <c r="D377" s="414" t="str">
        <v>60/30/60 mg</v>
      </c>
      <c r="E377" s="656">
        <v>0</v>
      </c>
      <c r="F377" s="656">
        <v>0</v>
      </c>
      <c r="G377" s="656">
        <v>0</v>
      </c>
      <c r="H377" s="656">
        <v>0</v>
      </c>
      <c r="I377" s="585"/>
      <c r="J377" s="1327">
        <f>SUM(E377:I377)</f>
        <v>0</v>
      </c>
    </row>
    <row r="378" spans="2:10" ht="25.5" x14ac:dyDescent="0.2">
      <c r="B378" s="668"/>
      <c r="C378" s="413" t="str">
        <v>ABC+ 3TC adulte</v>
      </c>
      <c r="D378" s="414" t="str">
        <v>600/300 mg</v>
      </c>
      <c r="E378" s="656" t="e">
        <v>#DIV/0!</v>
      </c>
      <c r="F378" s="656" t="e">
        <v>#DIV/0!</v>
      </c>
      <c r="G378" s="656">
        <v>0</v>
      </c>
      <c r="H378" s="656">
        <v>0</v>
      </c>
      <c r="I378" s="585"/>
      <c r="J378" s="1327" t="e">
        <f t="shared" si="135"/>
        <v>#DIV/0!</v>
      </c>
    </row>
    <row r="379" spans="2:10" x14ac:dyDescent="0.2">
      <c r="B379" s="1328"/>
      <c r="C379" s="418" t="str">
        <v>ABC+ 3TC bébé</v>
      </c>
      <c r="D379" s="419" t="str">
        <v>60/30 mg</v>
      </c>
      <c r="E379" s="1326">
        <v>0</v>
      </c>
      <c r="F379" s="1326" t="e">
        <v>#DIV/0!</v>
      </c>
      <c r="G379" s="1326" t="e">
        <v>#DIV/0!</v>
      </c>
      <c r="H379" s="1326" t="e">
        <v>#DIV/0!</v>
      </c>
      <c r="I379" s="585"/>
      <c r="J379" s="1327" t="e">
        <f t="shared" si="135"/>
        <v>#DIV/0!</v>
      </c>
    </row>
    <row r="380" spans="2:10" ht="25.5" x14ac:dyDescent="0.2">
      <c r="B380" s="1328"/>
      <c r="C380" s="418" t="str">
        <v>TDF+ FTC/3TC+ EFV adulte</v>
      </c>
      <c r="D380" s="419" t="str">
        <v>300/200/600 mg</v>
      </c>
      <c r="E380" s="1963">
        <v>0</v>
      </c>
      <c r="F380" s="1963">
        <v>0</v>
      </c>
      <c r="G380" s="1963">
        <v>0</v>
      </c>
      <c r="H380" s="1963">
        <v>0</v>
      </c>
      <c r="I380" s="585"/>
      <c r="J380" s="1327">
        <f t="shared" si="135"/>
        <v>0</v>
      </c>
    </row>
    <row r="381" spans="2:10" ht="25.5" x14ac:dyDescent="0.2">
      <c r="B381" s="1328"/>
      <c r="C381" s="418" t="str">
        <v>TDF+ FTC/3TC adulte</v>
      </c>
      <c r="D381" s="419" t="str">
        <v>300/200 mg</v>
      </c>
      <c r="E381" s="1963">
        <v>0</v>
      </c>
      <c r="F381" s="1963">
        <v>0</v>
      </c>
      <c r="G381" s="1963">
        <v>0</v>
      </c>
      <c r="H381" s="1963" t="e">
        <v>#DIV/0!</v>
      </c>
      <c r="I381" s="585"/>
      <c r="J381" s="1327" t="e">
        <f t="shared" si="135"/>
        <v>#DIV/0!</v>
      </c>
    </row>
    <row r="382" spans="2:10" x14ac:dyDescent="0.2">
      <c r="B382" s="1328"/>
      <c r="C382" s="418" t="str">
        <v>TDF adulte</v>
      </c>
      <c r="D382" s="419" t="str">
        <v>300 mg</v>
      </c>
      <c r="E382" s="1963">
        <v>0</v>
      </c>
      <c r="F382" s="1963">
        <v>0</v>
      </c>
      <c r="G382" s="1963">
        <v>0</v>
      </c>
      <c r="H382" s="1963">
        <v>0</v>
      </c>
      <c r="I382" s="585"/>
      <c r="J382" s="1327">
        <f t="shared" si="135"/>
        <v>0</v>
      </c>
    </row>
    <row r="383" spans="2:10" x14ac:dyDescent="0.2">
      <c r="B383" s="1328"/>
      <c r="C383" s="418" t="str">
        <v>3TC adulte</v>
      </c>
      <c r="D383" s="419" t="str">
        <v>150 mg</v>
      </c>
      <c r="E383" s="1326">
        <v>0</v>
      </c>
      <c r="F383" s="1326">
        <v>0</v>
      </c>
      <c r="G383" s="1326">
        <v>0</v>
      </c>
      <c r="H383" s="1326">
        <v>0</v>
      </c>
      <c r="I383" s="585"/>
      <c r="J383" s="1327">
        <f t="shared" si="135"/>
        <v>0</v>
      </c>
    </row>
    <row r="384" spans="2:10" ht="26.25" customHeight="1" x14ac:dyDescent="0.2">
      <c r="B384" s="668"/>
      <c r="C384" s="413" t="str">
        <v>ABC adulte</v>
      </c>
      <c r="D384" s="419" t="str">
        <v>300 mg</v>
      </c>
      <c r="E384" s="1358">
        <v>0</v>
      </c>
      <c r="F384" s="1358">
        <v>0</v>
      </c>
      <c r="G384" s="1358">
        <v>0</v>
      </c>
      <c r="H384" s="1358">
        <v>0</v>
      </c>
      <c r="I384" s="585"/>
      <c r="J384" s="1327">
        <f t="shared" si="135"/>
        <v>0</v>
      </c>
    </row>
    <row r="385" spans="2:13" x14ac:dyDescent="0.2">
      <c r="B385" s="668"/>
      <c r="C385" s="413" t="str">
        <v>ABC bébé</v>
      </c>
      <c r="D385" s="419" t="str">
        <v>60 mg</v>
      </c>
      <c r="E385" s="1358" t="e">
        <v>#DIV/0!</v>
      </c>
      <c r="F385" s="1358">
        <v>0</v>
      </c>
      <c r="G385" s="1358">
        <v>0</v>
      </c>
      <c r="H385" s="1358">
        <v>0</v>
      </c>
      <c r="I385" s="585"/>
      <c r="J385" s="1327" t="e">
        <f t="shared" si="135"/>
        <v>#DIV/0!</v>
      </c>
    </row>
    <row r="386" spans="2:13" x14ac:dyDescent="0.2">
      <c r="B386" s="668"/>
      <c r="C386" s="413" t="str">
        <v>DDI adulte</v>
      </c>
      <c r="D386" s="419" t="str">
        <v>250 mg</v>
      </c>
      <c r="E386" s="1358">
        <v>0</v>
      </c>
      <c r="F386" s="1358">
        <v>0</v>
      </c>
      <c r="G386" s="1358">
        <v>0</v>
      </c>
      <c r="H386" s="1358">
        <v>0</v>
      </c>
      <c r="I386" s="585"/>
      <c r="J386" s="1327">
        <f t="shared" si="135"/>
        <v>0</v>
      </c>
    </row>
    <row r="387" spans="2:13" x14ac:dyDescent="0.2">
      <c r="B387" s="668"/>
      <c r="C387" s="413" t="str">
        <v>NVP adulte</v>
      </c>
      <c r="D387" s="419" t="str">
        <v>200 mg</v>
      </c>
      <c r="E387" s="1358">
        <v>0</v>
      </c>
      <c r="F387" s="1358">
        <v>0</v>
      </c>
      <c r="G387" s="1358">
        <v>0</v>
      </c>
      <c r="H387" s="1358">
        <v>0</v>
      </c>
      <c r="I387" s="585"/>
      <c r="J387" s="1327">
        <f t="shared" si="135"/>
        <v>0</v>
      </c>
    </row>
    <row r="388" spans="2:13" x14ac:dyDescent="0.2">
      <c r="B388" s="668"/>
      <c r="C388" s="413" t="str">
        <v>NVP bébé</v>
      </c>
      <c r="D388" s="419" t="str">
        <v>50 mg</v>
      </c>
      <c r="E388" s="1358">
        <v>0</v>
      </c>
      <c r="F388" s="1358" t="e">
        <v>#DIV/0!</v>
      </c>
      <c r="G388" s="1358" t="e">
        <v>#DIV/0!</v>
      </c>
      <c r="H388" s="1358" t="e">
        <v>#DIV/0!</v>
      </c>
      <c r="I388" s="585"/>
      <c r="J388" s="1327" t="e">
        <f t="shared" si="135"/>
        <v>#DIV/0!</v>
      </c>
    </row>
    <row r="389" spans="2:13" x14ac:dyDescent="0.2">
      <c r="B389" s="668"/>
      <c r="C389" s="413" t="str">
        <v>EFV enfant</v>
      </c>
      <c r="D389" s="419" t="str">
        <v>200 mg</v>
      </c>
      <c r="E389" s="1358">
        <v>0</v>
      </c>
      <c r="F389" s="1358" t="e">
        <v>#DIV/0!</v>
      </c>
      <c r="G389" s="1358" t="e">
        <v>#DIV/0!</v>
      </c>
      <c r="H389" s="1358" t="e">
        <v>#DIV/0!</v>
      </c>
      <c r="I389" s="585"/>
      <c r="J389" s="1327" t="e">
        <f t="shared" si="135"/>
        <v>#DIV/0!</v>
      </c>
    </row>
    <row r="390" spans="2:13" x14ac:dyDescent="0.2">
      <c r="B390" s="668"/>
      <c r="C390" s="413" t="str">
        <v>LPV/r adulte</v>
      </c>
      <c r="D390" s="419" t="str">
        <v>200/50 mg</v>
      </c>
      <c r="E390" s="1358">
        <v>0</v>
      </c>
      <c r="F390" s="1358">
        <v>0</v>
      </c>
      <c r="G390" s="1358">
        <v>0</v>
      </c>
      <c r="H390" s="1358">
        <v>0</v>
      </c>
      <c r="I390" s="585"/>
      <c r="J390" s="657">
        <f>SUM(E390:I390)</f>
        <v>0</v>
      </c>
    </row>
    <row r="391" spans="2:13" ht="13.5" thickBot="1" x14ac:dyDescent="0.25">
      <c r="B391" s="669"/>
      <c r="C391" s="422" t="str">
        <v>LPV/r enfant</v>
      </c>
      <c r="D391" s="423" t="str">
        <v>100/25 mg</v>
      </c>
      <c r="E391" s="1359">
        <v>0</v>
      </c>
      <c r="F391" s="1359" t="e">
        <v>#DIV/0!</v>
      </c>
      <c r="G391" s="1359" t="e">
        <v>#DIV/0!</v>
      </c>
      <c r="H391" s="1359" t="e">
        <v>#DIV/0!</v>
      </c>
      <c r="I391" s="665"/>
      <c r="J391" s="666" t="e">
        <f>SUM(E391:I391)</f>
        <v>#DIV/0!</v>
      </c>
    </row>
    <row r="393" spans="2:13" ht="15" x14ac:dyDescent="0.2">
      <c r="B393" s="2143" t="str">
        <f>'TRAD-Children YEAR(2)'!B24</f>
        <v>Quantification des besoins en ARV pour la prise en charge pédiatrique sur la 4ème année AVEC stock de sécurité</v>
      </c>
      <c r="C393" s="2143"/>
      <c r="D393" s="2143"/>
      <c r="E393" s="2143"/>
      <c r="F393" s="2143"/>
      <c r="G393" s="2143"/>
      <c r="H393" s="2143"/>
      <c r="I393" s="2143"/>
      <c r="J393" s="2143"/>
      <c r="K393" s="2143"/>
      <c r="L393" s="2143"/>
      <c r="M393" s="2143"/>
    </row>
    <row r="394" spans="2:13" ht="13.5" thickBot="1" x14ac:dyDescent="0.25">
      <c r="B394" s="528"/>
      <c r="E394" s="640"/>
      <c r="F394" s="640"/>
    </row>
    <row r="395" spans="2:13" ht="13.5" thickBot="1" x14ac:dyDescent="0.25">
      <c r="B395" s="528"/>
      <c r="C395" s="528"/>
      <c r="D395" s="528"/>
      <c r="E395" s="2141" t="str">
        <f>'TRAD-Children YEAR(1)'!B86</f>
        <v>Poids envisagés</v>
      </c>
      <c r="F395" s="2142"/>
      <c r="G395" s="2142"/>
      <c r="H395" s="2192"/>
    </row>
    <row r="396" spans="2:13" ht="64.5" thickBot="1" x14ac:dyDescent="0.25">
      <c r="B396" s="642"/>
      <c r="C396" s="643" t="str">
        <f>'TRAD-Children YEAR(1)'!B113</f>
        <v>Nb de boites / mois pour l'ensemble des patients</v>
      </c>
      <c r="D396" s="369" t="str">
        <f>'TRAD-Children YEAR(1)'!B114</f>
        <v>Dosage</v>
      </c>
      <c r="E396" s="645" t="s">
        <v>206</v>
      </c>
      <c r="F396" s="646" t="s">
        <v>207</v>
      </c>
      <c r="G396" s="646" t="s">
        <v>208</v>
      </c>
      <c r="H396" s="647" t="s">
        <v>112</v>
      </c>
      <c r="I396" s="644" t="s">
        <v>129</v>
      </c>
      <c r="J396" s="649" t="str">
        <f>'TRAD-Children YEAR(1)'!B12</f>
        <v>TOTAL (nbre de boîtes / flacons)</v>
      </c>
      <c r="K396" s="643" t="str">
        <f>'TRAD-Children YEAR(1)'!B147</f>
        <v>Marge de sécurité (nb de boites / flacons)</v>
      </c>
      <c r="L396" s="643" t="str">
        <f>'TRAD-Children YEAR(1)'!B149</f>
        <v>Total + Différence de marge (nb de boîtes / flacons)</v>
      </c>
    </row>
    <row r="397" spans="2:13" x14ac:dyDescent="0.2">
      <c r="B397" s="650" t="str">
        <f>'TRAD-Children YEAR(1)'!B74</f>
        <v>sol buv</v>
      </c>
      <c r="C397" s="651" t="s">
        <v>39</v>
      </c>
      <c r="D397" s="651" t="s">
        <v>41</v>
      </c>
      <c r="E397" s="652">
        <f t="array" ref="E397:E427">TRANSPOSE($D$280:$AH$280)</f>
        <v>0</v>
      </c>
      <c r="F397" s="652">
        <f t="array" ref="F397:F427">TRANSPOSE($D$304:$AH$304)</f>
        <v>0</v>
      </c>
      <c r="G397" s="652">
        <f t="array" ref="G397:G427">TRANSPOSE($D$328:$AH$328)</f>
        <v>0</v>
      </c>
      <c r="H397" s="652">
        <f t="array" ref="H397:H427">TRANSPOSE($D$352:$AH$352)</f>
        <v>0</v>
      </c>
      <c r="I397" s="582">
        <f>H130</f>
        <v>0</v>
      </c>
      <c r="J397" s="653">
        <f t="shared" ref="J397" si="136">SUM(E397:I397)</f>
        <v>0</v>
      </c>
      <c r="K397" s="1437">
        <f t="shared" ref="K397:K416" si="137">J397-J361</f>
        <v>0</v>
      </c>
      <c r="L397" s="670" t="str">
        <f>IF((K397-'Children YEAR3'!K397)&gt;0, K397-'Children YEAR3'!K397, "0")</f>
        <v>0</v>
      </c>
    </row>
    <row r="398" spans="2:13" x14ac:dyDescent="0.2">
      <c r="B398" s="654"/>
      <c r="C398" s="655" t="s">
        <v>61</v>
      </c>
      <c r="D398" s="655" t="s">
        <v>41</v>
      </c>
      <c r="E398" s="656">
        <v>0</v>
      </c>
      <c r="F398" s="656">
        <v>0</v>
      </c>
      <c r="G398" s="656">
        <v>0</v>
      </c>
      <c r="H398" s="656">
        <v>0</v>
      </c>
      <c r="I398" s="585">
        <f>H129</f>
        <v>0</v>
      </c>
      <c r="J398" s="657">
        <f t="shared" ref="J398:J427" si="138">SUM(E398:I398)</f>
        <v>0</v>
      </c>
      <c r="K398" s="1438">
        <f t="shared" si="137"/>
        <v>0</v>
      </c>
      <c r="L398" s="671" t="str">
        <f>IF((K398-'Children YEAR3'!K398)&gt;0, K398-'Children YEAR3'!K398, "0")</f>
        <v>0</v>
      </c>
    </row>
    <row r="399" spans="2:13" x14ac:dyDescent="0.2">
      <c r="B399" s="654"/>
      <c r="C399" s="655" t="s">
        <v>15</v>
      </c>
      <c r="D399" s="655" t="s">
        <v>41</v>
      </c>
      <c r="E399" s="656">
        <v>0</v>
      </c>
      <c r="F399" s="656">
        <v>0</v>
      </c>
      <c r="G399" s="656">
        <v>0</v>
      </c>
      <c r="H399" s="656">
        <v>0</v>
      </c>
      <c r="I399" s="585">
        <f>H131</f>
        <v>0</v>
      </c>
      <c r="J399" s="657">
        <f t="shared" si="138"/>
        <v>0</v>
      </c>
      <c r="K399" s="1438">
        <f t="shared" si="137"/>
        <v>0</v>
      </c>
      <c r="L399" s="671" t="str">
        <f>IF((K399-'Children YEAR3'!K399)&gt;0, K399-'Children YEAR3'!K399, "0")</f>
        <v>0</v>
      </c>
    </row>
    <row r="400" spans="2:13" x14ac:dyDescent="0.2">
      <c r="B400" s="654"/>
      <c r="C400" s="655" t="s">
        <v>25</v>
      </c>
      <c r="D400" s="655" t="s">
        <v>44</v>
      </c>
      <c r="E400" s="656">
        <v>0</v>
      </c>
      <c r="F400" s="656">
        <v>0</v>
      </c>
      <c r="G400" s="656">
        <v>0</v>
      </c>
      <c r="H400" s="656">
        <v>0</v>
      </c>
      <c r="I400" s="585"/>
      <c r="J400" s="657">
        <f t="shared" si="138"/>
        <v>0</v>
      </c>
      <c r="K400" s="1438">
        <f t="shared" si="137"/>
        <v>0</v>
      </c>
      <c r="L400" s="671" t="str">
        <f>IF((K400-'Children YEAR3'!K400)&gt;0, K400-'Children YEAR3'!K400, "0")</f>
        <v>0</v>
      </c>
    </row>
    <row r="401" spans="2:12" x14ac:dyDescent="0.2">
      <c r="B401" s="654"/>
      <c r="C401" s="655" t="s">
        <v>28</v>
      </c>
      <c r="D401" s="655" t="s">
        <v>46</v>
      </c>
      <c r="E401" s="656">
        <v>0</v>
      </c>
      <c r="F401" s="656">
        <v>0</v>
      </c>
      <c r="G401" s="656">
        <v>0</v>
      </c>
      <c r="H401" s="656">
        <v>0</v>
      </c>
      <c r="I401" s="585"/>
      <c r="J401" s="657">
        <f t="shared" si="138"/>
        <v>0</v>
      </c>
      <c r="K401" s="1438">
        <f t="shared" si="137"/>
        <v>0</v>
      </c>
      <c r="L401" s="671" t="str">
        <f>IF((K401-'Children YEAR3'!K401)&gt;0, K401-'Children YEAR3'!K401, "0")</f>
        <v>0</v>
      </c>
    </row>
    <row r="402" spans="2:12" x14ac:dyDescent="0.2">
      <c r="B402" s="654"/>
      <c r="C402" s="655" t="s">
        <v>19</v>
      </c>
      <c r="D402" s="655" t="s">
        <v>41</v>
      </c>
      <c r="E402" s="656" t="e">
        <v>#DIV/0!</v>
      </c>
      <c r="F402" s="656" t="e">
        <v>#DIV/0!</v>
      </c>
      <c r="G402" s="656">
        <v>0</v>
      </c>
      <c r="H402" s="656">
        <v>0</v>
      </c>
      <c r="I402" s="585">
        <f>H132</f>
        <v>0</v>
      </c>
      <c r="J402" s="657" t="e">
        <f t="shared" si="138"/>
        <v>#DIV/0!</v>
      </c>
      <c r="K402" s="1438" t="e">
        <f t="shared" si="137"/>
        <v>#DIV/0!</v>
      </c>
      <c r="L402" s="671" t="e">
        <f>IF((K402-'Children YEAR3'!K402)&gt;0, K402-'Children YEAR3'!K402, "0")</f>
        <v>#DIV/0!</v>
      </c>
    </row>
    <row r="403" spans="2:12" x14ac:dyDescent="0.2">
      <c r="B403" s="658"/>
      <c r="C403" s="659" t="s">
        <v>17</v>
      </c>
      <c r="D403" s="659" t="s">
        <v>259</v>
      </c>
      <c r="E403" s="660">
        <v>0</v>
      </c>
      <c r="F403" s="660" t="e">
        <v>#DIV/0!</v>
      </c>
      <c r="G403" s="660" t="e">
        <v>#DIV/0!</v>
      </c>
      <c r="H403" s="660">
        <v>0</v>
      </c>
      <c r="I403" s="672"/>
      <c r="J403" s="661" t="e">
        <f t="shared" si="138"/>
        <v>#DIV/0!</v>
      </c>
      <c r="K403" s="1439" t="e">
        <f t="shared" si="137"/>
        <v>#DIV/0!</v>
      </c>
      <c r="L403" s="671" t="e">
        <f>IF((K403-'Children YEAR3'!K403)&gt;0, K403-'Children YEAR3'!K403, "0")</f>
        <v>#DIV/0!</v>
      </c>
    </row>
    <row r="404" spans="2:12" ht="13.5" thickBot="1" x14ac:dyDescent="0.25">
      <c r="B404" s="662"/>
      <c r="C404" s="663" t="s">
        <v>33</v>
      </c>
      <c r="D404" s="663" t="s">
        <v>47</v>
      </c>
      <c r="E404" s="664" t="e">
        <v>#DIV/0!</v>
      </c>
      <c r="F404" s="664" t="e">
        <v>#DIV/0!</v>
      </c>
      <c r="G404" s="664">
        <v>0</v>
      </c>
      <c r="H404" s="664">
        <v>0</v>
      </c>
      <c r="I404" s="673"/>
      <c r="J404" s="666" t="e">
        <f t="shared" si="138"/>
        <v>#DIV/0!</v>
      </c>
      <c r="K404" s="1440" t="e">
        <f t="shared" si="137"/>
        <v>#DIV/0!</v>
      </c>
      <c r="L404" s="674" t="e">
        <f>IF((K404-'Children YEAR3'!K404)&gt;0, K404-'Children YEAR3'!K404, "0")</f>
        <v>#DIV/0!</v>
      </c>
    </row>
    <row r="405" spans="2:12" ht="25.5" x14ac:dyDescent="0.2">
      <c r="B405" s="650" t="str">
        <f>'TRAD-Children YEAR(1)'!B91</f>
        <v>Comprimés</v>
      </c>
      <c r="C405" s="408" t="str">
        <f t="array" ref="C405:D427">'Data &amp; hypothesis Children'!$C$238:$D$260</f>
        <v>AZT+ 3TC+ NVP adulte</v>
      </c>
      <c r="D405" s="409" t="str">
        <v>300/150/200 mg</v>
      </c>
      <c r="E405" s="1358">
        <v>0</v>
      </c>
      <c r="F405" s="1358">
        <v>0</v>
      </c>
      <c r="G405" s="1358">
        <v>0</v>
      </c>
      <c r="H405" s="1358">
        <v>0</v>
      </c>
      <c r="I405" s="585"/>
      <c r="J405" s="657">
        <f t="shared" si="138"/>
        <v>0</v>
      </c>
      <c r="K405" s="1438">
        <f t="shared" si="137"/>
        <v>0</v>
      </c>
      <c r="L405" s="670" t="str">
        <f>IF((K405-'Children YEAR3'!K405)&gt;0, K405-'Children YEAR3'!K405, "0")</f>
        <v>0</v>
      </c>
    </row>
    <row r="406" spans="2:12" ht="25.5" x14ac:dyDescent="0.2">
      <c r="B406" s="667"/>
      <c r="C406" s="413" t="str">
        <v>AZT+ 3TC+ NVP bébé</v>
      </c>
      <c r="D406" s="414" t="str">
        <v>60/30/50 mg</v>
      </c>
      <c r="E406" s="656" t="e">
        <v>#DIV/0!</v>
      </c>
      <c r="F406" s="656" t="e">
        <v>#DIV/0!</v>
      </c>
      <c r="G406" s="656" t="e">
        <v>#DIV/0!</v>
      </c>
      <c r="H406" s="656" t="e">
        <v>#DIV/0!</v>
      </c>
      <c r="I406" s="585">
        <f>H135</f>
        <v>0</v>
      </c>
      <c r="J406" s="657" t="e">
        <f t="shared" si="138"/>
        <v>#DIV/0!</v>
      </c>
      <c r="K406" s="1438" t="e">
        <f t="shared" si="137"/>
        <v>#DIV/0!</v>
      </c>
      <c r="L406" s="671" t="e">
        <f>IF((K406-'Children YEAR3'!K406)&gt;0, K406-'Children YEAR3'!K406, "0")</f>
        <v>#DIV/0!</v>
      </c>
    </row>
    <row r="407" spans="2:12" ht="25.5" x14ac:dyDescent="0.2">
      <c r="B407" s="668"/>
      <c r="C407" s="413" t="str">
        <v>AZT+ 3TC adulte</v>
      </c>
      <c r="D407" s="414" t="str">
        <v>300/150 mg</v>
      </c>
      <c r="E407" s="656">
        <v>0</v>
      </c>
      <c r="F407" s="656">
        <v>0</v>
      </c>
      <c r="G407" s="656">
        <v>0</v>
      </c>
      <c r="H407" s="656">
        <v>0</v>
      </c>
      <c r="I407" s="585"/>
      <c r="J407" s="1327">
        <f t="shared" si="138"/>
        <v>0</v>
      </c>
      <c r="K407" s="1441">
        <f t="shared" si="137"/>
        <v>0</v>
      </c>
      <c r="L407" s="671" t="str">
        <f>IF((K407-'Children YEAR3'!K407)&gt;0, K407-'Children YEAR3'!K407, "0")</f>
        <v>0</v>
      </c>
    </row>
    <row r="408" spans="2:12" x14ac:dyDescent="0.2">
      <c r="B408" s="668"/>
      <c r="C408" s="413" t="str">
        <v>AZT+ 3TC bébé</v>
      </c>
      <c r="D408" s="414" t="str">
        <v>60/30 mg</v>
      </c>
      <c r="E408" s="656" t="e">
        <v>#DIV/0!</v>
      </c>
      <c r="F408" s="656" t="e">
        <v>#DIV/0!</v>
      </c>
      <c r="G408" s="656" t="e">
        <v>#DIV/0!</v>
      </c>
      <c r="H408" s="656" t="e">
        <v>#DIV/0!</v>
      </c>
      <c r="I408" s="585">
        <f>H136</f>
        <v>0</v>
      </c>
      <c r="J408" s="1327" t="e">
        <f t="shared" si="138"/>
        <v>#DIV/0!</v>
      </c>
      <c r="K408" s="1441" t="e">
        <f t="shared" si="137"/>
        <v>#DIV/0!</v>
      </c>
      <c r="L408" s="671" t="e">
        <f>IF((K408-'Children YEAR3'!K408)&gt;0, K408-'Children YEAR3'!K408, "0")</f>
        <v>#DIV/0!</v>
      </c>
    </row>
    <row r="409" spans="2:12" ht="25.5" x14ac:dyDescent="0.2">
      <c r="B409" s="668"/>
      <c r="C409" s="413" t="str">
        <v>D4T+ 3TC+ NVP adulte</v>
      </c>
      <c r="D409" s="414" t="str">
        <v>30/150/200 mg</v>
      </c>
      <c r="E409" s="656">
        <v>0</v>
      </c>
      <c r="F409" s="656">
        <v>0</v>
      </c>
      <c r="G409" s="656">
        <v>0</v>
      </c>
      <c r="H409" s="656">
        <v>0</v>
      </c>
      <c r="I409" s="585"/>
      <c r="J409" s="1327">
        <f t="shared" si="138"/>
        <v>0</v>
      </c>
      <c r="K409" s="1441">
        <f t="shared" si="137"/>
        <v>0</v>
      </c>
      <c r="L409" s="671" t="str">
        <f>IF((K409-'Children YEAR3'!K409)&gt;0, K409-'Children YEAR3'!K409, "0")</f>
        <v>0</v>
      </c>
    </row>
    <row r="410" spans="2:12" ht="25.5" x14ac:dyDescent="0.2">
      <c r="B410" s="668"/>
      <c r="C410" s="413" t="str">
        <v>D4T+ 3TC+ NVP bébé</v>
      </c>
      <c r="D410" s="414" t="str">
        <v>6/30/50 mg</v>
      </c>
      <c r="E410" s="656">
        <v>0</v>
      </c>
      <c r="F410" s="656">
        <v>0</v>
      </c>
      <c r="G410" s="656" t="e">
        <v>#DIV/0!</v>
      </c>
      <c r="H410" s="656">
        <v>0</v>
      </c>
      <c r="I410" s="585">
        <f>H133</f>
        <v>0</v>
      </c>
      <c r="J410" s="1327" t="e">
        <f t="shared" si="138"/>
        <v>#DIV/0!</v>
      </c>
      <c r="K410" s="1441" t="e">
        <f t="shared" si="137"/>
        <v>#DIV/0!</v>
      </c>
      <c r="L410" s="671" t="e">
        <f>IF((K410-'Children YEAR3'!K410)&gt;0, K410-'Children YEAR3'!K410, "0")</f>
        <v>#DIV/0!</v>
      </c>
    </row>
    <row r="411" spans="2:12" x14ac:dyDescent="0.2">
      <c r="B411" s="668"/>
      <c r="C411" s="413" t="str">
        <v>D4T+ 3TC bébé</v>
      </c>
      <c r="D411" s="414" t="str">
        <v>6/30 mg</v>
      </c>
      <c r="E411" s="656">
        <v>0</v>
      </c>
      <c r="F411" s="656">
        <v>0</v>
      </c>
      <c r="G411" s="656">
        <v>0</v>
      </c>
      <c r="H411" s="656">
        <v>0</v>
      </c>
      <c r="I411" s="585">
        <f>H134</f>
        <v>0</v>
      </c>
      <c r="J411" s="1327">
        <f t="shared" ref="J411" si="139">SUM(E411:I411)</f>
        <v>0</v>
      </c>
      <c r="K411" s="1441">
        <f t="shared" si="137"/>
        <v>0</v>
      </c>
      <c r="L411" s="671" t="str">
        <f>IF((K411-'Children YEAR3'!K411)&gt;0, K411-'Children YEAR3'!K411, "0")</f>
        <v>0</v>
      </c>
    </row>
    <row r="412" spans="2:12" ht="25.5" x14ac:dyDescent="0.2">
      <c r="B412" s="668"/>
      <c r="C412" s="413" t="str">
        <v>AZT+ 3TC+ ABC adulte</v>
      </c>
      <c r="D412" s="414" t="str">
        <v>300/150/300 mg</v>
      </c>
      <c r="E412" s="656">
        <v>0</v>
      </c>
      <c r="F412" s="656">
        <v>0</v>
      </c>
      <c r="G412" s="656">
        <v>0</v>
      </c>
      <c r="H412" s="656">
        <v>0</v>
      </c>
      <c r="I412" s="585"/>
      <c r="J412" s="1327">
        <f t="shared" si="138"/>
        <v>0</v>
      </c>
      <c r="K412" s="1441">
        <f t="shared" si="137"/>
        <v>0</v>
      </c>
      <c r="L412" s="671" t="str">
        <f>IF((K412-'Children YEAR3'!K412)&gt;0, K412-'Children YEAR3'!K412, "0")</f>
        <v>0</v>
      </c>
    </row>
    <row r="413" spans="2:12" ht="25.5" x14ac:dyDescent="0.2">
      <c r="B413" s="668"/>
      <c r="C413" s="413" t="str">
        <v>AZT+ 3TC+ ABC bébé</v>
      </c>
      <c r="D413" s="414" t="str">
        <v>60/30/60 mg</v>
      </c>
      <c r="E413" s="656">
        <v>0</v>
      </c>
      <c r="F413" s="656">
        <v>0</v>
      </c>
      <c r="G413" s="656">
        <v>0</v>
      </c>
      <c r="H413" s="656">
        <v>0</v>
      </c>
      <c r="I413" s="585"/>
      <c r="J413" s="1327">
        <f t="shared" si="138"/>
        <v>0</v>
      </c>
      <c r="K413" s="1441">
        <f t="shared" si="137"/>
        <v>0</v>
      </c>
      <c r="L413" s="671" t="str">
        <f>IF((K413-'Children YEAR3'!K413)&gt;0, K413-'Children YEAR3'!K413, "0")</f>
        <v>0</v>
      </c>
    </row>
    <row r="414" spans="2:12" ht="25.5" x14ac:dyDescent="0.2">
      <c r="B414" s="668"/>
      <c r="C414" s="413" t="str">
        <v>ABC+ 3TC adulte</v>
      </c>
      <c r="D414" s="414" t="str">
        <v>600/300 mg</v>
      </c>
      <c r="E414" s="656" t="e">
        <v>#DIV/0!</v>
      </c>
      <c r="F414" s="656" t="e">
        <v>#DIV/0!</v>
      </c>
      <c r="G414" s="656">
        <v>0</v>
      </c>
      <c r="H414" s="656">
        <v>0</v>
      </c>
      <c r="I414" s="585"/>
      <c r="J414" s="1327" t="e">
        <f t="shared" si="138"/>
        <v>#DIV/0!</v>
      </c>
      <c r="K414" s="1441" t="e">
        <f t="shared" si="137"/>
        <v>#DIV/0!</v>
      </c>
      <c r="L414" s="671" t="e">
        <f>IF((K414-'Children YEAR3'!K414)&gt;0, K414-'Children YEAR3'!K414, "0")</f>
        <v>#DIV/0!</v>
      </c>
    </row>
    <row r="415" spans="2:12" x14ac:dyDescent="0.2">
      <c r="B415" s="668"/>
      <c r="C415" s="418" t="str">
        <v>ABC+ 3TC bébé</v>
      </c>
      <c r="D415" s="419" t="str">
        <v>60/30 mg</v>
      </c>
      <c r="E415" s="1326">
        <v>0</v>
      </c>
      <c r="F415" s="1326" t="e">
        <v>#DIV/0!</v>
      </c>
      <c r="G415" s="1326" t="e">
        <v>#DIV/0!</v>
      </c>
      <c r="H415" s="1326" t="e">
        <v>#DIV/0!</v>
      </c>
      <c r="I415" s="585"/>
      <c r="J415" s="1327" t="e">
        <f t="shared" si="138"/>
        <v>#DIV/0!</v>
      </c>
      <c r="K415" s="1441" t="e">
        <f t="shared" si="137"/>
        <v>#DIV/0!</v>
      </c>
      <c r="L415" s="671" t="e">
        <f>IF((K415-'Children YEAR3'!K415)&gt;0, K415-'Children YEAR3'!K415, "0")</f>
        <v>#DIV/0!</v>
      </c>
    </row>
    <row r="416" spans="2:12" ht="25.5" x14ac:dyDescent="0.2">
      <c r="B416" s="668"/>
      <c r="C416" s="418" t="str">
        <v>TDF+ FTC/3TC+ EFV adulte</v>
      </c>
      <c r="D416" s="419" t="str">
        <v>300/200/600 mg</v>
      </c>
      <c r="E416" s="1963">
        <v>0</v>
      </c>
      <c r="F416" s="1963">
        <v>0</v>
      </c>
      <c r="G416" s="1963">
        <v>0</v>
      </c>
      <c r="H416" s="1963">
        <v>0</v>
      </c>
      <c r="I416" s="585"/>
      <c r="J416" s="1327">
        <f>SUM(E416:I416)</f>
        <v>0</v>
      </c>
      <c r="K416" s="1441">
        <f t="shared" si="137"/>
        <v>0</v>
      </c>
      <c r="L416" s="671" t="str">
        <f>IF((K416-'Children YEAR3'!K416)&gt;0, K416-'Children YEAR3'!K416, "0")</f>
        <v>0</v>
      </c>
    </row>
    <row r="417" spans="1:14" ht="25.5" x14ac:dyDescent="0.2">
      <c r="B417" s="668"/>
      <c r="C417" s="418" t="str">
        <v>TDF+ FTC/3TC adulte</v>
      </c>
      <c r="D417" s="419" t="str">
        <v>300/200 mg</v>
      </c>
      <c r="E417" s="1963">
        <v>0</v>
      </c>
      <c r="F417" s="1963">
        <v>0</v>
      </c>
      <c r="G417" s="1963">
        <v>0</v>
      </c>
      <c r="H417" s="1963" t="e">
        <v>#DIV/0!</v>
      </c>
      <c r="I417" s="585"/>
      <c r="J417" s="1327" t="e">
        <f t="shared" ref="J417:J418" si="140">SUM(E417:I417)</f>
        <v>#DIV/0!</v>
      </c>
      <c r="K417" s="1441" t="e">
        <f t="shared" ref="K417:K418" si="141">J417-J381</f>
        <v>#DIV/0!</v>
      </c>
      <c r="L417" s="671" t="e">
        <f>IF((K417-'Children YEAR3'!K417)&gt;0, K417-'Children YEAR3'!K417, "0")</f>
        <v>#DIV/0!</v>
      </c>
    </row>
    <row r="418" spans="1:14" x14ac:dyDescent="0.2">
      <c r="B418" s="668"/>
      <c r="C418" s="418" t="str">
        <v>TDF adulte</v>
      </c>
      <c r="D418" s="419" t="str">
        <v>300 mg</v>
      </c>
      <c r="E418" s="1963">
        <v>0</v>
      </c>
      <c r="F418" s="1963">
        <v>0</v>
      </c>
      <c r="G418" s="1963">
        <v>0</v>
      </c>
      <c r="H418" s="1963">
        <v>0</v>
      </c>
      <c r="I418" s="585"/>
      <c r="J418" s="1327">
        <f t="shared" si="140"/>
        <v>0</v>
      </c>
      <c r="K418" s="1441">
        <f t="shared" si="141"/>
        <v>0</v>
      </c>
      <c r="L418" s="671" t="str">
        <f>IF((K418-'Children YEAR3'!K418)&gt;0, K418-'Children YEAR3'!K418, "0")</f>
        <v>0</v>
      </c>
    </row>
    <row r="419" spans="1:14" x14ac:dyDescent="0.2">
      <c r="B419" s="668"/>
      <c r="C419" s="418" t="str">
        <v>3TC adulte</v>
      </c>
      <c r="D419" s="419" t="str">
        <v>150 mg</v>
      </c>
      <c r="E419" s="1326">
        <v>0</v>
      </c>
      <c r="F419" s="1326">
        <v>0</v>
      </c>
      <c r="G419" s="1326">
        <v>0</v>
      </c>
      <c r="H419" s="1326">
        <v>0</v>
      </c>
      <c r="I419" s="585"/>
      <c r="J419" s="1327">
        <f t="shared" si="138"/>
        <v>0</v>
      </c>
      <c r="K419" s="1441">
        <f t="shared" ref="K419:K427" si="142">J419-J383</f>
        <v>0</v>
      </c>
      <c r="L419" s="671" t="str">
        <f>IF((K419-'Children YEAR3'!K419)&gt;0, K419-'Children YEAR3'!K419, "0")</f>
        <v>0</v>
      </c>
    </row>
    <row r="420" spans="1:14" x14ac:dyDescent="0.2">
      <c r="B420" s="668"/>
      <c r="C420" s="413" t="str">
        <v>ABC adulte</v>
      </c>
      <c r="D420" s="419" t="str">
        <v>300 mg</v>
      </c>
      <c r="E420" s="1358">
        <v>0</v>
      </c>
      <c r="F420" s="1358">
        <v>0</v>
      </c>
      <c r="G420" s="1358">
        <v>0</v>
      </c>
      <c r="H420" s="1358">
        <v>0</v>
      </c>
      <c r="I420" s="585"/>
      <c r="J420" s="1327">
        <f t="shared" si="138"/>
        <v>0</v>
      </c>
      <c r="K420" s="1441">
        <f t="shared" si="142"/>
        <v>0</v>
      </c>
      <c r="L420" s="671" t="str">
        <f>IF((K420-'Children YEAR3'!K420)&gt;0, K420-'Children YEAR3'!K420, "0")</f>
        <v>0</v>
      </c>
    </row>
    <row r="421" spans="1:14" x14ac:dyDescent="0.2">
      <c r="B421" s="668"/>
      <c r="C421" s="413" t="str">
        <v>ABC bébé</v>
      </c>
      <c r="D421" s="419" t="str">
        <v>60 mg</v>
      </c>
      <c r="E421" s="1358" t="e">
        <v>#DIV/0!</v>
      </c>
      <c r="F421" s="1358">
        <v>0</v>
      </c>
      <c r="G421" s="1358">
        <v>0</v>
      </c>
      <c r="H421" s="1358">
        <v>0</v>
      </c>
      <c r="I421" s="585"/>
      <c r="J421" s="1327" t="e">
        <f t="shared" si="138"/>
        <v>#DIV/0!</v>
      </c>
      <c r="K421" s="1441" t="e">
        <f t="shared" si="142"/>
        <v>#DIV/0!</v>
      </c>
      <c r="L421" s="671" t="e">
        <f>IF((K421-'Children YEAR3'!K421)&gt;0, K421-'Children YEAR3'!K421, "0")</f>
        <v>#DIV/0!</v>
      </c>
    </row>
    <row r="422" spans="1:14" x14ac:dyDescent="0.2">
      <c r="B422" s="668"/>
      <c r="C422" s="413" t="str">
        <v>DDI adulte</v>
      </c>
      <c r="D422" s="419" t="str">
        <v>250 mg</v>
      </c>
      <c r="E422" s="1358">
        <v>0</v>
      </c>
      <c r="F422" s="1358">
        <v>0</v>
      </c>
      <c r="G422" s="1358">
        <v>0</v>
      </c>
      <c r="H422" s="1358">
        <v>0</v>
      </c>
      <c r="I422" s="585"/>
      <c r="J422" s="657">
        <f t="shared" si="138"/>
        <v>0</v>
      </c>
      <c r="K422" s="1438">
        <f t="shared" si="142"/>
        <v>0</v>
      </c>
      <c r="L422" s="671" t="str">
        <f>IF((K422-'Children YEAR3'!K422)&gt;0, K422-'Children YEAR3'!K422, "0")</f>
        <v>0</v>
      </c>
    </row>
    <row r="423" spans="1:14" x14ac:dyDescent="0.2">
      <c r="B423" s="668"/>
      <c r="C423" s="413" t="str">
        <v>NVP adulte</v>
      </c>
      <c r="D423" s="419" t="str">
        <v>200 mg</v>
      </c>
      <c r="E423" s="1358">
        <v>0</v>
      </c>
      <c r="F423" s="1358">
        <v>0</v>
      </c>
      <c r="G423" s="1358">
        <v>0</v>
      </c>
      <c r="H423" s="1358">
        <v>0</v>
      </c>
      <c r="I423" s="585"/>
      <c r="J423" s="657">
        <f t="shared" ref="J423" si="143">SUM(E423:I423)</f>
        <v>0</v>
      </c>
      <c r="K423" s="1438">
        <f t="shared" si="142"/>
        <v>0</v>
      </c>
      <c r="L423" s="671" t="str">
        <f>IF((K423-'Children YEAR3'!K423)&gt;0, K423-'Children YEAR3'!K423, "0")</f>
        <v>0</v>
      </c>
    </row>
    <row r="424" spans="1:14" x14ac:dyDescent="0.2">
      <c r="B424" s="668"/>
      <c r="C424" s="413" t="str">
        <v>NVP bébé</v>
      </c>
      <c r="D424" s="419" t="str">
        <v>50 mg</v>
      </c>
      <c r="E424" s="1358">
        <v>0</v>
      </c>
      <c r="F424" s="1358" t="e">
        <v>#DIV/0!</v>
      </c>
      <c r="G424" s="1358" t="e">
        <v>#DIV/0!</v>
      </c>
      <c r="H424" s="1358" t="e">
        <v>#DIV/0!</v>
      </c>
      <c r="I424" s="585"/>
      <c r="J424" s="657" t="e">
        <f t="shared" ref="J424" si="144">SUM(E424:I424)</f>
        <v>#DIV/0!</v>
      </c>
      <c r="K424" s="1438" t="e">
        <f t="shared" si="142"/>
        <v>#DIV/0!</v>
      </c>
      <c r="L424" s="671" t="e">
        <f>IF((K424-'Children YEAR3'!K424)&gt;0, K424-'Children YEAR3'!K424, "0")</f>
        <v>#DIV/0!</v>
      </c>
    </row>
    <row r="425" spans="1:14" x14ac:dyDescent="0.2">
      <c r="B425" s="668"/>
      <c r="C425" s="413" t="str">
        <v>EFV enfant</v>
      </c>
      <c r="D425" s="419" t="str">
        <v>200 mg</v>
      </c>
      <c r="E425" s="1358">
        <v>0</v>
      </c>
      <c r="F425" s="1358" t="e">
        <v>#DIV/0!</v>
      </c>
      <c r="G425" s="1358" t="e">
        <v>#DIV/0!</v>
      </c>
      <c r="H425" s="1358" t="e">
        <v>#DIV/0!</v>
      </c>
      <c r="I425" s="585"/>
      <c r="J425" s="657" t="e">
        <f t="shared" si="138"/>
        <v>#DIV/0!</v>
      </c>
      <c r="K425" s="1438" t="e">
        <f t="shared" si="142"/>
        <v>#DIV/0!</v>
      </c>
      <c r="L425" s="671" t="e">
        <f>IF((K425-'Children YEAR3'!K425)&gt;0, K425-'Children YEAR3'!K425, "0")</f>
        <v>#DIV/0!</v>
      </c>
    </row>
    <row r="426" spans="1:14" x14ac:dyDescent="0.2">
      <c r="B426" s="668"/>
      <c r="C426" s="413" t="str">
        <v>LPV/r adulte</v>
      </c>
      <c r="D426" s="419" t="str">
        <v>200/50 mg</v>
      </c>
      <c r="E426" s="1358">
        <v>0</v>
      </c>
      <c r="F426" s="1358">
        <v>0</v>
      </c>
      <c r="G426" s="1358">
        <v>0</v>
      </c>
      <c r="H426" s="1358">
        <v>0</v>
      </c>
      <c r="I426" s="585"/>
      <c r="J426" s="657">
        <f t="shared" si="138"/>
        <v>0</v>
      </c>
      <c r="K426" s="1438">
        <f t="shared" si="142"/>
        <v>0</v>
      </c>
      <c r="L426" s="671" t="str">
        <f>IF((K426-'Children YEAR3'!K426)&gt;0, K426-'Children YEAR3'!K426, "0")</f>
        <v>0</v>
      </c>
    </row>
    <row r="427" spans="1:14" ht="13.5" thickBot="1" x14ac:dyDescent="0.25">
      <c r="B427" s="669"/>
      <c r="C427" s="422" t="str">
        <v>LPV/r enfant</v>
      </c>
      <c r="D427" s="423" t="str">
        <v>100/25 mg</v>
      </c>
      <c r="E427" s="1359">
        <v>0</v>
      </c>
      <c r="F427" s="1359" t="e">
        <v>#DIV/0!</v>
      </c>
      <c r="G427" s="1359" t="e">
        <v>#DIV/0!</v>
      </c>
      <c r="H427" s="1359" t="e">
        <v>#DIV/0!</v>
      </c>
      <c r="I427" s="665"/>
      <c r="J427" s="666" t="e">
        <f t="shared" si="138"/>
        <v>#DIV/0!</v>
      </c>
      <c r="K427" s="1440" t="e">
        <f t="shared" si="142"/>
        <v>#DIV/0!</v>
      </c>
      <c r="L427" s="674" t="e">
        <f>IF((K427-'Children YEAR3'!K427)&gt;0, K427-'Children YEAR3'!K427, "0")</f>
        <v>#DIV/0!</v>
      </c>
    </row>
    <row r="430" spans="1:14" s="263" customFormat="1" ht="15.75" thickBot="1" x14ac:dyDescent="0.3">
      <c r="A430" s="2196" t="str">
        <f>'TRAD-Children YEAR(1)'!B132</f>
        <v>Synthèse</v>
      </c>
      <c r="B430" s="2196"/>
      <c r="C430" s="2196"/>
      <c r="D430" s="2196"/>
      <c r="E430" s="2196"/>
      <c r="F430" s="2196"/>
      <c r="G430" s="2196"/>
      <c r="H430" s="2196"/>
      <c r="I430" s="2196"/>
      <c r="J430" s="2196"/>
      <c r="K430" s="2196"/>
      <c r="L430" s="2196"/>
      <c r="M430" s="2196"/>
      <c r="N430" s="2196"/>
    </row>
    <row r="431" spans="1:14" x14ac:dyDescent="0.2">
      <c r="G431" s="497"/>
      <c r="H431" s="497"/>
    </row>
    <row r="432" spans="1:14" ht="15" x14ac:dyDescent="0.2">
      <c r="B432" s="2143" t="str">
        <f>'TRAD-Children YEAR(2)'!B32</f>
        <v>Quantification des besoins en ARV pour la prise en charge pédiatrique sur l'année 1</v>
      </c>
      <c r="C432" s="2143"/>
      <c r="D432" s="2143"/>
      <c r="E432" s="2143"/>
      <c r="F432" s="2143"/>
      <c r="G432" s="2143"/>
      <c r="H432" s="2143"/>
      <c r="I432" s="2143"/>
      <c r="J432" s="2143"/>
      <c r="K432" s="2143"/>
      <c r="L432" s="2143"/>
      <c r="M432" s="2143"/>
    </row>
    <row r="433" spans="2:12" ht="13.5" thickBot="1" x14ac:dyDescent="0.25">
      <c r="G433" s="675"/>
      <c r="H433" s="675"/>
    </row>
    <row r="434" spans="2:12" ht="102.75" thickBot="1" x14ac:dyDescent="0.25">
      <c r="B434" s="676"/>
      <c r="C434" s="368" t="str">
        <f>'TRAD-Children YEAR(1)'!B67</f>
        <v>Composition</v>
      </c>
      <c r="D434" s="369" t="str">
        <f>'TRAD-Children YEAR(1)'!B54</f>
        <v xml:space="preserve">Forme galénique </v>
      </c>
      <c r="E434" s="369" t="str">
        <f>'TRAD-Children YEAR(1)'!B68</f>
        <v>Dosage</v>
      </c>
      <c r="F434" s="369" t="str">
        <f>'TRAD-Children YEAR(1)'!B69</f>
        <v>Nom de spécialité</v>
      </c>
      <c r="G434" s="369"/>
      <c r="H434" s="369" t="str">
        <f>'TRAD-Children YEAR(1)'!B70</f>
        <v>Volume conditionnement primaire (mL)</v>
      </c>
      <c r="I434" s="370" t="str">
        <f>'TRAD-Children YEAR(1)'!B71</f>
        <v>Conditionement secondaire</v>
      </c>
      <c r="J434" s="643" t="str">
        <f>'TRAD-Children YEAR(1)'!B73</f>
        <v>Qtés totales Nb de boites / flacons</v>
      </c>
      <c r="K434" s="643" t="str">
        <f>'TRAD-Children YEAR(1)'!B148</f>
        <v>Différence de marge de sécurité / année précédente (nb de boites / flacons)</v>
      </c>
      <c r="L434" s="677" t="str">
        <f>'TRAD-Children YEAR(1)'!B149</f>
        <v>Total + Différence de marge (nb de boîtes / flacons)</v>
      </c>
    </row>
    <row r="435" spans="2:12" x14ac:dyDescent="0.2">
      <c r="B435" s="676" t="str">
        <f>'TRAD-Children YEAR(1)'!B90</f>
        <v>Solutions buvables</v>
      </c>
      <c r="C435" s="607" t="s">
        <v>39</v>
      </c>
      <c r="D435" s="611" t="str">
        <f>'TRAD-Children YEAR(1)'!B74</f>
        <v>sol buv</v>
      </c>
      <c r="E435" s="611" t="s">
        <v>41</v>
      </c>
      <c r="F435" s="374" t="s">
        <v>42</v>
      </c>
      <c r="G435" s="374"/>
      <c r="H435" s="410">
        <f>G141</f>
        <v>240</v>
      </c>
      <c r="I435" s="411">
        <f>H141</f>
        <v>1</v>
      </c>
      <c r="J435" s="678">
        <f>J361</f>
        <v>0</v>
      </c>
      <c r="K435" s="679" t="str">
        <f t="shared" ref="K435:K442" si="145">L397</f>
        <v>0</v>
      </c>
      <c r="L435" s="1360">
        <f>J435+K435</f>
        <v>0</v>
      </c>
    </row>
    <row r="436" spans="2:12" x14ac:dyDescent="0.2">
      <c r="B436" s="680"/>
      <c r="C436" s="608" t="s">
        <v>61</v>
      </c>
      <c r="D436" s="613" t="str">
        <f>'TRAD-Children YEAR(1)'!B74</f>
        <v>sol buv</v>
      </c>
      <c r="E436" s="613" t="s">
        <v>41</v>
      </c>
      <c r="F436" s="382" t="s">
        <v>133</v>
      </c>
      <c r="G436" s="382"/>
      <c r="H436" s="415">
        <f t="shared" ref="H436:I442" si="146">G142</f>
        <v>240</v>
      </c>
      <c r="I436" s="416">
        <f t="shared" si="146"/>
        <v>1</v>
      </c>
      <c r="J436" s="681">
        <f>J362</f>
        <v>0</v>
      </c>
      <c r="K436" s="682" t="str">
        <f t="shared" si="145"/>
        <v>0</v>
      </c>
      <c r="L436" s="1361">
        <f t="shared" ref="L436:L442" si="147">J436+K436</f>
        <v>0</v>
      </c>
    </row>
    <row r="437" spans="2:12" x14ac:dyDescent="0.2">
      <c r="B437" s="680"/>
      <c r="C437" s="615" t="s">
        <v>15</v>
      </c>
      <c r="D437" s="616" t="str">
        <f>'TRAD-Children YEAR(1)'!B74</f>
        <v>sol buv</v>
      </c>
      <c r="E437" s="616" t="s">
        <v>41</v>
      </c>
      <c r="F437" s="391" t="s">
        <v>43</v>
      </c>
      <c r="G437" s="391"/>
      <c r="H437" s="420">
        <f t="shared" si="146"/>
        <v>240</v>
      </c>
      <c r="I437" s="421">
        <f t="shared" si="146"/>
        <v>1</v>
      </c>
      <c r="J437" s="683">
        <f>ROUNDUP(J363, 0)</f>
        <v>0</v>
      </c>
      <c r="K437" s="684" t="str">
        <f t="shared" si="145"/>
        <v>0</v>
      </c>
      <c r="L437" s="1361">
        <f t="shared" si="147"/>
        <v>0</v>
      </c>
    </row>
    <row r="438" spans="2:12" x14ac:dyDescent="0.2">
      <c r="B438" s="680"/>
      <c r="C438" s="615" t="s">
        <v>25</v>
      </c>
      <c r="D438" s="616" t="str">
        <f>'TRAD-Children YEAR(1)'!B74</f>
        <v>sol buv</v>
      </c>
      <c r="E438" s="616" t="s">
        <v>44</v>
      </c>
      <c r="F438" s="391" t="s">
        <v>26</v>
      </c>
      <c r="G438" s="391"/>
      <c r="H438" s="420">
        <f t="shared" si="146"/>
        <v>240</v>
      </c>
      <c r="I438" s="421">
        <f t="shared" si="146"/>
        <v>1</v>
      </c>
      <c r="J438" s="683">
        <f>ROUNDUP(J364, 0)</f>
        <v>0</v>
      </c>
      <c r="K438" s="684" t="str">
        <f t="shared" si="145"/>
        <v>0</v>
      </c>
      <c r="L438" s="1361">
        <f t="shared" si="147"/>
        <v>0</v>
      </c>
    </row>
    <row r="439" spans="2:12" x14ac:dyDescent="0.2">
      <c r="B439" s="680"/>
      <c r="C439" s="615" t="s">
        <v>28</v>
      </c>
      <c r="D439" s="616" t="str">
        <f>'TRAD-Children YEAR(1)'!B74</f>
        <v>sol buv</v>
      </c>
      <c r="E439" s="616" t="s">
        <v>46</v>
      </c>
      <c r="F439" s="391" t="s">
        <v>30</v>
      </c>
      <c r="G439" s="391"/>
      <c r="H439" s="420">
        <f t="shared" si="146"/>
        <v>200</v>
      </c>
      <c r="I439" s="421">
        <f t="shared" si="146"/>
        <v>1</v>
      </c>
      <c r="J439" s="683">
        <f>J365</f>
        <v>0</v>
      </c>
      <c r="K439" s="684" t="str">
        <f t="shared" si="145"/>
        <v>0</v>
      </c>
      <c r="L439" s="1361">
        <f t="shared" si="147"/>
        <v>0</v>
      </c>
    </row>
    <row r="440" spans="2:12" x14ac:dyDescent="0.2">
      <c r="B440" s="680"/>
      <c r="C440" s="615" t="s">
        <v>19</v>
      </c>
      <c r="D440" s="616" t="str">
        <f>'TRAD-Children YEAR(1)'!B74</f>
        <v>sol buv</v>
      </c>
      <c r="E440" s="616" t="s">
        <v>41</v>
      </c>
      <c r="F440" s="391" t="s">
        <v>21</v>
      </c>
      <c r="G440" s="391"/>
      <c r="H440" s="420">
        <f t="shared" si="146"/>
        <v>240</v>
      </c>
      <c r="I440" s="421">
        <f t="shared" si="146"/>
        <v>1</v>
      </c>
      <c r="J440" s="683" t="e">
        <f>J366</f>
        <v>#DIV/0!</v>
      </c>
      <c r="K440" s="684" t="e">
        <f t="shared" si="145"/>
        <v>#DIV/0!</v>
      </c>
      <c r="L440" s="1361" t="e">
        <f t="shared" si="147"/>
        <v>#DIV/0!</v>
      </c>
    </row>
    <row r="441" spans="2:12" x14ac:dyDescent="0.2">
      <c r="B441" s="680"/>
      <c r="C441" s="615" t="s">
        <v>17</v>
      </c>
      <c r="D441" s="616" t="str">
        <f>'TRAD-Children YEAR(1)'!B74</f>
        <v>sol buv</v>
      </c>
      <c r="E441" s="616" t="s">
        <v>259</v>
      </c>
      <c r="F441" s="391" t="s">
        <v>249</v>
      </c>
      <c r="G441" s="391"/>
      <c r="H441" s="420">
        <f t="shared" si="146"/>
        <v>180</v>
      </c>
      <c r="I441" s="421">
        <f t="shared" si="146"/>
        <v>1</v>
      </c>
      <c r="J441" s="683" t="e">
        <f>J367</f>
        <v>#DIV/0!</v>
      </c>
      <c r="K441" s="684" t="e">
        <f t="shared" si="145"/>
        <v>#DIV/0!</v>
      </c>
      <c r="L441" s="1361" t="e">
        <f t="shared" si="147"/>
        <v>#DIV/0!</v>
      </c>
    </row>
    <row r="442" spans="2:12" ht="13.5" thickBot="1" x14ac:dyDescent="0.25">
      <c r="B442" s="685"/>
      <c r="C442" s="615" t="s">
        <v>33</v>
      </c>
      <c r="D442" s="616" t="str">
        <f>'TRAD-Children YEAR(1)'!B74</f>
        <v>sol buv</v>
      </c>
      <c r="E442" s="616" t="s">
        <v>47</v>
      </c>
      <c r="F442" s="391" t="s">
        <v>48</v>
      </c>
      <c r="G442" s="391"/>
      <c r="H442" s="420">
        <f t="shared" si="146"/>
        <v>60</v>
      </c>
      <c r="I442" s="421">
        <f t="shared" si="146"/>
        <v>4</v>
      </c>
      <c r="J442" s="683" t="e">
        <f>ROUNDUP(J368, 0)</f>
        <v>#DIV/0!</v>
      </c>
      <c r="K442" s="684" t="e">
        <f t="shared" si="145"/>
        <v>#DIV/0!</v>
      </c>
      <c r="L442" s="1362" t="e">
        <f t="shared" si="147"/>
        <v>#DIV/0!</v>
      </c>
    </row>
    <row r="443" spans="2:12" ht="102.75" thickBot="1" x14ac:dyDescent="0.25">
      <c r="B443" s="685"/>
      <c r="C443" s="368" t="str">
        <f>'TRAD-Children YEAR(1)'!B67</f>
        <v>Composition</v>
      </c>
      <c r="D443" s="369" t="str">
        <f>'TRAD-Children YEAR(1)'!B54</f>
        <v xml:space="preserve">Forme galénique </v>
      </c>
      <c r="E443" s="369" t="str">
        <f>'TRAD-Children YEAR(1)'!B68</f>
        <v>Dosage</v>
      </c>
      <c r="F443" s="369" t="str">
        <f>'TRAD-Children YEAR(1)'!B69</f>
        <v>Nom de spécialité</v>
      </c>
      <c r="G443" s="369" t="str">
        <f>'TRAD-Children YEAR(1)'!B135</f>
        <v>Nom de générique possible</v>
      </c>
      <c r="H443" s="369" t="str">
        <f>'TRAD-Children YEAR(1)'!B136</f>
        <v>Conditionnement</v>
      </c>
      <c r="I443" s="370"/>
      <c r="J443" s="643" t="str">
        <f>'TRAD-Children YEAR(1)'!B73</f>
        <v>Qtés totales Nb de boites / flacons</v>
      </c>
      <c r="K443" s="643" t="str">
        <f>'TRAD-Children YEAR(1)'!B148</f>
        <v>Différence de marge de sécurité / année précédente (nb de boites / flacons)</v>
      </c>
      <c r="L443" s="677" t="str">
        <f>'TRAD-Children YEAR(1)'!B149</f>
        <v>Total + Différence de marge (nb de boîtes / flacons)</v>
      </c>
    </row>
    <row r="444" spans="2:12" x14ac:dyDescent="0.2">
      <c r="B444" s="676" t="str">
        <f>'TRAD-Children YEAR(1)'!B91</f>
        <v>Comprimés</v>
      </c>
      <c r="C444" s="1978" t="str">
        <f t="array" ref="C444:C454">'Data &amp; hypothesis Children'!$C$238:$D$260</f>
        <v>AZT+ 3TC+ NVP adulte</v>
      </c>
      <c r="D444" s="611" t="str">
        <f>'TRAD-Children YEAR(1)'!B91</f>
        <v>Comprimés</v>
      </c>
      <c r="E444" s="611" t="s">
        <v>9</v>
      </c>
      <c r="F444" s="374"/>
      <c r="G444" s="374" t="s">
        <v>10</v>
      </c>
      <c r="H444" s="410">
        <f>'Available Stocks'!K13</f>
        <v>60</v>
      </c>
      <c r="I444" s="411"/>
      <c r="J444" s="678">
        <f t="shared" ref="J444:J450" si="148">J369</f>
        <v>0</v>
      </c>
      <c r="K444" s="679" t="str">
        <f t="shared" ref="K444:K450" si="149">L405</f>
        <v>0</v>
      </c>
      <c r="L444" s="1360">
        <f t="shared" ref="L444:L454" si="150">J444+K444</f>
        <v>0</v>
      </c>
    </row>
    <row r="445" spans="2:12" x14ac:dyDescent="0.2">
      <c r="B445" s="680"/>
      <c r="C445" s="1979" t="str">
        <v>AZT+ 3TC+ NVP bébé</v>
      </c>
      <c r="D445" s="841" t="str">
        <f>'TRAD-Children YEAR(1)'!B91</f>
        <v>Comprimés</v>
      </c>
      <c r="E445" s="841" t="s">
        <v>384</v>
      </c>
      <c r="F445" s="842"/>
      <c r="G445" s="842" t="s">
        <v>385</v>
      </c>
      <c r="H445" s="415">
        <f>'Available Stocks'!K14</f>
        <v>60</v>
      </c>
      <c r="I445" s="416"/>
      <c r="J445" s="683" t="e">
        <f t="shared" si="148"/>
        <v>#DIV/0!</v>
      </c>
      <c r="K445" s="684" t="e">
        <f t="shared" si="149"/>
        <v>#DIV/0!</v>
      </c>
      <c r="L445" s="1361" t="e">
        <f t="shared" si="150"/>
        <v>#DIV/0!</v>
      </c>
    </row>
    <row r="446" spans="2:12" x14ac:dyDescent="0.2">
      <c r="B446" s="680"/>
      <c r="C446" s="1979" t="str">
        <v>AZT+ 3TC adulte</v>
      </c>
      <c r="D446" s="613" t="str">
        <f>'TRAD-Children YEAR(1)'!B91</f>
        <v>Comprimés</v>
      </c>
      <c r="E446" s="613" t="s">
        <v>12</v>
      </c>
      <c r="F446" s="382" t="s">
        <v>13</v>
      </c>
      <c r="G446" s="382" t="s">
        <v>14</v>
      </c>
      <c r="H446" s="415">
        <f>'Available Stocks'!K18</f>
        <v>60</v>
      </c>
      <c r="I446" s="416"/>
      <c r="J446" s="683">
        <f t="shared" si="148"/>
        <v>0</v>
      </c>
      <c r="K446" s="684" t="str">
        <f t="shared" si="149"/>
        <v>0</v>
      </c>
      <c r="L446" s="1361">
        <f t="shared" si="150"/>
        <v>0</v>
      </c>
    </row>
    <row r="447" spans="2:12" x14ac:dyDescent="0.2">
      <c r="B447" s="680"/>
      <c r="C447" s="1979" t="str">
        <v>AZT+ 3TC bébé</v>
      </c>
      <c r="D447" s="841" t="str">
        <f>'TRAD-Children YEAR(1)'!B91</f>
        <v>Comprimés</v>
      </c>
      <c r="E447" s="841" t="s">
        <v>382</v>
      </c>
      <c r="F447" s="842"/>
      <c r="G447" s="842" t="s">
        <v>383</v>
      </c>
      <c r="H447" s="415">
        <f>'Available Stocks'!K19</f>
        <v>60</v>
      </c>
      <c r="I447" s="416"/>
      <c r="J447" s="683" t="e">
        <f t="shared" si="148"/>
        <v>#DIV/0!</v>
      </c>
      <c r="K447" s="684" t="e">
        <f t="shared" si="149"/>
        <v>#DIV/0!</v>
      </c>
      <c r="L447" s="1361" t="e">
        <f t="shared" si="150"/>
        <v>#DIV/0!</v>
      </c>
    </row>
    <row r="448" spans="2:12" x14ac:dyDescent="0.2">
      <c r="B448" s="680"/>
      <c r="C448" s="1979" t="str">
        <v>D4T+ 3TC+ NVP adulte</v>
      </c>
      <c r="D448" s="616" t="str">
        <f>'TRAD-Children YEAR(1)'!B91</f>
        <v>Comprimés</v>
      </c>
      <c r="E448" s="616" t="s">
        <v>80</v>
      </c>
      <c r="F448" s="391"/>
      <c r="G448" s="391" t="s">
        <v>79</v>
      </c>
      <c r="H448" s="415">
        <f>'Available Stocks'!K22</f>
        <v>60</v>
      </c>
      <c r="I448" s="421"/>
      <c r="J448" s="683">
        <f t="shared" si="148"/>
        <v>0</v>
      </c>
      <c r="K448" s="684" t="str">
        <f t="shared" si="149"/>
        <v>0</v>
      </c>
      <c r="L448" s="1361">
        <f t="shared" si="150"/>
        <v>0</v>
      </c>
    </row>
    <row r="449" spans="2:12" x14ac:dyDescent="0.2">
      <c r="B449" s="680"/>
      <c r="C449" s="1979" t="str">
        <v>D4T+ 3TC+ NVP bébé</v>
      </c>
      <c r="D449" s="613" t="str">
        <f>'TRAD-Children YEAR(1)'!B91</f>
        <v>Comprimés</v>
      </c>
      <c r="E449" s="613" t="s">
        <v>131</v>
      </c>
      <c r="F449" s="382"/>
      <c r="G449" s="382" t="s">
        <v>132</v>
      </c>
      <c r="H449" s="415">
        <f>'Available Stocks'!K23</f>
        <v>60</v>
      </c>
      <c r="I449" s="416"/>
      <c r="J449" s="683" t="e">
        <f t="shared" si="148"/>
        <v>#DIV/0!</v>
      </c>
      <c r="K449" s="684" t="e">
        <f t="shared" si="149"/>
        <v>#DIV/0!</v>
      </c>
      <c r="L449" s="1361" t="e">
        <f t="shared" si="150"/>
        <v>#DIV/0!</v>
      </c>
    </row>
    <row r="450" spans="2:12" x14ac:dyDescent="0.2">
      <c r="B450" s="680"/>
      <c r="C450" s="1979" t="str">
        <v>D4T+ 3TC bébé</v>
      </c>
      <c r="D450" s="613" t="str">
        <f>'TRAD-Children YEAR(1)'!B91</f>
        <v>Comprimés</v>
      </c>
      <c r="E450" s="613" t="s">
        <v>733</v>
      </c>
      <c r="F450" s="382"/>
      <c r="G450" s="382"/>
      <c r="H450" s="415">
        <f>'Available Stocks'!K24</f>
        <v>60</v>
      </c>
      <c r="I450" s="416"/>
      <c r="J450" s="683">
        <f t="shared" si="148"/>
        <v>0</v>
      </c>
      <c r="K450" s="684" t="str">
        <f t="shared" si="149"/>
        <v>0</v>
      </c>
      <c r="L450" s="1361">
        <f t="shared" ref="L450" si="151">J450+K450</f>
        <v>0</v>
      </c>
    </row>
    <row r="451" spans="2:12" x14ac:dyDescent="0.2">
      <c r="B451" s="680"/>
      <c r="C451" s="1979" t="str">
        <v>AZT+ 3TC+ ABC adulte</v>
      </c>
      <c r="D451" s="613" t="str">
        <f>'TRAD-Children YEAR(1)'!B91</f>
        <v>Comprimés</v>
      </c>
      <c r="E451" s="613" t="s">
        <v>334</v>
      </c>
      <c r="F451" s="382" t="s">
        <v>396</v>
      </c>
      <c r="G451" s="382"/>
      <c r="H451" s="415">
        <f>'Available Stocks'!K25</f>
        <v>60</v>
      </c>
      <c r="I451" s="416"/>
      <c r="J451" s="683">
        <f>J376</f>
        <v>0</v>
      </c>
      <c r="K451" s="684" t="str">
        <f t="shared" ref="K451:K454" si="152">L412</f>
        <v>0</v>
      </c>
      <c r="L451" s="1361">
        <f t="shared" si="150"/>
        <v>0</v>
      </c>
    </row>
    <row r="452" spans="2:12" x14ac:dyDescent="0.2">
      <c r="B452" s="680"/>
      <c r="C452" s="1979" t="str">
        <v>AZT+ 3TC+ ABC bébé</v>
      </c>
      <c r="D452" s="613" t="str">
        <f>'TRAD-Children YEAR(1)'!B91</f>
        <v>Comprimés</v>
      </c>
      <c r="E452" s="613" t="s">
        <v>636</v>
      </c>
      <c r="F452" s="382"/>
      <c r="G452" s="382"/>
      <c r="H452" s="415">
        <f>'Available Stocks'!K26</f>
        <v>30</v>
      </c>
      <c r="I452" s="416"/>
      <c r="J452" s="683">
        <f>J377</f>
        <v>0</v>
      </c>
      <c r="K452" s="684" t="str">
        <f t="shared" si="152"/>
        <v>0</v>
      </c>
      <c r="L452" s="1361">
        <f t="shared" si="150"/>
        <v>0</v>
      </c>
    </row>
    <row r="453" spans="2:12" x14ac:dyDescent="0.2">
      <c r="B453" s="680"/>
      <c r="C453" s="1979" t="str">
        <v>ABC+ 3TC adulte</v>
      </c>
      <c r="D453" s="613" t="str">
        <f>'TRAD-Children YEAR(1)'!B91</f>
        <v>Comprimés</v>
      </c>
      <c r="E453" s="613" t="s">
        <v>649</v>
      </c>
      <c r="F453" s="382" t="s">
        <v>642</v>
      </c>
      <c r="G453" s="382"/>
      <c r="H453" s="415">
        <f>'Available Stocks'!K27</f>
        <v>30</v>
      </c>
      <c r="I453" s="416"/>
      <c r="J453" s="683" t="e">
        <f>J378</f>
        <v>#DIV/0!</v>
      </c>
      <c r="K453" s="684" t="e">
        <f t="shared" si="152"/>
        <v>#DIV/0!</v>
      </c>
      <c r="L453" s="1361" t="e">
        <f t="shared" si="150"/>
        <v>#DIV/0!</v>
      </c>
    </row>
    <row r="454" spans="2:12" x14ac:dyDescent="0.2">
      <c r="B454" s="680"/>
      <c r="C454" s="1980" t="str">
        <v>ABC+ 3TC bébé</v>
      </c>
      <c r="D454" s="613" t="str">
        <f>'TRAD-Children YEAR(1)'!B91</f>
        <v>Comprimés</v>
      </c>
      <c r="E454" s="613" t="s">
        <v>636</v>
      </c>
      <c r="F454" s="382"/>
      <c r="G454" s="382"/>
      <c r="H454" s="415">
        <f>'Available Stocks'!K28</f>
        <v>30</v>
      </c>
      <c r="I454" s="416"/>
      <c r="J454" s="683" t="e">
        <f>J379</f>
        <v>#DIV/0!</v>
      </c>
      <c r="K454" s="684" t="e">
        <f t="shared" si="152"/>
        <v>#DIV/0!</v>
      </c>
      <c r="L454" s="1361" t="e">
        <f t="shared" si="150"/>
        <v>#DIV/0!</v>
      </c>
    </row>
    <row r="455" spans="2:12" x14ac:dyDescent="0.2">
      <c r="B455" s="680"/>
      <c r="C455" s="1980" t="s">
        <v>1610</v>
      </c>
      <c r="D455" s="613" t="s">
        <v>205</v>
      </c>
      <c r="F455" s="382"/>
      <c r="G455" s="382"/>
      <c r="H455" s="415">
        <f>IF('Data &amp; hypothesis Adults'!$D$221="X", 'Available Stocks'!$K$26, IF('Data &amp; hypothesis Adults'!$D$222="X", 'Available Stocks'!$K$28, 'Available Stocks'!$K$26))</f>
        <v>30</v>
      </c>
      <c r="I455" s="416"/>
      <c r="J455" s="683">
        <f t="shared" ref="J455:J457" si="153">J380</f>
        <v>0</v>
      </c>
      <c r="K455" s="684" t="str">
        <f t="shared" ref="K455:K457" si="154">L416</f>
        <v>0</v>
      </c>
      <c r="L455" s="1361">
        <f t="shared" ref="L455:L457" si="155">J455+K455</f>
        <v>0</v>
      </c>
    </row>
    <row r="456" spans="2:12" x14ac:dyDescent="0.2">
      <c r="B456" s="680"/>
      <c r="C456" s="1980" t="s">
        <v>1611</v>
      </c>
      <c r="D456" s="613" t="s">
        <v>205</v>
      </c>
      <c r="F456" s="382"/>
      <c r="G456" s="382"/>
      <c r="H456" s="415">
        <f>IF('Data &amp; hypothesis Adults'!$D$221="X", 'Available Stocks'!$K$27, IF('Data &amp; hypothesis Adults'!$D$222="X", 'Available Stocks'!$K$29, 'Available Stocks'!$K$27))</f>
        <v>30</v>
      </c>
      <c r="I456" s="416"/>
      <c r="J456" s="683" t="e">
        <f t="shared" si="153"/>
        <v>#DIV/0!</v>
      </c>
      <c r="K456" s="684" t="e">
        <f t="shared" si="154"/>
        <v>#DIV/0!</v>
      </c>
      <c r="L456" s="1361" t="e">
        <f t="shared" si="155"/>
        <v>#DIV/0!</v>
      </c>
    </row>
    <row r="457" spans="2:12" x14ac:dyDescent="0.2">
      <c r="B457" s="680"/>
      <c r="C457" s="1980" t="s">
        <v>1592</v>
      </c>
      <c r="D457" s="613" t="s">
        <v>205</v>
      </c>
      <c r="E457" s="613" t="s">
        <v>23</v>
      </c>
      <c r="F457" s="382"/>
      <c r="G457" s="382"/>
      <c r="H457" s="415">
        <f>'Available Stocks'!K44</f>
        <v>30</v>
      </c>
      <c r="I457" s="416"/>
      <c r="J457" s="683">
        <f t="shared" si="153"/>
        <v>0</v>
      </c>
      <c r="K457" s="684" t="str">
        <f t="shared" si="154"/>
        <v>0</v>
      </c>
      <c r="L457" s="1361">
        <f t="shared" si="155"/>
        <v>0</v>
      </c>
    </row>
    <row r="458" spans="2:12" x14ac:dyDescent="0.2">
      <c r="B458" s="680"/>
      <c r="C458" s="608" t="s">
        <v>15</v>
      </c>
      <c r="D458" s="613" t="str">
        <f>'TRAD-Children YEAR(1)'!B91</f>
        <v>Comprimés</v>
      </c>
      <c r="E458" s="613" t="s">
        <v>16</v>
      </c>
      <c r="F458" s="382"/>
      <c r="G458" s="382"/>
      <c r="H458" s="415">
        <f>'Available Stocks'!K29</f>
        <v>30</v>
      </c>
      <c r="I458" s="416"/>
      <c r="J458" s="683">
        <f t="shared" ref="J458:J461" si="156">J383</f>
        <v>0</v>
      </c>
      <c r="K458" s="684" t="str">
        <f>L419</f>
        <v>0</v>
      </c>
      <c r="L458" s="1361">
        <f t="shared" ref="L458:L461" si="157">J458+K458</f>
        <v>0</v>
      </c>
    </row>
    <row r="459" spans="2:12" x14ac:dyDescent="0.2">
      <c r="B459" s="680"/>
      <c r="C459" s="608" t="s">
        <v>25</v>
      </c>
      <c r="D459" s="613" t="str">
        <f>'TRAD-Children YEAR(1)'!B91</f>
        <v>Comprimés</v>
      </c>
      <c r="E459" s="613" t="s">
        <v>23</v>
      </c>
      <c r="F459" s="382" t="s">
        <v>26</v>
      </c>
      <c r="G459" s="382" t="s">
        <v>27</v>
      </c>
      <c r="H459" s="415">
        <f>'Available Stocks'!K35</f>
        <v>60</v>
      </c>
      <c r="I459" s="416"/>
      <c r="J459" s="683">
        <f t="shared" si="156"/>
        <v>0</v>
      </c>
      <c r="K459" s="684" t="str">
        <f>L420</f>
        <v>0</v>
      </c>
      <c r="L459" s="1361">
        <f t="shared" si="157"/>
        <v>0</v>
      </c>
    </row>
    <row r="460" spans="2:12" x14ac:dyDescent="0.2">
      <c r="B460" s="680"/>
      <c r="C460" s="615" t="str">
        <f>'TRAD-Children YEAR(1)'!B105</f>
        <v>ABC bébé</v>
      </c>
      <c r="D460" s="616" t="str">
        <f>'TRAD-Children YEAR(1)'!B91</f>
        <v>Comprimés</v>
      </c>
      <c r="E460" s="616" t="s">
        <v>639</v>
      </c>
      <c r="F460" s="391"/>
      <c r="G460" s="391"/>
      <c r="H460" s="415">
        <f>'Available Stocks'!K36</f>
        <v>60</v>
      </c>
      <c r="I460" s="421"/>
      <c r="J460" s="683" t="e">
        <f t="shared" si="156"/>
        <v>#DIV/0!</v>
      </c>
      <c r="K460" s="684" t="e">
        <f>L421</f>
        <v>#DIV/0!</v>
      </c>
      <c r="L460" s="1361" t="e">
        <f t="shared" si="157"/>
        <v>#DIV/0!</v>
      </c>
    </row>
    <row r="461" spans="2:12" x14ac:dyDescent="0.2">
      <c r="B461" s="680"/>
      <c r="C461" s="615" t="s">
        <v>28</v>
      </c>
      <c r="D461" s="616" t="str">
        <f>'TRAD-Children YEAR(1)'!B91</f>
        <v>Comprimés</v>
      </c>
      <c r="E461" s="616" t="s">
        <v>29</v>
      </c>
      <c r="F461" s="391" t="s">
        <v>30</v>
      </c>
      <c r="G461" s="391" t="s">
        <v>31</v>
      </c>
      <c r="H461" s="420">
        <f>'Available Stocks'!K42</f>
        <v>30</v>
      </c>
      <c r="I461" s="421"/>
      <c r="J461" s="683">
        <f t="shared" si="156"/>
        <v>0</v>
      </c>
      <c r="K461" s="684" t="str">
        <f>L422</f>
        <v>0</v>
      </c>
      <c r="L461" s="1361">
        <f t="shared" si="157"/>
        <v>0</v>
      </c>
    </row>
    <row r="462" spans="2:12" x14ac:dyDescent="0.2">
      <c r="B462" s="680"/>
      <c r="C462" s="615" t="s">
        <v>19</v>
      </c>
      <c r="D462" s="616" t="str">
        <f>'TRAD-Children YEAR(1)'!B91</f>
        <v>Comprimés</v>
      </c>
      <c r="E462" s="616" t="s">
        <v>20</v>
      </c>
      <c r="F462" s="391"/>
      <c r="G462" s="391"/>
      <c r="H462" s="420">
        <f>'Available Stocks'!K33</f>
        <v>60</v>
      </c>
      <c r="I462" s="421"/>
      <c r="J462" s="683">
        <f t="shared" ref="J462:J463" si="158">J387</f>
        <v>0</v>
      </c>
      <c r="K462" s="684" t="str">
        <f t="shared" ref="K462" si="159">L423</f>
        <v>0</v>
      </c>
      <c r="L462" s="1361">
        <f t="shared" ref="L462:L466" si="160">J462+K462</f>
        <v>0</v>
      </c>
    </row>
    <row r="463" spans="2:12" x14ac:dyDescent="0.2">
      <c r="B463" s="680"/>
      <c r="C463" s="615" t="s">
        <v>19</v>
      </c>
      <c r="D463" s="616" t="str">
        <f>'TRAD-Children YEAR(1)'!B91</f>
        <v>Comprimés</v>
      </c>
      <c r="E463" s="616" t="s">
        <v>248</v>
      </c>
      <c r="F463" s="391"/>
      <c r="G463" s="391"/>
      <c r="H463" s="420">
        <f>'Available Stocks'!K34</f>
        <v>60</v>
      </c>
      <c r="I463" s="421"/>
      <c r="J463" s="683" t="e">
        <f t="shared" si="158"/>
        <v>#DIV/0!</v>
      </c>
      <c r="K463" s="684" t="e">
        <f t="shared" ref="K463" si="161">L424</f>
        <v>#DIV/0!</v>
      </c>
      <c r="L463" s="1361" t="e">
        <f t="shared" ref="L463" si="162">J463+K463</f>
        <v>#DIV/0!</v>
      </c>
    </row>
    <row r="464" spans="2:12" x14ac:dyDescent="0.2">
      <c r="B464" s="680"/>
      <c r="C464" s="615" t="s">
        <v>17</v>
      </c>
      <c r="D464" s="616" t="s">
        <v>163</v>
      </c>
      <c r="E464" s="616" t="s">
        <v>20</v>
      </c>
      <c r="F464" s="391"/>
      <c r="G464" s="391"/>
      <c r="H464" s="420">
        <f>'Available Stocks'!K30</f>
        <v>30</v>
      </c>
      <c r="I464" s="421"/>
      <c r="J464" s="683" t="e">
        <f>J389</f>
        <v>#DIV/0!</v>
      </c>
      <c r="K464" s="684" t="e">
        <f>L425</f>
        <v>#DIV/0!</v>
      </c>
      <c r="L464" s="1361" t="e">
        <f t="shared" si="160"/>
        <v>#DIV/0!</v>
      </c>
    </row>
    <row r="465" spans="1:13" x14ac:dyDescent="0.2">
      <c r="B465" s="680"/>
      <c r="C465" s="615" t="s">
        <v>33</v>
      </c>
      <c r="D465" s="616" t="str">
        <f>'TRAD-Children YEAR(1)'!B91</f>
        <v>Comprimés</v>
      </c>
      <c r="E465" s="616" t="s">
        <v>34</v>
      </c>
      <c r="F465" s="391" t="s">
        <v>35</v>
      </c>
      <c r="G465" s="391" t="s">
        <v>36</v>
      </c>
      <c r="H465" s="420">
        <f>'Available Stocks'!K45</f>
        <v>120</v>
      </c>
      <c r="I465" s="421"/>
      <c r="J465" s="683">
        <f>J390</f>
        <v>0</v>
      </c>
      <c r="K465" s="684" t="str">
        <f>L426</f>
        <v>0</v>
      </c>
      <c r="L465" s="1361">
        <f t="shared" si="160"/>
        <v>0</v>
      </c>
    </row>
    <row r="466" spans="1:13" ht="13.5" thickBot="1" x14ac:dyDescent="0.25">
      <c r="B466" s="685"/>
      <c r="C466" s="609" t="str">
        <f>'TRAD-Children YEAR(1)'!B109</f>
        <v>LPV/r bébé</v>
      </c>
      <c r="D466" s="621" t="str">
        <f>'TRAD-Children YEAR(1)'!B91</f>
        <v>Comprimés</v>
      </c>
      <c r="E466" s="621" t="s">
        <v>637</v>
      </c>
      <c r="F466" s="424" t="s">
        <v>35</v>
      </c>
      <c r="G466" s="424"/>
      <c r="H466" s="425">
        <f>'Available Stocks'!K46</f>
        <v>60</v>
      </c>
      <c r="I466" s="426"/>
      <c r="J466" s="683" t="e">
        <f>J391</f>
        <v>#DIV/0!</v>
      </c>
      <c r="K466" s="684" t="e">
        <f>L427</f>
        <v>#DIV/0!</v>
      </c>
      <c r="L466" s="1361" t="e">
        <f t="shared" si="160"/>
        <v>#DIV/0!</v>
      </c>
    </row>
    <row r="469" spans="1:13" ht="15" x14ac:dyDescent="0.2">
      <c r="B469" s="2143" t="str">
        <f>'TRAD-Children YEAR(2)'!B37</f>
        <v>Répartition file active pédiatrique sous traitement à la fin de l'année 3</v>
      </c>
      <c r="C469" s="2143"/>
      <c r="D469" s="2143"/>
      <c r="E469" s="2143"/>
      <c r="F469" s="2143"/>
      <c r="G469" s="2143"/>
      <c r="H469" s="2143"/>
      <c r="I469" s="2143"/>
      <c r="J469" s="2143"/>
      <c r="K469" s="2143"/>
      <c r="L469" s="2143"/>
      <c r="M469" s="2143"/>
    </row>
    <row r="470" spans="1:13" ht="13.5" thickBot="1" x14ac:dyDescent="0.25"/>
    <row r="471" spans="1:13" ht="56.25" customHeight="1" thickBot="1" x14ac:dyDescent="0.25">
      <c r="A471" s="260"/>
      <c r="B471" s="528"/>
      <c r="D471" s="2211" t="str">
        <f>'TRAD-Children YEAR(1)'!B138</f>
        <v>SANS DEFALCATION des passages en 2èmes lignes sur les 1ères lignes</v>
      </c>
      <c r="E471" s="2212"/>
      <c r="F471" s="2211" t="str">
        <f>'TRAD-Children YEAR(1)'!B139</f>
        <v>AVEC DEFALCATION PROPORTIONNELLE à la répartition des patients en 1ère ligne</v>
      </c>
      <c r="G471" s="2212"/>
      <c r="H471" s="2211" t="str">
        <f>'TRAD-Children YEAR(1)'!B140</f>
        <v>AVEC DEFALCATION SUR SCHEMA MAJORITAIRE 1ère ligne</v>
      </c>
      <c r="I471" s="2212"/>
    </row>
    <row r="472" spans="1:13" ht="26.25" thickBot="1" x14ac:dyDescent="0.25">
      <c r="A472" s="260"/>
      <c r="B472" s="528"/>
      <c r="C472" s="368" t="str">
        <f>'TRAD-Children YEAR(1)'!B6</f>
        <v>Schéma thérapeutique</v>
      </c>
      <c r="D472" s="686" t="str">
        <f>'TRAD-Children YEAR(1)'!B141</f>
        <v>Nb d'enfants</v>
      </c>
      <c r="E472" s="687" t="s">
        <v>278</v>
      </c>
      <c r="F472" s="686" t="str">
        <f>'TRAD-Children YEAR(1)'!B141</f>
        <v>Nb d'enfants</v>
      </c>
      <c r="G472" s="687" t="s">
        <v>278</v>
      </c>
      <c r="H472" s="686" t="str">
        <f>'TRAD-Children YEAR(1)'!B141</f>
        <v>Nb d'enfants</v>
      </c>
      <c r="I472" s="687" t="s">
        <v>278</v>
      </c>
    </row>
    <row r="473" spans="1:13" x14ac:dyDescent="0.2">
      <c r="A473" s="260"/>
      <c r="B473" s="528" t="str">
        <f>'Data &amp; hypothesis Children'!B26</f>
        <v>1ères lignes</v>
      </c>
      <c r="C473" s="155" t="str">
        <f t="array" ref="C473:C482">'Data &amp; hypothesis Children'!$C$26:$C$35</f>
        <v>D4T+3TC+NVP</v>
      </c>
      <c r="D473" s="852" t="e">
        <f t="shared" ref="D473:D478" si="163">C10+F27</f>
        <v>#DIV/0!</v>
      </c>
      <c r="E473" s="854" t="e">
        <f>D473/D$483</f>
        <v>#DIV/0!</v>
      </c>
      <c r="F473" s="852" t="e">
        <f>C10+F27-(C10/H$10)*E$57</f>
        <v>#DIV/0!</v>
      </c>
      <c r="G473" s="854" t="e">
        <f>F473/F$483</f>
        <v>#DIV/0!</v>
      </c>
      <c r="H473" s="852" t="e">
        <f>C10+F27-E56</f>
        <v>#DIV/0!</v>
      </c>
      <c r="I473" s="854" t="e">
        <f>H473/H$483</f>
        <v>#DIV/0!</v>
      </c>
    </row>
    <row r="474" spans="1:13" x14ac:dyDescent="0.2">
      <c r="A474" s="260"/>
      <c r="B474" s="528"/>
      <c r="C474" s="156" t="str">
        <v>AZT+3TC+NVP</v>
      </c>
      <c r="D474" s="852" t="e">
        <f t="shared" si="163"/>
        <v>#DIV/0!</v>
      </c>
      <c r="E474" s="854" t="e">
        <f t="shared" ref="E474:E475" si="164">D474/D$483</f>
        <v>#DIV/0!</v>
      </c>
      <c r="F474" s="852" t="e">
        <f t="shared" ref="F474:F478" si="165">C11+F28-(C11/H$10)*E$57</f>
        <v>#DIV/0!</v>
      </c>
      <c r="G474" s="854" t="e">
        <f t="shared" ref="G474:I475" si="166">F474/F$483</f>
        <v>#DIV/0!</v>
      </c>
      <c r="H474" s="852" t="e">
        <f>C11+F28</f>
        <v>#DIV/0!</v>
      </c>
      <c r="I474" s="854" t="e">
        <f t="shared" si="166"/>
        <v>#DIV/0!</v>
      </c>
    </row>
    <row r="475" spans="1:13" x14ac:dyDescent="0.2">
      <c r="A475" s="260"/>
      <c r="B475" s="528"/>
      <c r="C475" s="156" t="str">
        <v>AZT+3TC+EFV</v>
      </c>
      <c r="D475" s="852" t="e">
        <f t="shared" si="163"/>
        <v>#DIV/0!</v>
      </c>
      <c r="E475" s="855" t="e">
        <f t="shared" si="164"/>
        <v>#DIV/0!</v>
      </c>
      <c r="F475" s="852" t="e">
        <f t="shared" si="165"/>
        <v>#DIV/0!</v>
      </c>
      <c r="G475" s="855" t="e">
        <f t="shared" si="166"/>
        <v>#DIV/0!</v>
      </c>
      <c r="H475" s="852" t="e">
        <f>C12+F29</f>
        <v>#DIV/0!</v>
      </c>
      <c r="I475" s="855" t="e">
        <f t="shared" si="166"/>
        <v>#DIV/0!</v>
      </c>
    </row>
    <row r="476" spans="1:13" x14ac:dyDescent="0.2">
      <c r="A476" s="260"/>
      <c r="B476" s="528"/>
      <c r="C476" s="156" t="str">
        <v>LPV/r+3TC+ABC</v>
      </c>
      <c r="D476" s="852" t="e">
        <f t="shared" si="163"/>
        <v>#DIV/0!</v>
      </c>
      <c r="E476" s="855" t="e">
        <f t="shared" ref="E476:E479" si="167">D476/D$483</f>
        <v>#DIV/0!</v>
      </c>
      <c r="F476" s="852" t="e">
        <f t="shared" si="165"/>
        <v>#DIV/0!</v>
      </c>
      <c r="G476" s="855" t="e">
        <f t="shared" ref="G476:G479" si="168">F476/F$483</f>
        <v>#DIV/0!</v>
      </c>
      <c r="H476" s="852" t="e">
        <f>C13+F30</f>
        <v>#DIV/0!</v>
      </c>
      <c r="I476" s="855" t="e">
        <f t="shared" ref="I476:I479" si="169">H476/H$483</f>
        <v>#DIV/0!</v>
      </c>
    </row>
    <row r="477" spans="1:13" x14ac:dyDescent="0.2">
      <c r="A477" s="260"/>
      <c r="B477" s="528"/>
      <c r="C477" s="156" t="str">
        <v>ABC+3TC+NVP</v>
      </c>
      <c r="D477" s="852" t="e">
        <f t="shared" si="163"/>
        <v>#DIV/0!</v>
      </c>
      <c r="E477" s="855" t="e">
        <f t="shared" si="167"/>
        <v>#DIV/0!</v>
      </c>
      <c r="F477" s="852" t="e">
        <f t="shared" si="165"/>
        <v>#DIV/0!</v>
      </c>
      <c r="G477" s="855" t="e">
        <f t="shared" si="168"/>
        <v>#DIV/0!</v>
      </c>
      <c r="H477" s="852" t="e">
        <f>C14+F31</f>
        <v>#DIV/0!</v>
      </c>
      <c r="I477" s="855" t="e">
        <f t="shared" si="169"/>
        <v>#DIV/0!</v>
      </c>
    </row>
    <row r="478" spans="1:13" x14ac:dyDescent="0.2">
      <c r="A478" s="260"/>
      <c r="B478" s="528"/>
      <c r="C478" s="1253" t="str">
        <v>AZT+3TC+LPV/r</v>
      </c>
      <c r="D478" s="852" t="e">
        <f t="shared" si="163"/>
        <v>#DIV/0!</v>
      </c>
      <c r="E478" s="855" t="e">
        <f t="shared" si="167"/>
        <v>#DIV/0!</v>
      </c>
      <c r="F478" s="852" t="e">
        <f t="shared" si="165"/>
        <v>#DIV/0!</v>
      </c>
      <c r="G478" s="855" t="e">
        <f t="shared" si="168"/>
        <v>#DIV/0!</v>
      </c>
      <c r="H478" s="852" t="e">
        <f>C15+F32</f>
        <v>#DIV/0!</v>
      </c>
      <c r="I478" s="855" t="e">
        <f t="shared" si="169"/>
        <v>#DIV/0!</v>
      </c>
    </row>
    <row r="479" spans="1:13" x14ac:dyDescent="0.2">
      <c r="A479" s="260"/>
      <c r="B479" s="528" t="str">
        <f>'Data &amp; hypothesis Children'!B32</f>
        <v>2èmes lignes</v>
      </c>
      <c r="C479" s="1948" t="str">
        <v>ABC+3TC+EFV</v>
      </c>
      <c r="D479" s="853" t="e">
        <f>C16+E53</f>
        <v>#DIV/0!</v>
      </c>
      <c r="E479" s="855" t="e">
        <f t="shared" si="167"/>
        <v>#DIV/0!</v>
      </c>
      <c r="F479" s="853" t="e">
        <f>C16+E53</f>
        <v>#DIV/0!</v>
      </c>
      <c r="G479" s="855" t="e">
        <f t="shared" si="168"/>
        <v>#DIV/0!</v>
      </c>
      <c r="H479" s="853" t="e">
        <f>C16+E53</f>
        <v>#DIV/0!</v>
      </c>
      <c r="I479" s="855" t="e">
        <f t="shared" si="169"/>
        <v>#DIV/0!</v>
      </c>
    </row>
    <row r="480" spans="1:13" x14ac:dyDescent="0.2">
      <c r="A480" s="260"/>
      <c r="B480" s="528"/>
      <c r="C480" s="156" t="str">
        <v>TDF+3TC+LPV/r</v>
      </c>
      <c r="D480" s="853" t="e">
        <f t="shared" ref="D480:D482" si="170">C17+E54</f>
        <v>#DIV/0!</v>
      </c>
      <c r="E480" s="855" t="e">
        <f t="shared" ref="E480:E482" si="171">D480/D$483</f>
        <v>#DIV/0!</v>
      </c>
      <c r="F480" s="853" t="e">
        <f t="shared" ref="F480:F482" si="172">C17+E54</f>
        <v>#DIV/0!</v>
      </c>
      <c r="G480" s="855" t="e">
        <f t="shared" ref="G480:G482" si="173">F480/F$483</f>
        <v>#DIV/0!</v>
      </c>
      <c r="H480" s="853" t="e">
        <f t="shared" ref="H480:H482" si="174">C17+E54</f>
        <v>#DIV/0!</v>
      </c>
      <c r="I480" s="855" t="e">
        <f t="shared" ref="I480:I482" si="175">H480/H$483</f>
        <v>#DIV/0!</v>
      </c>
    </row>
    <row r="481" spans="1:13" x14ac:dyDescent="0.2">
      <c r="A481" s="260"/>
      <c r="B481" s="528"/>
      <c r="C481" s="156" t="str">
        <v>AZT+3TC+EFV</v>
      </c>
      <c r="D481" s="853" t="e">
        <f t="shared" si="170"/>
        <v>#DIV/0!</v>
      </c>
      <c r="E481" s="855" t="e">
        <f t="shared" si="171"/>
        <v>#DIV/0!</v>
      </c>
      <c r="F481" s="853" t="e">
        <f t="shared" si="172"/>
        <v>#DIV/0!</v>
      </c>
      <c r="G481" s="855" t="e">
        <f t="shared" si="173"/>
        <v>#DIV/0!</v>
      </c>
      <c r="H481" s="853" t="e">
        <f t="shared" si="174"/>
        <v>#DIV/0!</v>
      </c>
      <c r="I481" s="855" t="e">
        <f t="shared" si="175"/>
        <v>#DIV/0!</v>
      </c>
    </row>
    <row r="482" spans="1:13" ht="13.5" thickBot="1" x14ac:dyDescent="0.25">
      <c r="A482" s="260"/>
      <c r="B482" s="528"/>
      <c r="C482" s="157">
        <v>0</v>
      </c>
      <c r="D482" s="853" t="e">
        <f t="shared" si="170"/>
        <v>#DIV/0!</v>
      </c>
      <c r="E482" s="855" t="e">
        <f t="shared" si="171"/>
        <v>#DIV/0!</v>
      </c>
      <c r="F482" s="853" t="e">
        <f t="shared" si="172"/>
        <v>#DIV/0!</v>
      </c>
      <c r="G482" s="855" t="e">
        <f t="shared" si="173"/>
        <v>#DIV/0!</v>
      </c>
      <c r="H482" s="853" t="e">
        <f t="shared" si="174"/>
        <v>#DIV/0!</v>
      </c>
      <c r="I482" s="855" t="e">
        <f t="shared" si="175"/>
        <v>#DIV/0!</v>
      </c>
    </row>
    <row r="483" spans="1:13" ht="14.25" thickTop="1" thickBot="1" x14ac:dyDescent="0.25">
      <c r="A483" s="260"/>
      <c r="C483" s="1400"/>
      <c r="D483" s="1401" t="e">
        <f>SUM(D473:D482)</f>
        <v>#DIV/0!</v>
      </c>
      <c r="E483" s="1399"/>
      <c r="F483" s="1401" t="e">
        <f>SUM(F473:F482)</f>
        <v>#DIV/0!</v>
      </c>
      <c r="G483" s="1399"/>
      <c r="H483" s="1401" t="e">
        <f>SUM(H473:H482)</f>
        <v>#DIV/0!</v>
      </c>
      <c r="I483" s="1399"/>
    </row>
    <row r="485" spans="1:13" x14ac:dyDescent="0.2">
      <c r="B485" s="688" t="str">
        <f>'TRAD-Children YEAR(1)'!B142</f>
        <v>Remarque</v>
      </c>
      <c r="C485" s="291"/>
      <c r="D485" s="291"/>
      <c r="E485" s="291"/>
      <c r="F485" s="291"/>
      <c r="G485" s="291"/>
      <c r="H485" s="291"/>
      <c r="I485" s="291"/>
      <c r="J485" s="291"/>
      <c r="K485" s="291"/>
      <c r="L485" s="291"/>
      <c r="M485" s="291"/>
    </row>
    <row r="486" spans="1:13" x14ac:dyDescent="0.2">
      <c r="C486" s="260" t="str">
        <f>'TRAD-Children YEAR(1)'!B143</f>
        <v>Pour plus de précision, une défalcation peut être prise en compte.</v>
      </c>
    </row>
    <row r="487" spans="1:13" ht="25.5" customHeight="1" x14ac:dyDescent="0.2">
      <c r="C487" s="2145" t="str">
        <f>'TRAD-Children YEAR(1)'!B144</f>
        <v>Les données défalquées sur le schéma majoritaire en 1ère ligne ont été prises en compte pour les années suivantes. (le schéma majoritaire est généralement le moins chers, cette option a été retenue dans le cadre d'une estimation budgétaire)</v>
      </c>
      <c r="D487" s="2145"/>
      <c r="E487" s="2145"/>
      <c r="F487" s="2145"/>
      <c r="G487" s="2145"/>
      <c r="H487" s="2145"/>
      <c r="I487" s="2145"/>
      <c r="J487" s="2145"/>
      <c r="K487" s="2145"/>
      <c r="L487" s="2145"/>
      <c r="M487" s="2145"/>
    </row>
    <row r="490" spans="1:13" s="1279" customFormat="1" x14ac:dyDescent="0.2">
      <c r="A490" s="1282"/>
    </row>
    <row r="491" spans="1:13" s="1281" customFormat="1" x14ac:dyDescent="0.2">
      <c r="A491" s="1280"/>
    </row>
  </sheetData>
  <sheetProtection password="D0E7" sheet="1" objects="1" scenarios="1" selectLockedCells="1"/>
  <mergeCells count="54">
    <mergeCell ref="F35:G35"/>
    <mergeCell ref="C487:M487"/>
    <mergeCell ref="A2:L2"/>
    <mergeCell ref="A22:L22"/>
    <mergeCell ref="B24:F24"/>
    <mergeCell ref="G24:K24"/>
    <mergeCell ref="L24:M24"/>
    <mergeCell ref="B46:F46"/>
    <mergeCell ref="G46:K46"/>
    <mergeCell ref="L46:M46"/>
    <mergeCell ref="F52:H52"/>
    <mergeCell ref="A60:L60"/>
    <mergeCell ref="M60:N60"/>
    <mergeCell ref="D101:E101"/>
    <mergeCell ref="B176:H176"/>
    <mergeCell ref="B65:F65"/>
    <mergeCell ref="C67:E67"/>
    <mergeCell ref="F67:I67"/>
    <mergeCell ref="B81:F81"/>
    <mergeCell ref="C83:E83"/>
    <mergeCell ref="F83:I83"/>
    <mergeCell ref="M97:N97"/>
    <mergeCell ref="B99:F99"/>
    <mergeCell ref="G99:K99"/>
    <mergeCell ref="L99:M99"/>
    <mergeCell ref="D102:E102"/>
    <mergeCell ref="F101:G101"/>
    <mergeCell ref="A97:L97"/>
    <mergeCell ref="D103:E103"/>
    <mergeCell ref="F103:F105"/>
    <mergeCell ref="G103:G105"/>
    <mergeCell ref="D104:E104"/>
    <mergeCell ref="D105:E105"/>
    <mergeCell ref="B393:M393"/>
    <mergeCell ref="B126:F126"/>
    <mergeCell ref="B138:F138"/>
    <mergeCell ref="G138:K138"/>
    <mergeCell ref="L138:M138"/>
    <mergeCell ref="B150:H150"/>
    <mergeCell ref="B163:H163"/>
    <mergeCell ref="B189:H189"/>
    <mergeCell ref="D191:G191"/>
    <mergeCell ref="C193:G193"/>
    <mergeCell ref="B357:M357"/>
    <mergeCell ref="E359:H359"/>
    <mergeCell ref="D221:G221"/>
    <mergeCell ref="C223:G223"/>
    <mergeCell ref="E395:H395"/>
    <mergeCell ref="A430:N430"/>
    <mergeCell ref="B432:M432"/>
    <mergeCell ref="B469:M469"/>
    <mergeCell ref="D471:E471"/>
    <mergeCell ref="F471:G471"/>
    <mergeCell ref="H471:I471"/>
  </mergeCells>
  <conditionalFormatting sqref="D338:AH348 D266:AH276 D290:AH300 D314:AH324">
    <cfRule type="cellIs" dxfId="8" priority="22" operator="equal">
      <formula>0</formula>
    </cfRule>
  </conditionalFormatting>
  <pageMargins left="0.78740157499999996" right="0.78740157499999996" top="0.984251969" bottom="0.984251969" header="0.4921259845" footer="0.4921259845"/>
  <pageSetup paperSize="9" orientation="portrait"/>
  <headerFooter alignWithMargins="0"/>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8">
    <tabColor indexed="61"/>
  </sheetPr>
  <dimension ref="A2:AJ491"/>
  <sheetViews>
    <sheetView showGridLines="0" zoomScale="70" zoomScaleNormal="70" zoomScalePageLayoutView="70" workbookViewId="0">
      <selection activeCell="F473" sqref="F473:F478"/>
    </sheetView>
  </sheetViews>
  <sheetFormatPr baseColWidth="10" defaultColWidth="12" defaultRowHeight="12.75" x14ac:dyDescent="0.2"/>
  <cols>
    <col min="1" max="1" width="15.1640625" style="528" customWidth="1"/>
    <col min="2" max="2" width="20" style="260" customWidth="1"/>
    <col min="3" max="3" width="26.5" style="260" customWidth="1"/>
    <col min="4" max="4" width="13.1640625" style="260" customWidth="1"/>
    <col min="5" max="5" width="17.1640625" style="260" bestFit="1" customWidth="1"/>
    <col min="6" max="6" width="15" style="260" customWidth="1"/>
    <col min="7" max="7" width="14.83203125" style="260" customWidth="1"/>
    <col min="8" max="8" width="12.5" style="260" bestFit="1" customWidth="1"/>
    <col min="9" max="9" width="13.1640625" style="260" customWidth="1"/>
    <col min="10" max="11" width="12" style="260"/>
    <col min="12" max="12" width="13.1640625" style="260" bestFit="1" customWidth="1"/>
    <col min="13" max="16384" width="12" style="260"/>
  </cols>
  <sheetData>
    <row r="2" spans="1:13" s="263" customFormat="1" ht="16.5" thickBot="1" x14ac:dyDescent="0.3">
      <c r="A2" s="2177" t="str">
        <f>'TRAD-Children YEAR(2)'!B6</f>
        <v>Répartition prévue au début de la 5ème année  pour les ENFANTS déjà pris en charge</v>
      </c>
      <c r="B2" s="2177"/>
      <c r="C2" s="2177"/>
      <c r="D2" s="2177"/>
      <c r="E2" s="2177"/>
      <c r="F2" s="2177"/>
      <c r="G2" s="2177"/>
      <c r="H2" s="2177"/>
      <c r="I2" s="2177"/>
      <c r="J2" s="2177"/>
      <c r="K2" s="2177"/>
      <c r="L2" s="2177"/>
      <c r="M2" s="262"/>
    </row>
    <row r="3" spans="1:13" ht="13.5" thickBot="1" x14ac:dyDescent="0.25">
      <c r="A3" s="260"/>
    </row>
    <row r="4" spans="1:13" s="524" customFormat="1" ht="16.5" thickBot="1" x14ac:dyDescent="0.3">
      <c r="B4" s="525" t="str">
        <f>'General Data'!D17</f>
        <v>Année 5</v>
      </c>
      <c r="C4" s="526">
        <f>'General Data'!E17</f>
        <v>0</v>
      </c>
      <c r="D4" s="527"/>
    </row>
    <row r="5" spans="1:13" ht="13.5" thickBot="1" x14ac:dyDescent="0.25"/>
    <row r="6" spans="1:13" s="524" customFormat="1" ht="16.5" thickBot="1" x14ac:dyDescent="0.3">
      <c r="B6" s="898" t="str">
        <f>'TRAD-Children YEAR(1)'!B2</f>
        <v>Période réellement quantifiée :</v>
      </c>
      <c r="C6" s="899"/>
      <c r="D6" s="900" t="str">
        <f>IF('General Data'!G27="NA", "0", 'General Data'!G27)</f>
        <v>0</v>
      </c>
      <c r="E6" s="901" t="s">
        <v>220</v>
      </c>
      <c r="G6" s="524" t="str">
        <f>'TRAD-Children YEAR(1)'!B4</f>
        <v>Facteur multiplicateur</v>
      </c>
      <c r="I6" s="524">
        <f>D6*(D6+1)/2</f>
        <v>0</v>
      </c>
    </row>
    <row r="7" spans="1:13" s="524" customFormat="1" ht="16.5" thickBot="1" x14ac:dyDescent="0.3">
      <c r="B7" s="898" t="str">
        <f>'TRAD-Children YEAR(1)'!B5</f>
        <v>Période quantifiée + tampon</v>
      </c>
      <c r="C7" s="899"/>
      <c r="D7" s="900">
        <f>D6+'General Data'!$E$30</f>
        <v>3</v>
      </c>
      <c r="E7" s="901" t="s">
        <v>220</v>
      </c>
      <c r="G7" s="524" t="str">
        <f>'TRAD-Children YEAR(1)'!B4</f>
        <v>Facteur multiplicateur</v>
      </c>
      <c r="I7" s="524">
        <f>D7*(D7+1)/2</f>
        <v>6</v>
      </c>
    </row>
    <row r="8" spans="1:13" ht="13.5" thickBot="1" x14ac:dyDescent="0.25"/>
    <row r="9" spans="1:13" ht="26.25" thickBot="1" x14ac:dyDescent="0.25">
      <c r="A9" s="260"/>
      <c r="B9" s="529" t="str">
        <f>'TRAD-Children YEAR(1)'!B6</f>
        <v>Schéma thérapeutique</v>
      </c>
      <c r="C9" s="529" t="str">
        <f>'TRAD-Children YEAR(2)'!B43</f>
        <v>Nb de patients prévus au début de la 5ème année</v>
      </c>
      <c r="D9" s="529" t="s">
        <v>278</v>
      </c>
    </row>
    <row r="10" spans="1:13" x14ac:dyDescent="0.2">
      <c r="A10" s="260"/>
      <c r="B10" s="155" t="str">
        <f t="array" ref="B10:B19">'Data &amp; hypothesis Children'!$C$26:$C$35</f>
        <v>D4T+3TC+NVP</v>
      </c>
      <c r="C10" s="2062" t="e">
        <f>'Children YEAR4'!H473+'Data &amp; hypothesis Children'!D$13*'Children YEAR5'!D10</f>
        <v>#DIV/0!</v>
      </c>
      <c r="D10" s="530" t="e">
        <f>'Children YEAR4'!G473</f>
        <v>#DIV/0!</v>
      </c>
      <c r="F10" s="266" t="str">
        <f>'TRAD-Children YEAR(1)'!B10</f>
        <v>Total Premières lignes</v>
      </c>
      <c r="G10" s="531"/>
      <c r="H10" s="532" t="e">
        <f>SUM(C10:C15)</f>
        <v>#DIV/0!</v>
      </c>
    </row>
    <row r="11" spans="1:13" ht="13.5" thickBot="1" x14ac:dyDescent="0.25">
      <c r="A11" s="260"/>
      <c r="B11" s="156" t="str">
        <v>AZT+3TC+NVP</v>
      </c>
      <c r="C11" s="2063" t="e">
        <f>'Children YEAR4'!H474+'Data &amp; hypothesis Children'!D$13*'Children YEAR5'!D11</f>
        <v>#DIV/0!</v>
      </c>
      <c r="D11" s="534" t="e">
        <f>'Children YEAR4'!G474</f>
        <v>#DIV/0!</v>
      </c>
      <c r="F11" s="535"/>
      <c r="G11" s="536" t="s">
        <v>51</v>
      </c>
      <c r="H11" s="537" t="e">
        <f>H10/C20</f>
        <v>#DIV/0!</v>
      </c>
    </row>
    <row r="12" spans="1:13" x14ac:dyDescent="0.2">
      <c r="A12" s="260"/>
      <c r="B12" s="156" t="str">
        <v>AZT+3TC+EFV</v>
      </c>
      <c r="C12" s="2063" t="e">
        <f>'Children YEAR4'!H475+'Data &amp; hypothesis Children'!D$13*'Children YEAR5'!D12</f>
        <v>#DIV/0!</v>
      </c>
      <c r="D12" s="534" t="e">
        <f>'Children YEAR4'!G475</f>
        <v>#DIV/0!</v>
      </c>
      <c r="F12" s="266" t="str">
        <f>'TRAD-Children YEAR(1)'!B11</f>
        <v>Total Deuxièmes lignes</v>
      </c>
      <c r="G12" s="531"/>
      <c r="H12" s="532" t="e">
        <f>C16+C19</f>
        <v>#DIV/0!</v>
      </c>
    </row>
    <row r="13" spans="1:13" ht="13.5" thickBot="1" x14ac:dyDescent="0.25">
      <c r="A13" s="260"/>
      <c r="B13" s="156" t="str">
        <v>LPV/r+3TC+ABC</v>
      </c>
      <c r="C13" s="2063" t="e">
        <f>'Children YEAR4'!H476+'Data &amp; hypothesis Children'!D$13*'Children YEAR5'!D13</f>
        <v>#DIV/0!</v>
      </c>
      <c r="D13" s="534" t="e">
        <f>'Children YEAR4'!G476</f>
        <v>#DIV/0!</v>
      </c>
      <c r="F13" s="535"/>
      <c r="G13" s="536" t="s">
        <v>51</v>
      </c>
      <c r="H13" s="537" t="e">
        <f>H12/C20</f>
        <v>#DIV/0!</v>
      </c>
    </row>
    <row r="14" spans="1:13" x14ac:dyDescent="0.2">
      <c r="A14" s="260"/>
      <c r="B14" s="156" t="str">
        <v>ABC+3TC+NVP</v>
      </c>
      <c r="C14" s="2063" t="e">
        <f>'Children YEAR4'!H477+'Data &amp; hypothesis Children'!D$13*'Children YEAR5'!D14</f>
        <v>#DIV/0!</v>
      </c>
      <c r="D14" s="534" t="e">
        <f>'Children YEAR4'!G477</f>
        <v>#DIV/0!</v>
      </c>
      <c r="F14" s="497"/>
      <c r="G14" s="522"/>
      <c r="H14" s="1270"/>
    </row>
    <row r="15" spans="1:13" x14ac:dyDescent="0.2">
      <c r="A15" s="260"/>
      <c r="B15" s="1253" t="str">
        <v>AZT+3TC+LPV/r</v>
      </c>
      <c r="C15" s="2064" t="e">
        <f>'Children YEAR4'!H478+'Data &amp; hypothesis Children'!D$13*'Children YEAR5'!D15</f>
        <v>#DIV/0!</v>
      </c>
      <c r="D15" s="1947" t="e">
        <f>'Children YEAR4'!G478</f>
        <v>#DIV/0!</v>
      </c>
    </row>
    <row r="16" spans="1:13" x14ac:dyDescent="0.2">
      <c r="A16" s="260"/>
      <c r="B16" s="1948" t="str">
        <v>ABC+3TC+EFV</v>
      </c>
      <c r="C16" s="2065" t="e">
        <f>'Children YEAR4'!H479+'Data &amp; hypothesis Children'!D$13*'Children YEAR5'!D16</f>
        <v>#DIV/0!</v>
      </c>
      <c r="D16" s="1949" t="e">
        <f>'Children YEAR4'!G479</f>
        <v>#DIV/0!</v>
      </c>
    </row>
    <row r="17" spans="1:16" x14ac:dyDescent="0.2">
      <c r="A17" s="260"/>
      <c r="B17" s="156" t="str">
        <v>TDF+3TC+LPV/r</v>
      </c>
      <c r="C17" s="2063" t="e">
        <f>'Children YEAR4'!H480+'Data &amp; hypothesis Children'!D$13*'Children YEAR5'!D17</f>
        <v>#DIV/0!</v>
      </c>
      <c r="D17" s="534" t="e">
        <f>'Children YEAR4'!G480</f>
        <v>#DIV/0!</v>
      </c>
    </row>
    <row r="18" spans="1:16" x14ac:dyDescent="0.2">
      <c r="A18" s="260"/>
      <c r="B18" s="156" t="str">
        <v>AZT+3TC+EFV</v>
      </c>
      <c r="C18" s="2063" t="e">
        <f>'Children YEAR4'!H481+'Data &amp; hypothesis Children'!D$13*'Children YEAR5'!D18</f>
        <v>#DIV/0!</v>
      </c>
      <c r="D18" s="534" t="e">
        <f>'Children YEAR4'!G481</f>
        <v>#DIV/0!</v>
      </c>
    </row>
    <row r="19" spans="1:16" ht="13.5" thickBot="1" x14ac:dyDescent="0.25">
      <c r="A19" s="260"/>
      <c r="B19" s="157">
        <v>0</v>
      </c>
      <c r="C19" s="2066" t="e">
        <f>'Children YEAR4'!H482+'Data &amp; hypothesis Children'!D$13*'Children YEAR5'!D19</f>
        <v>#DIV/0!</v>
      </c>
      <c r="D19" s="539" t="e">
        <f>'Children YEAR4'!G482</f>
        <v>#DIV/0!</v>
      </c>
    </row>
    <row r="20" spans="1:16" ht="14.25" thickTop="1" thickBot="1" x14ac:dyDescent="0.25">
      <c r="B20" s="540" t="s">
        <v>6</v>
      </c>
      <c r="C20" s="541" t="e">
        <f>SUM(C10:C19)</f>
        <v>#DIV/0!</v>
      </c>
      <c r="D20" s="542" t="e">
        <f>SUM(D10:D19)</f>
        <v>#DIV/0!</v>
      </c>
    </row>
    <row r="21" spans="1:16" x14ac:dyDescent="0.2">
      <c r="A21" s="260"/>
    </row>
    <row r="22" spans="1:16" s="263" customFormat="1" ht="16.5" thickBot="1" x14ac:dyDescent="0.3">
      <c r="A22" s="2177" t="str">
        <f>'TRAD-Children YEAR(2)'!B11</f>
        <v>Evolution de la file active sous traitement ARV à prévoir pour la 4ème année</v>
      </c>
      <c r="B22" s="2177"/>
      <c r="C22" s="2177"/>
      <c r="D22" s="2177"/>
      <c r="E22" s="2177"/>
      <c r="F22" s="2177"/>
      <c r="G22" s="2177"/>
      <c r="H22" s="2177"/>
      <c r="I22" s="2177"/>
      <c r="J22" s="2177"/>
      <c r="K22" s="2177"/>
      <c r="L22" s="2177"/>
      <c r="M22" s="262"/>
      <c r="N22" s="262"/>
      <c r="O22" s="262"/>
      <c r="P22" s="262"/>
    </row>
    <row r="23" spans="1:16" x14ac:dyDescent="0.2">
      <c r="A23" s="260"/>
    </row>
    <row r="24" spans="1:16" ht="15" x14ac:dyDescent="0.2">
      <c r="A24" s="260"/>
      <c r="B24" s="2143" t="str">
        <f>'TRAD-Children YEAR(1)'!B14</f>
        <v>Répartition des Initiations</v>
      </c>
      <c r="C24" s="2143"/>
      <c r="D24" s="2143"/>
      <c r="E24" s="2143"/>
      <c r="F24" s="2143"/>
      <c r="G24" s="2143"/>
      <c r="H24" s="2143"/>
      <c r="I24" s="2143"/>
      <c r="J24" s="2143"/>
      <c r="K24" s="2143"/>
      <c r="L24" s="2143"/>
      <c r="M24" s="2143"/>
      <c r="N24" s="497"/>
      <c r="O24" s="497"/>
      <c r="P24" s="497"/>
    </row>
    <row r="25" spans="1:16" ht="13.5" thickBot="1" x14ac:dyDescent="0.25"/>
    <row r="26" spans="1:16" s="545" customFormat="1" ht="39" thickBot="1" x14ac:dyDescent="0.25">
      <c r="A26" s="543"/>
      <c r="B26" s="544" t="str">
        <f>'TRAD-Children YEAR(1)'!B6</f>
        <v>Schéma thérapeutique</v>
      </c>
      <c r="C26" s="544" t="str">
        <f>'TRAD-Children YEAR(1)'!B15</f>
        <v>critères / schémas</v>
      </c>
      <c r="D26" s="544" t="s">
        <v>51</v>
      </c>
      <c r="E26" s="544" t="str">
        <f>'TRAD-Children YEAR(1)'!B16</f>
        <v>Nb de patients mensuels</v>
      </c>
      <c r="F26" s="894" t="str">
        <f>'TRAD-Children YEAR(1)'!B17</f>
        <v>Nb de nvx patients total sur la période</v>
      </c>
      <c r="G26" s="544" t="str">
        <f>'TRAD-Children YEAR(1)'!B22</f>
        <v>Nb de patients-mois Marge de sécurité</v>
      </c>
    </row>
    <row r="27" spans="1:16" x14ac:dyDescent="0.2">
      <c r="B27" s="155" t="str">
        <f t="array" ref="B27:B32">'Data &amp; hypothesis Children'!$C$26:$C$31</f>
        <v>D4T+3TC+NVP</v>
      </c>
      <c r="C27" s="546"/>
      <c r="D27" s="547">
        <f>'Data &amp; hypothesis Children'!H55</f>
        <v>0</v>
      </c>
      <c r="E27" s="548">
        <f t="shared" ref="E27:E32" si="0">D27*E$33</f>
        <v>0</v>
      </c>
      <c r="F27" s="548">
        <f t="shared" ref="F27:F32" si="1">E27*$D$6</f>
        <v>0</v>
      </c>
      <c r="G27" s="548">
        <f>E27*$D$7</f>
        <v>0</v>
      </c>
    </row>
    <row r="28" spans="1:16" x14ac:dyDescent="0.2">
      <c r="B28" s="156" t="str">
        <v>AZT+3TC+NVP</v>
      </c>
      <c r="C28" s="323"/>
      <c r="D28" s="550">
        <f>'Data &amp; hypothesis Children'!H56</f>
        <v>0</v>
      </c>
      <c r="E28" s="324">
        <f t="shared" si="0"/>
        <v>0</v>
      </c>
      <c r="F28" s="324">
        <f t="shared" si="1"/>
        <v>0</v>
      </c>
      <c r="G28" s="324">
        <f t="shared" ref="G28:G32" si="2">E28*$D$7</f>
        <v>0</v>
      </c>
    </row>
    <row r="29" spans="1:16" x14ac:dyDescent="0.2">
      <c r="B29" s="156" t="str">
        <v>AZT+3TC+EFV</v>
      </c>
      <c r="C29" s="323"/>
      <c r="D29" s="550">
        <f>'Data &amp; hypothesis Children'!H57</f>
        <v>0</v>
      </c>
      <c r="E29" s="324">
        <f t="shared" si="0"/>
        <v>0</v>
      </c>
      <c r="F29" s="324">
        <f t="shared" si="1"/>
        <v>0</v>
      </c>
      <c r="G29" s="324">
        <f t="shared" si="2"/>
        <v>0</v>
      </c>
    </row>
    <row r="30" spans="1:16" x14ac:dyDescent="0.2">
      <c r="B30" s="156" t="str">
        <v>LPV/r+3TC+ABC</v>
      </c>
      <c r="C30" s="323"/>
      <c r="D30" s="550">
        <f>'Data &amp; hypothesis Children'!H58</f>
        <v>0</v>
      </c>
      <c r="E30" s="324">
        <f t="shared" si="0"/>
        <v>0</v>
      </c>
      <c r="F30" s="324">
        <f t="shared" si="1"/>
        <v>0</v>
      </c>
      <c r="G30" s="324">
        <f t="shared" si="2"/>
        <v>0</v>
      </c>
    </row>
    <row r="31" spans="1:16" x14ac:dyDescent="0.2">
      <c r="B31" s="156" t="str">
        <v>ABC+3TC+NVP</v>
      </c>
      <c r="C31" s="323"/>
      <c r="D31" s="550">
        <f>'Data &amp; hypothesis Children'!H59</f>
        <v>0</v>
      </c>
      <c r="E31" s="324">
        <f t="shared" si="0"/>
        <v>0</v>
      </c>
      <c r="F31" s="324">
        <f t="shared" si="1"/>
        <v>0</v>
      </c>
      <c r="G31" s="324">
        <f t="shared" si="2"/>
        <v>0</v>
      </c>
    </row>
    <row r="32" spans="1:16" ht="13.5" thickBot="1" x14ac:dyDescent="0.25">
      <c r="B32" s="157" t="str">
        <v>AZT+3TC+LPV/r</v>
      </c>
      <c r="C32" s="538" t="s">
        <v>199</v>
      </c>
      <c r="D32" s="1271">
        <f>'Data &amp; hypothesis Children'!H60</f>
        <v>0</v>
      </c>
      <c r="E32" s="589">
        <f t="shared" si="0"/>
        <v>0</v>
      </c>
      <c r="F32" s="589">
        <f t="shared" si="1"/>
        <v>0</v>
      </c>
      <c r="G32" s="589">
        <f t="shared" si="2"/>
        <v>0</v>
      </c>
    </row>
    <row r="33" spans="1:17" ht="13.5" thickTop="1" x14ac:dyDescent="0.2">
      <c r="B33" s="260" t="s">
        <v>6</v>
      </c>
      <c r="C33" s="497"/>
      <c r="D33" s="347"/>
      <c r="E33" s="553">
        <f>'Data &amp; hypothesis Children'!E13</f>
        <v>0</v>
      </c>
      <c r="F33" s="347">
        <f>SUM(F27:F32)</f>
        <v>0</v>
      </c>
      <c r="G33" s="347">
        <f>SUM(G27:G32)</f>
        <v>0</v>
      </c>
    </row>
    <row r="34" spans="1:17" ht="13.5" thickBot="1" x14ac:dyDescent="0.25"/>
    <row r="35" spans="1:17" ht="64.5" thickBot="1" x14ac:dyDescent="0.25">
      <c r="A35" s="260"/>
      <c r="B35" s="554" t="str">
        <f>'TRAD-Children YEAR(1)'!B6</f>
        <v>Schéma thérapeutique</v>
      </c>
      <c r="C35" s="554"/>
      <c r="D35" s="544" t="str">
        <f>'TRAD-Children YEAR(1)'!B16</f>
        <v>Nb de patients mensuels</v>
      </c>
      <c r="E35" s="544" t="str">
        <f>'TRAD-Children YEAR(1)'!B19</f>
        <v>Total 
patients-mois</v>
      </c>
      <c r="F35" s="2189" t="str">
        <f>'TRAD-Children YEAR(1)'!B20</f>
        <v>Médicaments nécessaires</v>
      </c>
      <c r="G35" s="2189"/>
      <c r="H35" s="544" t="str">
        <f>'TRAD-Children YEAR(1)'!B21</f>
        <v>Total patients-mois AVEC Marge de sécurité</v>
      </c>
      <c r="I35" s="544" t="str">
        <f>'TRAD-Children YEAR(1)'!B22</f>
        <v>Nb de patients-mois Marge de sécurité</v>
      </c>
    </row>
    <row r="36" spans="1:17" x14ac:dyDescent="0.2">
      <c r="A36" s="260"/>
      <c r="B36" s="155" t="str">
        <f t="array" ref="B36:B41">'Data &amp; hypothesis Children'!$C$26:$C$31</f>
        <v>D4T+3TC+NVP</v>
      </c>
      <c r="C36" s="546"/>
      <c r="D36" s="548">
        <f t="shared" ref="D36:D41" si="3">$E27</f>
        <v>0</v>
      </c>
      <c r="E36" s="555">
        <f t="shared" ref="E36:E41" si="4">$I$6*D36</f>
        <v>0</v>
      </c>
      <c r="F36" s="546" t="s">
        <v>59</v>
      </c>
      <c r="G36" s="546"/>
      <c r="H36" s="555">
        <f t="shared" ref="H36:H41" si="5">D36*$I$7</f>
        <v>0</v>
      </c>
      <c r="I36" s="555">
        <f t="shared" ref="I36:I41" si="6">H36-E36</f>
        <v>0</v>
      </c>
    </row>
    <row r="37" spans="1:17" x14ac:dyDescent="0.2">
      <c r="A37" s="260"/>
      <c r="B37" s="156" t="str">
        <v>AZT+3TC+NVP</v>
      </c>
      <c r="C37" s="323"/>
      <c r="D37" s="324">
        <f t="shared" si="3"/>
        <v>0</v>
      </c>
      <c r="E37" s="1272">
        <f t="shared" si="4"/>
        <v>0</v>
      </c>
      <c r="F37" s="323" t="s">
        <v>57</v>
      </c>
      <c r="G37" s="323"/>
      <c r="H37" s="1272">
        <f t="shared" si="5"/>
        <v>0</v>
      </c>
      <c r="I37" s="1272">
        <f t="shared" si="6"/>
        <v>0</v>
      </c>
    </row>
    <row r="38" spans="1:17" x14ac:dyDescent="0.2">
      <c r="A38" s="260"/>
      <c r="B38" s="156" t="str">
        <v>AZT+3TC+EFV</v>
      </c>
      <c r="C38" s="323"/>
      <c r="D38" s="324">
        <f t="shared" si="3"/>
        <v>0</v>
      </c>
      <c r="E38" s="1272">
        <f t="shared" si="4"/>
        <v>0</v>
      </c>
      <c r="F38" s="323" t="s">
        <v>58</v>
      </c>
      <c r="G38" s="323" t="s">
        <v>17</v>
      </c>
      <c r="H38" s="1272">
        <f t="shared" si="5"/>
        <v>0</v>
      </c>
      <c r="I38" s="1272">
        <f t="shared" si="6"/>
        <v>0</v>
      </c>
    </row>
    <row r="39" spans="1:17" x14ac:dyDescent="0.2">
      <c r="A39" s="260"/>
      <c r="B39" s="156" t="str">
        <v>LPV/r+3TC+ABC</v>
      </c>
      <c r="C39" s="323" t="s">
        <v>53</v>
      </c>
      <c r="D39" s="324">
        <f t="shared" si="3"/>
        <v>0</v>
      </c>
      <c r="E39" s="1272">
        <f t="shared" si="4"/>
        <v>0</v>
      </c>
      <c r="F39" s="323" t="s">
        <v>58</v>
      </c>
      <c r="G39" s="323" t="s">
        <v>25</v>
      </c>
      <c r="H39" s="1272">
        <f t="shared" si="5"/>
        <v>0</v>
      </c>
      <c r="I39" s="1272">
        <f t="shared" si="6"/>
        <v>0</v>
      </c>
    </row>
    <row r="40" spans="1:17" x14ac:dyDescent="0.2">
      <c r="A40" s="260"/>
      <c r="B40" s="156" t="str">
        <v>ABC+3TC+NVP</v>
      </c>
      <c r="C40" s="323"/>
      <c r="D40" s="324">
        <f t="shared" si="3"/>
        <v>0</v>
      </c>
      <c r="E40" s="1272">
        <f t="shared" si="4"/>
        <v>0</v>
      </c>
      <c r="F40" s="323"/>
      <c r="G40" s="323"/>
      <c r="H40" s="1272">
        <f t="shared" si="5"/>
        <v>0</v>
      </c>
      <c r="I40" s="1272">
        <f t="shared" si="6"/>
        <v>0</v>
      </c>
    </row>
    <row r="41" spans="1:17" ht="13.5" thickBot="1" x14ac:dyDescent="0.25">
      <c r="A41" s="260"/>
      <c r="B41" s="157" t="str">
        <v>AZT+3TC+LPV/r</v>
      </c>
      <c r="C41" s="538" t="s">
        <v>199</v>
      </c>
      <c r="D41" s="589">
        <f t="shared" si="3"/>
        <v>0</v>
      </c>
      <c r="E41" s="557">
        <f t="shared" si="4"/>
        <v>0</v>
      </c>
      <c r="F41" s="538" t="s">
        <v>58</v>
      </c>
      <c r="G41" s="538" t="s">
        <v>33</v>
      </c>
      <c r="H41" s="557">
        <f t="shared" si="5"/>
        <v>0</v>
      </c>
      <c r="I41" s="557">
        <f t="shared" si="6"/>
        <v>0</v>
      </c>
    </row>
    <row r="42" spans="1:17" ht="14.25" thickTop="1" thickBot="1" x14ac:dyDescent="0.25">
      <c r="A42" s="260"/>
      <c r="B42" s="558" t="s">
        <v>288</v>
      </c>
      <c r="C42" s="559"/>
      <c r="D42" s="560">
        <f>SUM(D36:D41)</f>
        <v>0</v>
      </c>
      <c r="E42" s="561">
        <f>SUM(E36:E41)</f>
        <v>0</v>
      </c>
      <c r="F42" s="559"/>
      <c r="H42" s="562">
        <f>SUM(H36:H41)</f>
        <v>0</v>
      </c>
      <c r="I42" s="562">
        <f>SUM(I36:I41)</f>
        <v>0</v>
      </c>
    </row>
    <row r="43" spans="1:17" s="292" customFormat="1" x14ac:dyDescent="0.2">
      <c r="F43" s="522"/>
      <c r="G43" s="563"/>
    </row>
    <row r="44" spans="1:17" x14ac:dyDescent="0.2">
      <c r="A44" s="260"/>
      <c r="Q44" s="292"/>
    </row>
    <row r="45" spans="1:17" x14ac:dyDescent="0.2">
      <c r="A45" s="260"/>
      <c r="Q45" s="292"/>
    </row>
    <row r="46" spans="1:17" ht="15" x14ac:dyDescent="0.2">
      <c r="A46" s="260"/>
      <c r="B46" s="2143" t="str">
        <f>'TRAD-Children YEAR(1)'!B26</f>
        <v>Répartition des passages en 2ème ligne</v>
      </c>
      <c r="C46" s="2143"/>
      <c r="D46" s="2143"/>
      <c r="E46" s="2143"/>
      <c r="F46" s="2143"/>
      <c r="G46" s="2143"/>
      <c r="H46" s="2143"/>
      <c r="I46" s="2143"/>
      <c r="J46" s="2143"/>
      <c r="K46" s="2143"/>
      <c r="L46" s="2143"/>
      <c r="M46" s="2143"/>
      <c r="Q46" s="292"/>
    </row>
    <row r="47" spans="1:17" x14ac:dyDescent="0.2">
      <c r="A47" s="260"/>
      <c r="Q47" s="292"/>
    </row>
    <row r="48" spans="1:17" x14ac:dyDescent="0.2">
      <c r="A48" s="260"/>
      <c r="B48" s="528" t="str">
        <f>'TRAD-Children YEAR(1)'!B28</f>
        <v>Taux de passage en 2ème ligne</v>
      </c>
      <c r="C48" s="528"/>
      <c r="D48" s="564">
        <f>'Data &amp; hypothesis Children'!D71</f>
        <v>0</v>
      </c>
      <c r="E48" s="528"/>
      <c r="F48" s="528"/>
      <c r="G48" s="565" t="str">
        <f>'TRAD-Children YEAR(1)'!B29</f>
        <v>des patients à la fin de l'année, soit :</v>
      </c>
      <c r="H48" s="566" t="e">
        <f>ROUNDUP(D48*(C20+F33), 0)</f>
        <v>#DIV/0!</v>
      </c>
      <c r="I48" s="528" t="s">
        <v>281</v>
      </c>
    </row>
    <row r="49" spans="1:17" s="523" customFormat="1" ht="13.5" thickBot="1" x14ac:dyDescent="0.25">
      <c r="E49" s="567"/>
      <c r="G49" s="565" t="str">
        <f>'TRAD-Children YEAR(1)'!B30</f>
        <v>Actuellement en 2ème ligne :</v>
      </c>
      <c r="H49" s="568" t="e">
        <f>H12</f>
        <v>#DIV/0!</v>
      </c>
    </row>
    <row r="50" spans="1:17" ht="13.5" thickBot="1" x14ac:dyDescent="0.25">
      <c r="A50" s="260"/>
      <c r="C50" s="528"/>
      <c r="D50" s="569"/>
      <c r="E50" s="570"/>
      <c r="F50" s="571"/>
      <c r="G50" s="565" t="str">
        <f>'TRAD-Children YEAR(1)'!B31</f>
        <v>Nb de patients ayant switché dans l'année :</v>
      </c>
      <c r="H50" s="573" t="e">
        <f>IF(H48-H12&gt;0, H48-H12, 0)</f>
        <v>#DIV/0!</v>
      </c>
      <c r="J50" s="574" t="str">
        <f>'TRAD-Children YEAR(1)'!B33</f>
        <v>Proportion mensuelle :</v>
      </c>
      <c r="K50" s="575"/>
      <c r="L50" s="576" t="e">
        <f>H50/$D$6</f>
        <v>#DIV/0!</v>
      </c>
    </row>
    <row r="51" spans="1:17" ht="13.5" thickBot="1" x14ac:dyDescent="0.25">
      <c r="A51" s="260"/>
    </row>
    <row r="52" spans="1:17" ht="64.5" thickBot="1" x14ac:dyDescent="0.25">
      <c r="A52" s="260"/>
      <c r="B52" s="554" t="str">
        <f>'TRAD-Children YEAR(1)'!B34</f>
        <v>2èmes lignes</v>
      </c>
      <c r="C52" s="554" t="s">
        <v>51</v>
      </c>
      <c r="D52" s="544" t="str">
        <f>'TRAD-Children YEAR(1)'!B16</f>
        <v>Nb de patients mensuels</v>
      </c>
      <c r="E52" s="544" t="s">
        <v>271</v>
      </c>
      <c r="F52" s="2189" t="s">
        <v>56</v>
      </c>
      <c r="G52" s="2189"/>
      <c r="H52" s="2189"/>
      <c r="I52" s="544" t="s">
        <v>66</v>
      </c>
      <c r="J52" s="544" t="s">
        <v>223</v>
      </c>
      <c r="K52" s="544" t="s">
        <v>224</v>
      </c>
    </row>
    <row r="53" spans="1:17" x14ac:dyDescent="0.2">
      <c r="A53" s="260"/>
      <c r="B53" s="1950" t="str">
        <f t="array" ref="B53:B56">'Data &amp; hypothesis Children'!$C$32:$C$35</f>
        <v>ABC+3TC+EFV</v>
      </c>
      <c r="C53" s="1951">
        <f>'Data &amp; hypothesis Children'!G79</f>
        <v>0</v>
      </c>
      <c r="D53" s="1952" t="e">
        <f>$C53*$L$50</f>
        <v>#DIV/0!</v>
      </c>
      <c r="E53" s="1952" t="e">
        <f>D53*$D$6</f>
        <v>#DIV/0!</v>
      </c>
      <c r="F53" s="1952"/>
      <c r="G53" s="1952"/>
      <c r="H53" s="1952"/>
      <c r="I53" s="1953" t="e">
        <f>$I$6*D53</f>
        <v>#DIV/0!</v>
      </c>
      <c r="J53" s="1953" t="e">
        <f>D53*$I$7</f>
        <v>#DIV/0!</v>
      </c>
      <c r="K53" s="1954" t="e">
        <f>J53-I53</f>
        <v>#DIV/0!</v>
      </c>
    </row>
    <row r="54" spans="1:17" x14ac:dyDescent="0.2">
      <c r="A54" s="260"/>
      <c r="B54" s="1955" t="str">
        <v>TDF+3TC+LPV/r</v>
      </c>
      <c r="C54" s="1956">
        <f>'Data &amp; hypothesis Children'!G80</f>
        <v>0</v>
      </c>
      <c r="D54" s="734" t="e">
        <f t="shared" ref="D54:D55" si="7">$C54*$L$50</f>
        <v>#DIV/0!</v>
      </c>
      <c r="E54" s="734" t="e">
        <f t="shared" ref="E54:E55" si="8">D54*$D$6</f>
        <v>#DIV/0!</v>
      </c>
      <c r="F54" s="734"/>
      <c r="G54" s="734"/>
      <c r="H54" s="734"/>
      <c r="I54" s="1272" t="e">
        <f t="shared" ref="I54:I55" si="9">$I$6*D54</f>
        <v>#DIV/0!</v>
      </c>
      <c r="J54" s="1272" t="e">
        <f t="shared" ref="J54:J55" si="10">D54*$I$7</f>
        <v>#DIV/0!</v>
      </c>
      <c r="K54" s="1957" t="e">
        <f t="shared" ref="K54:K55" si="11">J54-I54</f>
        <v>#DIV/0!</v>
      </c>
    </row>
    <row r="55" spans="1:17" x14ac:dyDescent="0.2">
      <c r="A55" s="260"/>
      <c r="B55" s="1955" t="str">
        <v>AZT+3TC+EFV</v>
      </c>
      <c r="C55" s="1956">
        <f>'Data &amp; hypothesis Children'!G81</f>
        <v>0</v>
      </c>
      <c r="D55" s="734" t="e">
        <f t="shared" si="7"/>
        <v>#DIV/0!</v>
      </c>
      <c r="E55" s="734" t="e">
        <f t="shared" si="8"/>
        <v>#DIV/0!</v>
      </c>
      <c r="F55" s="734"/>
      <c r="G55" s="734"/>
      <c r="H55" s="734"/>
      <c r="I55" s="1272" t="e">
        <f t="shared" si="9"/>
        <v>#DIV/0!</v>
      </c>
      <c r="J55" s="1272" t="e">
        <f t="shared" si="10"/>
        <v>#DIV/0!</v>
      </c>
      <c r="K55" s="1957" t="e">
        <f t="shared" si="11"/>
        <v>#DIV/0!</v>
      </c>
    </row>
    <row r="56" spans="1:17" ht="13.5" thickBot="1" x14ac:dyDescent="0.25">
      <c r="A56" s="260"/>
      <c r="B56" s="1958">
        <v>0</v>
      </c>
      <c r="C56" s="1273">
        <f>'Data &amp; hypothesis Children'!G82</f>
        <v>0</v>
      </c>
      <c r="D56" s="1197" t="e">
        <f>$C56*$L$50</f>
        <v>#DIV/0!</v>
      </c>
      <c r="E56" s="1197" t="e">
        <f>D56*$D$6</f>
        <v>#DIV/0!</v>
      </c>
      <c r="F56" s="1197"/>
      <c r="G56" s="1197"/>
      <c r="H56" s="1197"/>
      <c r="I56" s="557" t="e">
        <f>$I$6*D56</f>
        <v>#DIV/0!</v>
      </c>
      <c r="J56" s="557" t="e">
        <f>D56*$I$7</f>
        <v>#DIV/0!</v>
      </c>
      <c r="K56" s="1959" t="e">
        <f>J56-I56</f>
        <v>#DIV/0!</v>
      </c>
    </row>
    <row r="57" spans="1:17" ht="14.25" thickTop="1" thickBot="1" x14ac:dyDescent="0.25">
      <c r="A57" s="260"/>
      <c r="B57" s="528" t="s">
        <v>6</v>
      </c>
      <c r="C57" s="528"/>
      <c r="D57" s="577" t="e">
        <f>SUM(D53:D56)</f>
        <v>#DIV/0!</v>
      </c>
      <c r="E57" s="577" t="e">
        <f>SUM(E53:E56)</f>
        <v>#DIV/0!</v>
      </c>
      <c r="F57" s="577"/>
      <c r="G57" s="577"/>
      <c r="H57" s="577"/>
      <c r="I57" s="562" t="e">
        <f>SUM(I53:I56)</f>
        <v>#DIV/0!</v>
      </c>
      <c r="J57" s="562" t="e">
        <f>SUM(J53:J56)</f>
        <v>#DIV/0!</v>
      </c>
      <c r="K57" s="562" t="e">
        <f>SUM(K53:K56)</f>
        <v>#DIV/0!</v>
      </c>
    </row>
    <row r="58" spans="1:17" x14ac:dyDescent="0.2">
      <c r="A58" s="260"/>
      <c r="I58" s="292"/>
    </row>
    <row r="59" spans="1:17" x14ac:dyDescent="0.2">
      <c r="A59" s="260"/>
      <c r="Q59" s="292"/>
    </row>
    <row r="60" spans="1:17" s="263" customFormat="1" ht="16.5" thickBot="1" x14ac:dyDescent="0.3">
      <c r="A60" s="2177" t="s">
        <v>209</v>
      </c>
      <c r="B60" s="2177"/>
      <c r="C60" s="2177"/>
      <c r="D60" s="2177"/>
      <c r="E60" s="2177"/>
      <c r="F60" s="2177"/>
      <c r="G60" s="2177"/>
      <c r="H60" s="2177"/>
      <c r="I60" s="2177"/>
      <c r="J60" s="2177"/>
      <c r="K60" s="2177"/>
      <c r="L60" s="2177"/>
      <c r="M60" s="2177"/>
      <c r="N60" s="2177"/>
    </row>
    <row r="61" spans="1:17" ht="13.5" thickBot="1" x14ac:dyDescent="0.25">
      <c r="A61" s="260"/>
      <c r="Q61" s="292"/>
    </row>
    <row r="62" spans="1:17" ht="13.5" thickBot="1" x14ac:dyDescent="0.25">
      <c r="A62" s="260"/>
      <c r="B62" s="554" t="s">
        <v>124</v>
      </c>
      <c r="C62" s="544" t="s">
        <v>206</v>
      </c>
      <c r="D62" s="544" t="s">
        <v>207</v>
      </c>
      <c r="E62" s="544" t="s">
        <v>208</v>
      </c>
      <c r="F62" s="544" t="s">
        <v>112</v>
      </c>
      <c r="Q62" s="292"/>
    </row>
    <row r="63" spans="1:17" ht="13.5" thickBot="1" x14ac:dyDescent="0.25">
      <c r="A63" s="260"/>
      <c r="B63" s="578" t="s">
        <v>125</v>
      </c>
      <c r="C63" s="579">
        <f>'Data &amp; hypothesis Children'!C44</f>
        <v>0.25</v>
      </c>
      <c r="D63" s="579">
        <f>'Data &amp; hypothesis Children'!D44</f>
        <v>0.5</v>
      </c>
      <c r="E63" s="580">
        <f>'Data &amp; hypothesis Children'!E44</f>
        <v>0.13</v>
      </c>
      <c r="F63" s="580">
        <f>'Data &amp; hypothesis Children'!F44</f>
        <v>0.12</v>
      </c>
      <c r="Q63" s="292"/>
    </row>
    <row r="64" spans="1:17" x14ac:dyDescent="0.2">
      <c r="A64" s="260"/>
      <c r="Q64" s="292"/>
    </row>
    <row r="65" spans="1:17" ht="15" x14ac:dyDescent="0.2">
      <c r="A65" s="260"/>
      <c r="B65" s="2191" t="s">
        <v>262</v>
      </c>
      <c r="C65" s="2191"/>
      <c r="D65" s="2191"/>
      <c r="E65" s="2191"/>
      <c r="F65" s="2191"/>
      <c r="Q65" s="292"/>
    </row>
    <row r="66" spans="1:17" x14ac:dyDescent="0.2">
      <c r="A66" s="260"/>
      <c r="C66" s="291"/>
      <c r="D66" s="291"/>
      <c r="E66" s="291"/>
      <c r="F66" s="291"/>
      <c r="G66" s="291"/>
      <c r="H66" s="291"/>
      <c r="I66" s="291"/>
      <c r="Q66" s="292"/>
    </row>
    <row r="67" spans="1:17" ht="13.5" thickBot="1" x14ac:dyDescent="0.25">
      <c r="A67" s="260"/>
      <c r="C67" s="2168" t="s">
        <v>211</v>
      </c>
      <c r="D67" s="2168"/>
      <c r="E67" s="2190"/>
      <c r="F67" s="2168" t="str">
        <f>'TRAD-Children YEAR(1)'!B40</f>
        <v>Répartition des patients mois / tranches de poids</v>
      </c>
      <c r="G67" s="2168"/>
      <c r="H67" s="2168"/>
      <c r="I67" s="2168"/>
      <c r="Q67" s="292"/>
    </row>
    <row r="68" spans="1:17" ht="39" thickBot="1" x14ac:dyDescent="0.25">
      <c r="A68" s="260"/>
      <c r="B68" s="529" t="str">
        <f>'TRAD-Children YEAR(1)'!B6</f>
        <v>Schéma thérapeutique</v>
      </c>
      <c r="C68" s="529" t="str">
        <f>'TRAD-Children YEAR(1)'!B41</f>
        <v>Enfants présents au début de l'année</v>
      </c>
      <c r="D68" s="529" t="str">
        <f>'TRAD-Children YEAR(1)'!B42</f>
        <v>Initiations et passages en 2ème lignes</v>
      </c>
      <c r="E68" s="581" t="str">
        <f>'TRAD-Children YEAR(1)'!B43</f>
        <v>Total annuel en nb de patients -mois</v>
      </c>
      <c r="F68" s="544" t="s">
        <v>206</v>
      </c>
      <c r="G68" s="544" t="s">
        <v>207</v>
      </c>
      <c r="H68" s="544" t="s">
        <v>208</v>
      </c>
      <c r="I68" s="544" t="s">
        <v>112</v>
      </c>
      <c r="O68" s="292"/>
    </row>
    <row r="69" spans="1:17" x14ac:dyDescent="0.2">
      <c r="A69" s="260"/>
      <c r="B69" s="155" t="str">
        <f t="array" ref="B69:B78">'Data &amp; hypothesis Children'!$C$26:$C$35</f>
        <v>D4T+3TC+NVP</v>
      </c>
      <c r="C69" s="582" t="e">
        <f t="shared" ref="C69:C74" si="12">$D$6*C10</f>
        <v>#DIV/0!</v>
      </c>
      <c r="D69" s="582">
        <f t="shared" ref="D69:D74" si="13">E36</f>
        <v>0</v>
      </c>
      <c r="E69" s="583" t="e">
        <f>SUM(C69:D69)</f>
        <v>#DIV/0!</v>
      </c>
      <c r="F69" s="584" t="e">
        <f t="shared" ref="F69:I70" si="14">C$63*$E69</f>
        <v>#DIV/0!</v>
      </c>
      <c r="G69" s="584" t="e">
        <f t="shared" si="14"/>
        <v>#DIV/0!</v>
      </c>
      <c r="H69" s="584" t="e">
        <f t="shared" si="14"/>
        <v>#DIV/0!</v>
      </c>
      <c r="I69" s="584" t="e">
        <f t="shared" si="14"/>
        <v>#DIV/0!</v>
      </c>
      <c r="O69" s="292"/>
    </row>
    <row r="70" spans="1:17" x14ac:dyDescent="0.2">
      <c r="A70" s="260"/>
      <c r="B70" s="156" t="str">
        <v>AZT+3TC+NVP</v>
      </c>
      <c r="C70" s="585" t="e">
        <f t="shared" si="12"/>
        <v>#DIV/0!</v>
      </c>
      <c r="D70" s="585">
        <f t="shared" si="13"/>
        <v>0</v>
      </c>
      <c r="E70" s="586" t="e">
        <f t="shared" ref="E70:E78" si="15">SUM(C70:D70)</f>
        <v>#DIV/0!</v>
      </c>
      <c r="F70" s="587" t="e">
        <f t="shared" si="14"/>
        <v>#DIV/0!</v>
      </c>
      <c r="G70" s="587" t="e">
        <f t="shared" si="14"/>
        <v>#DIV/0!</v>
      </c>
      <c r="H70" s="587" t="e">
        <f t="shared" si="14"/>
        <v>#DIV/0!</v>
      </c>
      <c r="I70" s="587" t="e">
        <f t="shared" si="14"/>
        <v>#DIV/0!</v>
      </c>
      <c r="O70" s="292"/>
    </row>
    <row r="71" spans="1:17" x14ac:dyDescent="0.2">
      <c r="A71" s="260"/>
      <c r="B71" s="156" t="str">
        <v>AZT+3TC+EFV</v>
      </c>
      <c r="C71" s="585" t="e">
        <f t="shared" si="12"/>
        <v>#DIV/0!</v>
      </c>
      <c r="D71" s="585">
        <f t="shared" si="13"/>
        <v>0</v>
      </c>
      <c r="E71" s="586" t="e">
        <f t="shared" si="15"/>
        <v>#DIV/0!</v>
      </c>
      <c r="F71" s="588"/>
      <c r="G71" s="587" t="e">
        <f>(C$63+D$63)*$E71</f>
        <v>#DIV/0!</v>
      </c>
      <c r="H71" s="587" t="e">
        <f t="shared" ref="H71:I78" si="16">E$63*$E71</f>
        <v>#DIV/0!</v>
      </c>
      <c r="I71" s="587" t="e">
        <f t="shared" si="16"/>
        <v>#DIV/0!</v>
      </c>
      <c r="O71" s="292"/>
    </row>
    <row r="72" spans="1:17" x14ac:dyDescent="0.2">
      <c r="A72" s="260"/>
      <c r="B72" s="156" t="str">
        <v>LPV/r+3TC+ABC</v>
      </c>
      <c r="C72" s="585" t="e">
        <f t="shared" si="12"/>
        <v>#DIV/0!</v>
      </c>
      <c r="D72" s="585">
        <f t="shared" si="13"/>
        <v>0</v>
      </c>
      <c r="E72" s="586" t="e">
        <f t="shared" si="15"/>
        <v>#DIV/0!</v>
      </c>
      <c r="F72" s="587" t="e">
        <f t="shared" ref="F72:G78" si="17">C$63*$E72</f>
        <v>#DIV/0!</v>
      </c>
      <c r="G72" s="587" t="e">
        <f t="shared" si="17"/>
        <v>#DIV/0!</v>
      </c>
      <c r="H72" s="587" t="e">
        <f t="shared" si="16"/>
        <v>#DIV/0!</v>
      </c>
      <c r="I72" s="587" t="e">
        <f t="shared" si="16"/>
        <v>#DIV/0!</v>
      </c>
      <c r="O72" s="292"/>
    </row>
    <row r="73" spans="1:17" x14ac:dyDescent="0.2">
      <c r="A73" s="260"/>
      <c r="B73" s="156" t="str">
        <v>ABC+3TC+NVP</v>
      </c>
      <c r="C73" s="585" t="e">
        <f t="shared" si="12"/>
        <v>#DIV/0!</v>
      </c>
      <c r="D73" s="585">
        <f t="shared" si="13"/>
        <v>0</v>
      </c>
      <c r="E73" s="586" t="e">
        <f t="shared" si="15"/>
        <v>#DIV/0!</v>
      </c>
      <c r="F73" s="587" t="e">
        <f t="shared" si="17"/>
        <v>#DIV/0!</v>
      </c>
      <c r="G73" s="587" t="e">
        <f t="shared" si="17"/>
        <v>#DIV/0!</v>
      </c>
      <c r="H73" s="587" t="e">
        <f t="shared" si="16"/>
        <v>#DIV/0!</v>
      </c>
      <c r="I73" s="587" t="e">
        <f t="shared" si="16"/>
        <v>#DIV/0!</v>
      </c>
      <c r="O73" s="292"/>
    </row>
    <row r="74" spans="1:17" x14ac:dyDescent="0.2">
      <c r="A74" s="260"/>
      <c r="B74" s="1253" t="str">
        <v>AZT+3TC+LPV/r</v>
      </c>
      <c r="C74" s="772" t="e">
        <f t="shared" si="12"/>
        <v>#DIV/0!</v>
      </c>
      <c r="D74" s="772">
        <f t="shared" si="13"/>
        <v>0</v>
      </c>
      <c r="E74" s="1276" t="e">
        <f t="shared" si="15"/>
        <v>#DIV/0!</v>
      </c>
      <c r="F74" s="777" t="e">
        <f t="shared" si="17"/>
        <v>#DIV/0!</v>
      </c>
      <c r="G74" s="777" t="e">
        <f t="shared" si="17"/>
        <v>#DIV/0!</v>
      </c>
      <c r="H74" s="777" t="e">
        <f t="shared" si="16"/>
        <v>#DIV/0!</v>
      </c>
      <c r="I74" s="777" t="e">
        <f t="shared" si="16"/>
        <v>#DIV/0!</v>
      </c>
      <c r="O74" s="292"/>
    </row>
    <row r="75" spans="1:17" x14ac:dyDescent="0.2">
      <c r="A75" s="260"/>
      <c r="B75" s="1948" t="str">
        <v>ABC+3TC+EFV</v>
      </c>
      <c r="C75" s="771" t="e">
        <f>$D$6*C16</f>
        <v>#DIV/0!</v>
      </c>
      <c r="D75" s="771" t="e">
        <f>I53</f>
        <v>#DIV/0!</v>
      </c>
      <c r="E75" s="1274" t="e">
        <f t="shared" si="15"/>
        <v>#DIV/0!</v>
      </c>
      <c r="F75" s="1275" t="e">
        <f t="shared" si="17"/>
        <v>#DIV/0!</v>
      </c>
      <c r="G75" s="1275" t="e">
        <f t="shared" si="17"/>
        <v>#DIV/0!</v>
      </c>
      <c r="H75" s="1275" t="e">
        <f t="shared" si="16"/>
        <v>#DIV/0!</v>
      </c>
      <c r="I75" s="1275" t="e">
        <f t="shared" si="16"/>
        <v>#DIV/0!</v>
      </c>
      <c r="O75" s="292"/>
    </row>
    <row r="76" spans="1:17" x14ac:dyDescent="0.2">
      <c r="A76" s="260"/>
      <c r="B76" s="156" t="str">
        <v>TDF+3TC+LPV/r</v>
      </c>
      <c r="C76" s="771" t="e">
        <f t="shared" ref="C76:C77" si="18">$D$6*C17</f>
        <v>#DIV/0!</v>
      </c>
      <c r="D76" s="771" t="e">
        <f t="shared" ref="D76:D77" si="19">I54</f>
        <v>#DIV/0!</v>
      </c>
      <c r="E76" s="1274" t="e">
        <f t="shared" ref="E76:E77" si="20">SUM(C76:D76)</f>
        <v>#DIV/0!</v>
      </c>
      <c r="F76" s="1275" t="e">
        <f t="shared" ref="F76:F77" si="21">C$63*$E76</f>
        <v>#DIV/0!</v>
      </c>
      <c r="G76" s="1275" t="e">
        <f t="shared" ref="G76:G77" si="22">D$63*$E76</f>
        <v>#DIV/0!</v>
      </c>
      <c r="H76" s="1275" t="e">
        <f t="shared" ref="H76:H77" si="23">E$63*$E76</f>
        <v>#DIV/0!</v>
      </c>
      <c r="I76" s="1275" t="e">
        <f t="shared" ref="I76:I77" si="24">F$63*$E76</f>
        <v>#DIV/0!</v>
      </c>
      <c r="O76" s="292"/>
    </row>
    <row r="77" spans="1:17" x14ac:dyDescent="0.2">
      <c r="A77" s="260"/>
      <c r="B77" s="156" t="str">
        <v>AZT+3TC+EFV</v>
      </c>
      <c r="C77" s="771" t="e">
        <f t="shared" si="18"/>
        <v>#DIV/0!</v>
      </c>
      <c r="D77" s="771" t="e">
        <f t="shared" si="19"/>
        <v>#DIV/0!</v>
      </c>
      <c r="E77" s="1274" t="e">
        <f t="shared" si="20"/>
        <v>#DIV/0!</v>
      </c>
      <c r="F77" s="1275" t="e">
        <f t="shared" si="21"/>
        <v>#DIV/0!</v>
      </c>
      <c r="G77" s="1275" t="e">
        <f t="shared" si="22"/>
        <v>#DIV/0!</v>
      </c>
      <c r="H77" s="1275" t="e">
        <f t="shared" si="23"/>
        <v>#DIV/0!</v>
      </c>
      <c r="I77" s="1275" t="e">
        <f t="shared" si="24"/>
        <v>#DIV/0!</v>
      </c>
      <c r="O77" s="292"/>
    </row>
    <row r="78" spans="1:17" ht="13.5" thickBot="1" x14ac:dyDescent="0.25">
      <c r="A78" s="260"/>
      <c r="B78" s="157">
        <v>0</v>
      </c>
      <c r="C78" s="589" t="e">
        <f>$D$6*C19</f>
        <v>#DIV/0!</v>
      </c>
      <c r="D78" s="589" t="e">
        <f>I56</f>
        <v>#DIV/0!</v>
      </c>
      <c r="E78" s="590" t="e">
        <f t="shared" si="15"/>
        <v>#DIV/0!</v>
      </c>
      <c r="F78" s="591" t="e">
        <f t="shared" si="17"/>
        <v>#DIV/0!</v>
      </c>
      <c r="G78" s="591" t="e">
        <f t="shared" si="17"/>
        <v>#DIV/0!</v>
      </c>
      <c r="H78" s="591" t="e">
        <f t="shared" si="16"/>
        <v>#DIV/0!</v>
      </c>
      <c r="I78" s="591" t="e">
        <f t="shared" si="16"/>
        <v>#DIV/0!</v>
      </c>
      <c r="O78" s="292"/>
    </row>
    <row r="79" spans="1:17" ht="13.5" thickTop="1" x14ac:dyDescent="0.2">
      <c r="A79" s="260"/>
      <c r="B79" s="592"/>
      <c r="C79" s="592"/>
      <c r="D79" s="592"/>
      <c r="E79" s="592"/>
      <c r="O79" s="292"/>
    </row>
    <row r="80" spans="1:17" x14ac:dyDescent="0.2">
      <c r="A80" s="260"/>
      <c r="B80" s="593"/>
      <c r="C80" s="593"/>
      <c r="D80" s="593"/>
      <c r="E80" s="593"/>
      <c r="O80" s="292"/>
    </row>
    <row r="81" spans="1:17" ht="15" x14ac:dyDescent="0.2">
      <c r="A81" s="260"/>
      <c r="B81" s="2191" t="str">
        <f>'TRAD-Children YEAR(1)'!B44</f>
        <v>AVEC marge de sécurité</v>
      </c>
      <c r="C81" s="2191"/>
      <c r="D81" s="2191"/>
      <c r="E81" s="2191"/>
      <c r="F81" s="2191"/>
      <c r="Q81" s="292"/>
    </row>
    <row r="82" spans="1:17" x14ac:dyDescent="0.2">
      <c r="A82" s="260"/>
      <c r="C82" s="291"/>
      <c r="D82" s="291"/>
      <c r="E82" s="291"/>
      <c r="F82" s="291"/>
      <c r="G82" s="291"/>
      <c r="H82" s="291"/>
      <c r="I82" s="291"/>
      <c r="Q82" s="292"/>
    </row>
    <row r="83" spans="1:17" ht="13.5" thickBot="1" x14ac:dyDescent="0.25">
      <c r="A83" s="260"/>
      <c r="C83" s="2168" t="s">
        <v>211</v>
      </c>
      <c r="D83" s="2168"/>
      <c r="E83" s="2190"/>
      <c r="F83" s="2168" t="str">
        <f>'TRAD-Children YEAR(1)'!B40</f>
        <v>Répartition des patients mois / tranches de poids</v>
      </c>
      <c r="G83" s="2168"/>
      <c r="H83" s="2168"/>
      <c r="I83" s="2168"/>
      <c r="Q83" s="292"/>
    </row>
    <row r="84" spans="1:17" ht="39" thickBot="1" x14ac:dyDescent="0.25">
      <c r="A84" s="260"/>
      <c r="B84" s="529" t="str">
        <f>'TRAD-Children YEAR(1)'!B6</f>
        <v>Schéma thérapeutique</v>
      </c>
      <c r="C84" s="529" t="str">
        <f>'TRAD-Children YEAR(1)'!B41</f>
        <v>Enfants présents au début de l'année</v>
      </c>
      <c r="D84" s="529" t="str">
        <f>'TRAD-Children YEAR(1)'!B42</f>
        <v>Initiations et passages en 2ème lignes</v>
      </c>
      <c r="E84" s="581" t="str">
        <f>'TRAD-Children YEAR(1)'!B43</f>
        <v>Total annuel en nb de patients -mois</v>
      </c>
      <c r="F84" s="544" t="s">
        <v>206</v>
      </c>
      <c r="G84" s="544" t="s">
        <v>207</v>
      </c>
      <c r="H84" s="544" t="s">
        <v>208</v>
      </c>
      <c r="I84" s="544" t="s">
        <v>112</v>
      </c>
      <c r="O84" s="292"/>
    </row>
    <row r="85" spans="1:17" x14ac:dyDescent="0.2">
      <c r="A85" s="260"/>
      <c r="B85" s="155" t="str">
        <f t="array" ref="B85:B94">'Data &amp; hypothesis Children'!$C$26:$C$35</f>
        <v>D4T+3TC+NVP</v>
      </c>
      <c r="C85" s="582" t="e">
        <f t="shared" ref="C85:C91" si="25">$D$7*C10</f>
        <v>#DIV/0!</v>
      </c>
      <c r="D85" s="582">
        <f t="shared" ref="D85:D90" si="26">H36</f>
        <v>0</v>
      </c>
      <c r="E85" s="583" t="e">
        <f t="shared" ref="E85:E91" si="27">SUM(C85:D85)</f>
        <v>#DIV/0!</v>
      </c>
      <c r="F85" s="584" t="e">
        <f t="shared" ref="F85:I86" si="28">C$63*$E85</f>
        <v>#DIV/0!</v>
      </c>
      <c r="G85" s="584" t="e">
        <f t="shared" si="28"/>
        <v>#DIV/0!</v>
      </c>
      <c r="H85" s="584" t="e">
        <f t="shared" si="28"/>
        <v>#DIV/0!</v>
      </c>
      <c r="I85" s="584" t="e">
        <f t="shared" si="28"/>
        <v>#DIV/0!</v>
      </c>
      <c r="O85" s="292"/>
    </row>
    <row r="86" spans="1:17" x14ac:dyDescent="0.2">
      <c r="A86" s="260"/>
      <c r="B86" s="156" t="str">
        <v>AZT+3TC+NVP</v>
      </c>
      <c r="C86" s="585" t="e">
        <f t="shared" si="25"/>
        <v>#DIV/0!</v>
      </c>
      <c r="D86" s="585">
        <f t="shared" si="26"/>
        <v>0</v>
      </c>
      <c r="E86" s="586" t="e">
        <f t="shared" si="27"/>
        <v>#DIV/0!</v>
      </c>
      <c r="F86" s="587" t="e">
        <f t="shared" si="28"/>
        <v>#DIV/0!</v>
      </c>
      <c r="G86" s="587" t="e">
        <f t="shared" si="28"/>
        <v>#DIV/0!</v>
      </c>
      <c r="H86" s="587" t="e">
        <f t="shared" si="28"/>
        <v>#DIV/0!</v>
      </c>
      <c r="I86" s="587" t="e">
        <f t="shared" si="28"/>
        <v>#DIV/0!</v>
      </c>
      <c r="O86" s="292"/>
    </row>
    <row r="87" spans="1:17" x14ac:dyDescent="0.2">
      <c r="A87" s="260"/>
      <c r="B87" s="156" t="str">
        <v>AZT+3TC+EFV</v>
      </c>
      <c r="C87" s="585" t="e">
        <f t="shared" si="25"/>
        <v>#DIV/0!</v>
      </c>
      <c r="D87" s="585">
        <f t="shared" si="26"/>
        <v>0</v>
      </c>
      <c r="E87" s="586" t="e">
        <f t="shared" si="27"/>
        <v>#DIV/0!</v>
      </c>
      <c r="F87" s="588"/>
      <c r="G87" s="587" t="e">
        <f>(C$63+D$63)*$E87</f>
        <v>#DIV/0!</v>
      </c>
      <c r="H87" s="587" t="e">
        <f t="shared" ref="H87:I91" si="29">E$63*$E87</f>
        <v>#DIV/0!</v>
      </c>
      <c r="I87" s="587" t="e">
        <f t="shared" si="29"/>
        <v>#DIV/0!</v>
      </c>
      <c r="O87" s="292"/>
    </row>
    <row r="88" spans="1:17" x14ac:dyDescent="0.2">
      <c r="A88" s="260"/>
      <c r="B88" s="156" t="str">
        <v>LPV/r+3TC+ABC</v>
      </c>
      <c r="C88" s="585" t="e">
        <f t="shared" si="25"/>
        <v>#DIV/0!</v>
      </c>
      <c r="D88" s="585">
        <f t="shared" si="26"/>
        <v>0</v>
      </c>
      <c r="E88" s="586" t="e">
        <f t="shared" si="27"/>
        <v>#DIV/0!</v>
      </c>
      <c r="F88" s="587" t="e">
        <f t="shared" ref="F88:G91" si="30">C$63*$E88</f>
        <v>#DIV/0!</v>
      </c>
      <c r="G88" s="587" t="e">
        <f t="shared" si="30"/>
        <v>#DIV/0!</v>
      </c>
      <c r="H88" s="587" t="e">
        <f t="shared" si="29"/>
        <v>#DIV/0!</v>
      </c>
      <c r="I88" s="587" t="e">
        <f t="shared" si="29"/>
        <v>#DIV/0!</v>
      </c>
      <c r="O88" s="292"/>
    </row>
    <row r="89" spans="1:17" x14ac:dyDescent="0.2">
      <c r="A89" s="260"/>
      <c r="B89" s="156" t="str">
        <v>ABC+3TC+NVP</v>
      </c>
      <c r="C89" s="585" t="e">
        <f t="shared" si="25"/>
        <v>#DIV/0!</v>
      </c>
      <c r="D89" s="585">
        <f t="shared" si="26"/>
        <v>0</v>
      </c>
      <c r="E89" s="586" t="e">
        <f t="shared" si="27"/>
        <v>#DIV/0!</v>
      </c>
      <c r="F89" s="587" t="e">
        <f t="shared" si="30"/>
        <v>#DIV/0!</v>
      </c>
      <c r="G89" s="587" t="e">
        <f t="shared" si="30"/>
        <v>#DIV/0!</v>
      </c>
      <c r="H89" s="587" t="e">
        <f t="shared" si="29"/>
        <v>#DIV/0!</v>
      </c>
      <c r="I89" s="587" t="e">
        <f t="shared" si="29"/>
        <v>#DIV/0!</v>
      </c>
      <c r="O89" s="292"/>
    </row>
    <row r="90" spans="1:17" x14ac:dyDescent="0.2">
      <c r="A90" s="260"/>
      <c r="B90" s="1253" t="str">
        <v>AZT+3TC+LPV/r</v>
      </c>
      <c r="C90" s="772" t="e">
        <f t="shared" si="25"/>
        <v>#DIV/0!</v>
      </c>
      <c r="D90" s="772">
        <f t="shared" si="26"/>
        <v>0</v>
      </c>
      <c r="E90" s="1276" t="e">
        <f t="shared" si="27"/>
        <v>#DIV/0!</v>
      </c>
      <c r="F90" s="777" t="e">
        <f t="shared" si="30"/>
        <v>#DIV/0!</v>
      </c>
      <c r="G90" s="777" t="e">
        <f t="shared" si="30"/>
        <v>#DIV/0!</v>
      </c>
      <c r="H90" s="777" t="e">
        <f t="shared" si="29"/>
        <v>#DIV/0!</v>
      </c>
      <c r="I90" s="777" t="e">
        <f t="shared" si="29"/>
        <v>#DIV/0!</v>
      </c>
      <c r="O90" s="292"/>
    </row>
    <row r="91" spans="1:17" x14ac:dyDescent="0.2">
      <c r="A91" s="260"/>
      <c r="B91" s="1948" t="str">
        <v>ABC+3TC+EFV</v>
      </c>
      <c r="C91" s="771" t="e">
        <f t="shared" si="25"/>
        <v>#DIV/0!</v>
      </c>
      <c r="D91" s="771" t="e">
        <f>J53</f>
        <v>#DIV/0!</v>
      </c>
      <c r="E91" s="1274" t="e">
        <f t="shared" si="27"/>
        <v>#DIV/0!</v>
      </c>
      <c r="F91" s="1275" t="e">
        <f t="shared" si="30"/>
        <v>#DIV/0!</v>
      </c>
      <c r="G91" s="1275" t="e">
        <f t="shared" si="30"/>
        <v>#DIV/0!</v>
      </c>
      <c r="H91" s="1275" t="e">
        <f t="shared" si="29"/>
        <v>#DIV/0!</v>
      </c>
      <c r="I91" s="1275" t="e">
        <f t="shared" si="29"/>
        <v>#DIV/0!</v>
      </c>
      <c r="O91" s="292"/>
    </row>
    <row r="92" spans="1:17" x14ac:dyDescent="0.2">
      <c r="A92" s="260"/>
      <c r="B92" s="156" t="str">
        <v>TDF+3TC+LPV/r</v>
      </c>
      <c r="C92" s="771" t="e">
        <f t="shared" ref="C92:C94" si="31">$D$7*C17</f>
        <v>#DIV/0!</v>
      </c>
      <c r="D92" s="771" t="e">
        <f t="shared" ref="D92:D94" si="32">J54</f>
        <v>#DIV/0!</v>
      </c>
      <c r="E92" s="1274" t="e">
        <f t="shared" ref="E92:E94" si="33">SUM(C92:D92)</f>
        <v>#DIV/0!</v>
      </c>
      <c r="F92" s="1275" t="e">
        <f t="shared" ref="F92:F94" si="34">C$63*$E92</f>
        <v>#DIV/0!</v>
      </c>
      <c r="G92" s="1275" t="e">
        <f t="shared" ref="G92:G94" si="35">D$63*$E92</f>
        <v>#DIV/0!</v>
      </c>
      <c r="H92" s="1275" t="e">
        <f t="shared" ref="H92:H94" si="36">E$63*$E92</f>
        <v>#DIV/0!</v>
      </c>
      <c r="I92" s="1275" t="e">
        <f t="shared" ref="I92:I94" si="37">F$63*$E92</f>
        <v>#DIV/0!</v>
      </c>
      <c r="O92" s="292"/>
    </row>
    <row r="93" spans="1:17" x14ac:dyDescent="0.2">
      <c r="A93" s="260"/>
      <c r="B93" s="156" t="str">
        <v>AZT+3TC+EFV</v>
      </c>
      <c r="C93" s="771" t="e">
        <f t="shared" si="31"/>
        <v>#DIV/0!</v>
      </c>
      <c r="D93" s="771" t="e">
        <f t="shared" si="32"/>
        <v>#DIV/0!</v>
      </c>
      <c r="E93" s="1274" t="e">
        <f t="shared" si="33"/>
        <v>#DIV/0!</v>
      </c>
      <c r="F93" s="1275" t="e">
        <f t="shared" si="34"/>
        <v>#DIV/0!</v>
      </c>
      <c r="G93" s="1275" t="e">
        <f t="shared" si="35"/>
        <v>#DIV/0!</v>
      </c>
      <c r="H93" s="1275" t="e">
        <f t="shared" si="36"/>
        <v>#DIV/0!</v>
      </c>
      <c r="I93" s="1275" t="e">
        <f t="shared" si="37"/>
        <v>#DIV/0!</v>
      </c>
      <c r="O93" s="292"/>
    </row>
    <row r="94" spans="1:17" ht="13.5" thickBot="1" x14ac:dyDescent="0.25">
      <c r="A94" s="260"/>
      <c r="B94" s="157">
        <v>0</v>
      </c>
      <c r="C94" s="589" t="e">
        <f t="shared" si="31"/>
        <v>#DIV/0!</v>
      </c>
      <c r="D94" s="589" t="e">
        <f t="shared" si="32"/>
        <v>#DIV/0!</v>
      </c>
      <c r="E94" s="590" t="e">
        <f t="shared" si="33"/>
        <v>#DIV/0!</v>
      </c>
      <c r="F94" s="591" t="e">
        <f t="shared" si="34"/>
        <v>#DIV/0!</v>
      </c>
      <c r="G94" s="591" t="e">
        <f t="shared" si="35"/>
        <v>#DIV/0!</v>
      </c>
      <c r="H94" s="591" t="e">
        <f t="shared" si="36"/>
        <v>#DIV/0!</v>
      </c>
      <c r="I94" s="591" t="e">
        <f t="shared" si="37"/>
        <v>#DIV/0!</v>
      </c>
      <c r="O94" s="292"/>
    </row>
    <row r="95" spans="1:17" ht="13.5" thickTop="1" x14ac:dyDescent="0.2">
      <c r="A95" s="260"/>
      <c r="B95" s="592"/>
      <c r="C95" s="592"/>
      <c r="D95" s="592"/>
      <c r="E95" s="592"/>
      <c r="O95" s="292"/>
    </row>
    <row r="97" spans="1:17" s="263" customFormat="1" ht="16.5" thickBot="1" x14ac:dyDescent="0.3">
      <c r="A97" s="2177" t="str">
        <f>'TRAD-Children YEAR(1)'!B45</f>
        <v>Calculs des quantités</v>
      </c>
      <c r="B97" s="2177"/>
      <c r="C97" s="2177"/>
      <c r="D97" s="2177"/>
      <c r="E97" s="2177"/>
      <c r="F97" s="2177"/>
      <c r="G97" s="2177"/>
      <c r="H97" s="2177"/>
      <c r="I97" s="2177"/>
      <c r="J97" s="2177"/>
      <c r="K97" s="2177"/>
      <c r="L97" s="2177"/>
      <c r="M97" s="2177"/>
      <c r="N97" s="2177"/>
    </row>
    <row r="99" spans="1:17" ht="15" x14ac:dyDescent="0.2">
      <c r="A99" s="260"/>
      <c r="B99" s="2143" t="str">
        <f>'TRAD-Children YEAR(1)'!B47</f>
        <v xml:space="preserve">TRIOMUNE bébé </v>
      </c>
      <c r="C99" s="2143"/>
      <c r="D99" s="2143"/>
      <c r="E99" s="2143"/>
      <c r="F99" s="2143"/>
      <c r="G99" s="2143"/>
      <c r="H99" s="2143"/>
      <c r="I99" s="2143"/>
      <c r="J99" s="2143"/>
      <c r="K99" s="2143"/>
      <c r="L99" s="2143"/>
      <c r="M99" s="2143"/>
      <c r="Q99" s="292"/>
    </row>
    <row r="100" spans="1:17" ht="13.5" thickBot="1" x14ac:dyDescent="0.25"/>
    <row r="101" spans="1:17" ht="40.5" customHeight="1" thickBot="1" x14ac:dyDescent="0.25">
      <c r="A101" s="594"/>
      <c r="C101" s="595" t="s">
        <v>75</v>
      </c>
      <c r="D101" s="2175" t="s">
        <v>91</v>
      </c>
      <c r="E101" s="2176"/>
      <c r="F101" s="2178" t="str">
        <f>'TRAD-Children YEAR(1)'!B48</f>
        <v>Qtés mensuelles</v>
      </c>
      <c r="G101" s="2179"/>
    </row>
    <row r="102" spans="1:17" ht="13.5" thickBot="1" x14ac:dyDescent="0.25">
      <c r="C102" s="596" t="str">
        <f>'TRAD-Children YEAR(1)'!B49</f>
        <v>Posologies</v>
      </c>
      <c r="D102" s="2175" t="str">
        <f>'TRAD-Children YEAR(1)'!B50</f>
        <v>Voir les formes simples</v>
      </c>
      <c r="E102" s="2176"/>
      <c r="F102" s="597" t="str">
        <f>'TRAD-Children YEAR(1)'!B52</f>
        <v>cp</v>
      </c>
      <c r="G102" s="597" t="str">
        <f>'TRAD-Children YEAR(1)'!B53</f>
        <v>boites</v>
      </c>
    </row>
    <row r="103" spans="1:17" ht="12.75" customHeight="1" thickBot="1" x14ac:dyDescent="0.25">
      <c r="C103" s="598" t="str">
        <f>'TRAD-Children YEAR(1)'!B54</f>
        <v xml:space="preserve">Forme galénique </v>
      </c>
      <c r="D103" s="2175" t="str">
        <f>'TRAD-Children YEAR(1)'!B51</f>
        <v>Cpr, 6 mg d4T,</v>
      </c>
      <c r="E103" s="2176"/>
      <c r="F103" s="2199"/>
      <c r="G103" s="2199"/>
    </row>
    <row r="104" spans="1:17" ht="12.75" customHeight="1" x14ac:dyDescent="0.2">
      <c r="C104" s="598"/>
      <c r="D104" s="2207" t="s">
        <v>97</v>
      </c>
      <c r="E104" s="2208"/>
      <c r="F104" s="2200"/>
      <c r="G104" s="2200"/>
    </row>
    <row r="105" spans="1:17" ht="13.5" thickBot="1" x14ac:dyDescent="0.25">
      <c r="C105" s="599"/>
      <c r="D105" s="2197" t="s">
        <v>98</v>
      </c>
      <c r="E105" s="2198"/>
      <c r="F105" s="2201"/>
      <c r="G105" s="2201"/>
    </row>
    <row r="106" spans="1:17" ht="13.5" thickBot="1" x14ac:dyDescent="0.25">
      <c r="C106" s="600" t="str">
        <f>'TRAD-Children YEAR(1)'!B36</f>
        <v>Poids (kg)</v>
      </c>
      <c r="D106" s="601" t="str">
        <f>'TRAD-Children YEAR(1)'!B55</f>
        <v>Matin</v>
      </c>
      <c r="E106" s="601" t="str">
        <f>'TRAD-Children YEAR(1)'!B56</f>
        <v>Soir</v>
      </c>
      <c r="F106" s="602"/>
      <c r="G106" s="602"/>
    </row>
    <row r="107" spans="1:17" x14ac:dyDescent="0.2">
      <c r="C107" s="848" t="s">
        <v>388</v>
      </c>
      <c r="D107" s="844">
        <v>1</v>
      </c>
      <c r="E107" s="844">
        <v>1</v>
      </c>
      <c r="F107" s="845">
        <v>60</v>
      </c>
      <c r="G107" s="845">
        <v>1</v>
      </c>
    </row>
    <row r="108" spans="1:17" x14ac:dyDescent="0.2">
      <c r="C108" s="848" t="s">
        <v>389</v>
      </c>
      <c r="D108" s="844">
        <v>1</v>
      </c>
      <c r="E108" s="844">
        <v>1</v>
      </c>
      <c r="F108" s="845">
        <v>60</v>
      </c>
      <c r="G108" s="845">
        <v>1</v>
      </c>
    </row>
    <row r="109" spans="1:17" x14ac:dyDescent="0.2">
      <c r="C109" s="603" t="s">
        <v>101</v>
      </c>
      <c r="D109" s="844">
        <v>1</v>
      </c>
      <c r="E109" s="844">
        <v>1</v>
      </c>
      <c r="F109" s="845">
        <v>60</v>
      </c>
      <c r="G109" s="845">
        <v>1</v>
      </c>
    </row>
    <row r="110" spans="1:17" x14ac:dyDescent="0.2">
      <c r="C110" s="604" t="s">
        <v>102</v>
      </c>
      <c r="D110" s="844">
        <v>1.5</v>
      </c>
      <c r="E110" s="844">
        <v>1.5</v>
      </c>
      <c r="F110" s="845">
        <v>90</v>
      </c>
      <c r="G110" s="845">
        <v>1.5</v>
      </c>
    </row>
    <row r="111" spans="1:17" x14ac:dyDescent="0.2">
      <c r="C111" s="604" t="s">
        <v>103</v>
      </c>
      <c r="D111" s="844">
        <v>1.5</v>
      </c>
      <c r="E111" s="844">
        <v>1.5</v>
      </c>
      <c r="F111" s="845">
        <v>90</v>
      </c>
      <c r="G111" s="845">
        <v>1.5</v>
      </c>
    </row>
    <row r="112" spans="1:17" x14ac:dyDescent="0.2">
      <c r="C112" s="604" t="s">
        <v>104</v>
      </c>
      <c r="D112" s="844">
        <v>1.5</v>
      </c>
      <c r="E112" s="844">
        <v>1.5</v>
      </c>
      <c r="F112" s="845">
        <v>90</v>
      </c>
      <c r="G112" s="845">
        <v>1.5</v>
      </c>
    </row>
    <row r="113" spans="1:8" x14ac:dyDescent="0.2">
      <c r="C113" s="604" t="s">
        <v>105</v>
      </c>
      <c r="D113" s="845">
        <v>1.5</v>
      </c>
      <c r="E113" s="845">
        <v>1.5</v>
      </c>
      <c r="F113" s="845">
        <v>90</v>
      </c>
      <c r="G113" s="845">
        <v>1.5</v>
      </c>
    </row>
    <row r="114" spans="1:8" x14ac:dyDescent="0.2">
      <c r="C114" s="604" t="s">
        <v>106</v>
      </c>
      <c r="D114" s="844" t="s">
        <v>107</v>
      </c>
      <c r="E114" s="844">
        <v>2</v>
      </c>
      <c r="F114" s="845">
        <v>120</v>
      </c>
      <c r="G114" s="845">
        <v>2</v>
      </c>
    </row>
    <row r="115" spans="1:8" x14ac:dyDescent="0.2">
      <c r="C115" s="604" t="s">
        <v>108</v>
      </c>
      <c r="D115" s="844" t="s">
        <v>107</v>
      </c>
      <c r="E115" s="844">
        <v>2</v>
      </c>
      <c r="F115" s="845">
        <v>120</v>
      </c>
      <c r="G115" s="845">
        <v>2</v>
      </c>
    </row>
    <row r="116" spans="1:8" x14ac:dyDescent="0.2">
      <c r="C116" s="604" t="s">
        <v>109</v>
      </c>
      <c r="D116" s="844" t="s">
        <v>107</v>
      </c>
      <c r="E116" s="844">
        <v>2</v>
      </c>
      <c r="F116" s="845">
        <v>120</v>
      </c>
      <c r="G116" s="845">
        <v>2</v>
      </c>
    </row>
    <row r="117" spans="1:8" x14ac:dyDescent="0.2">
      <c r="C117" s="604" t="s">
        <v>110</v>
      </c>
      <c r="D117" s="844">
        <v>2.5</v>
      </c>
      <c r="E117" s="844">
        <v>2.5</v>
      </c>
      <c r="F117" s="845">
        <v>150</v>
      </c>
      <c r="G117" s="845">
        <v>2.5</v>
      </c>
    </row>
    <row r="118" spans="1:8" x14ac:dyDescent="0.2">
      <c r="C118" s="604" t="s">
        <v>111</v>
      </c>
      <c r="D118" s="844">
        <v>2.5</v>
      </c>
      <c r="E118" s="844">
        <v>2.5</v>
      </c>
      <c r="F118" s="845">
        <v>150</v>
      </c>
      <c r="G118" s="845">
        <v>2.5</v>
      </c>
    </row>
    <row r="119" spans="1:8" x14ac:dyDescent="0.2">
      <c r="C119" s="604" t="s">
        <v>112</v>
      </c>
      <c r="D119" s="844">
        <v>3</v>
      </c>
      <c r="E119" s="844">
        <v>3</v>
      </c>
      <c r="F119" s="845">
        <v>180</v>
      </c>
      <c r="G119" s="845">
        <v>3</v>
      </c>
    </row>
    <row r="120" spans="1:8" x14ac:dyDescent="0.2">
      <c r="C120" s="604" t="s">
        <v>113</v>
      </c>
      <c r="D120" s="844"/>
      <c r="E120" s="844"/>
      <c r="F120" s="845"/>
      <c r="G120" s="845"/>
    </row>
    <row r="121" spans="1:8" ht="13.5" thickBot="1" x14ac:dyDescent="0.25">
      <c r="C121" s="605" t="s">
        <v>114</v>
      </c>
      <c r="D121" s="846"/>
      <c r="E121" s="846"/>
      <c r="F121" s="847"/>
      <c r="G121" s="847"/>
    </row>
    <row r="123" spans="1:8" s="4" customFormat="1" x14ac:dyDescent="0.2">
      <c r="A123" s="3"/>
      <c r="B123" s="3" t="str">
        <f>'TRAD-Children YEAR(1)'!B58</f>
        <v>Si enfants &gt; 15 kg : formes adultes à prendre en compte</v>
      </c>
    </row>
    <row r="125" spans="1:8" ht="13.5" thickBot="1" x14ac:dyDescent="0.25"/>
    <row r="126" spans="1:8" ht="13.5" thickBot="1" x14ac:dyDescent="0.25">
      <c r="A126" s="260"/>
      <c r="B126" s="2202" t="str">
        <f>'TRAD-Children YEAR(1)'!B59</f>
        <v>Initiation du traitement NVP pour les enfants recevant la TRIOMUNE bébé</v>
      </c>
      <c r="C126" s="2203"/>
      <c r="D126" s="2203"/>
      <c r="E126" s="2203"/>
      <c r="F126" s="2204"/>
    </row>
    <row r="127" spans="1:8" ht="13.5" thickBot="1" x14ac:dyDescent="0.25">
      <c r="A127" s="260"/>
      <c r="B127" s="606"/>
      <c r="C127" s="606"/>
      <c r="D127" s="606"/>
      <c r="E127" s="606"/>
      <c r="F127" s="606"/>
    </row>
    <row r="128" spans="1:8" s="1560" customFormat="1" ht="102.75" thickBot="1" x14ac:dyDescent="0.25">
      <c r="A128" s="543"/>
      <c r="E128" s="368"/>
      <c r="F128" s="369" t="str">
        <f>'TRAD-Children YEAR(1)'!B60</f>
        <v>Qté / enfant</v>
      </c>
      <c r="G128" s="498" t="str">
        <f>'TRAD-Children YEAR(1)'!B61</f>
        <v>Nb total de flacon pour les nouveaux enfants de l'année</v>
      </c>
      <c r="H128" s="498" t="str">
        <f>'TRAD-Children YEAR(1)'!B62</f>
        <v>Nb total de flacon pour les nouveaux enfants sur période AVEC marge sécu</v>
      </c>
    </row>
    <row r="129" spans="1:17" x14ac:dyDescent="0.2">
      <c r="C129" s="260" t="str">
        <f>'TRAD-Children YEAR(1)'!B63</f>
        <v>15 premiers jours</v>
      </c>
      <c r="E129" s="607" t="s">
        <v>61</v>
      </c>
      <c r="F129" s="374" t="s">
        <v>117</v>
      </c>
      <c r="G129" s="1568">
        <f>IF('Data &amp; hypothesis Children'!$G$111="X", ROUNDUP(F27, 0), 0)</f>
        <v>0</v>
      </c>
      <c r="H129" s="1568">
        <f>IF('Data &amp; hypothesis Children'!$G$111="X", ROUNDUP(G27, 0), 0)</f>
        <v>0</v>
      </c>
    </row>
    <row r="130" spans="1:17" x14ac:dyDescent="0.2">
      <c r="E130" s="608" t="s">
        <v>39</v>
      </c>
      <c r="F130" s="382" t="s">
        <v>117</v>
      </c>
      <c r="G130" s="1569">
        <f>IF('Data &amp; hypothesis Children'!$G$108="X", ROUNDUP(F28, 0), 0)</f>
        <v>0</v>
      </c>
      <c r="H130" s="1569">
        <f>IF('Data &amp; hypothesis Children'!$G$108="X", ROUNDUP(G28, 0), 0)</f>
        <v>0</v>
      </c>
    </row>
    <row r="131" spans="1:17" x14ac:dyDescent="0.2">
      <c r="B131" s="528"/>
      <c r="E131" s="608" t="s">
        <v>15</v>
      </c>
      <c r="F131" s="382" t="s">
        <v>117</v>
      </c>
      <c r="G131" s="1569">
        <f>IF('Data &amp; hypothesis Children'!$G$108="X", ROUNDUP(F28, 0), 0)+IF('Data &amp; hypothesis Children'!$G$111="X", ROUNDUP(F27, 0), 0)</f>
        <v>0</v>
      </c>
      <c r="H131" s="1569">
        <f>IF('Data &amp; hypothesis Children'!$G$108="X", ROUNDUP(G28, 0), 0)+IF('Data &amp; hypothesis Children'!$G$111="X", ROUNDUP(G27, 0), 0)</f>
        <v>0</v>
      </c>
    </row>
    <row r="132" spans="1:17" ht="13.5" thickBot="1" x14ac:dyDescent="0.25">
      <c r="B132" s="528"/>
      <c r="E132" s="609" t="s">
        <v>19</v>
      </c>
      <c r="F132" s="424" t="s">
        <v>117</v>
      </c>
      <c r="G132" s="1570">
        <f>IF(OR('Data &amp; hypothesis Children'!$G$107="X", 'Data &amp; hypothesis Children'!$G$108="X"), ROUNDUP(F28, 0), 0)+IF(OR('Data &amp; hypothesis Children'!$G$110="X", 'Data &amp; hypothesis Children'!$G$111="X"), ROUNDUP(F27, 0), 0)</f>
        <v>0</v>
      </c>
      <c r="H132" s="1570">
        <f>IF(OR('Data &amp; hypothesis Children'!$G$107="X", 'Data &amp; hypothesis Children'!$G$108="X"), ROUNDUP(G28, 0), 0)+IF(OR('Data &amp; hypothesis Children'!$G$110="X", 'Data &amp; hypothesis Children'!$G$111="X"), ROUNDUP(G27, 0), 0)</f>
        <v>0</v>
      </c>
    </row>
    <row r="133" spans="1:17" x14ac:dyDescent="0.2">
      <c r="B133" s="528"/>
      <c r="E133" s="608" t="s">
        <v>50</v>
      </c>
      <c r="F133" s="382" t="s">
        <v>723</v>
      </c>
      <c r="G133" s="1569">
        <f>IF('Data &amp; hypothesis Children'!$G$109="X", ROUNDUP(F27*0.25, 0), 0)</f>
        <v>0</v>
      </c>
      <c r="H133" s="1569">
        <f>IF('Data &amp; hypothesis Children'!$G$109="X", ROUNDUP(G27*0.25, 0), 0)</f>
        <v>0</v>
      </c>
    </row>
    <row r="134" spans="1:17" x14ac:dyDescent="0.2">
      <c r="B134" s="528"/>
      <c r="E134" s="608" t="s">
        <v>81</v>
      </c>
      <c r="F134" s="382" t="s">
        <v>744</v>
      </c>
      <c r="G134" s="1569">
        <f>IF('Data &amp; hypothesis Children'!$G$109="X", ROUNDUP(F27*0.25, 0), 0)+IF('Data &amp; hypothesis Children'!$G$110="X", ROUNDUP(F27*0.5, 0), 0)</f>
        <v>0</v>
      </c>
      <c r="H134" s="1569">
        <f>IF('Data &amp; hypothesis Children'!$G$109="X", ROUNDUP(G27*0.25, 0), 0)+IF('Data &amp; hypothesis Children'!$G$110="X", ROUNDUP(G27*0.5, 0), 0)</f>
        <v>0</v>
      </c>
    </row>
    <row r="135" spans="1:17" x14ac:dyDescent="0.2">
      <c r="B135" s="528"/>
      <c r="E135" s="608" t="s">
        <v>7</v>
      </c>
      <c r="F135" s="382" t="s">
        <v>723</v>
      </c>
      <c r="G135" s="1569">
        <f>IF('Data &amp; hypothesis Children'!$G$106="X", ROUNDUP(F28*0.25, 0), 0)</f>
        <v>0</v>
      </c>
      <c r="H135" s="1569">
        <f>IF('Data &amp; hypothesis Children'!$G$106="X", ROUNDUP(G28*0.25, 0), 0)</f>
        <v>0</v>
      </c>
    </row>
    <row r="136" spans="1:17" ht="13.5" thickBot="1" x14ac:dyDescent="0.25">
      <c r="B136" s="528"/>
      <c r="E136" s="609" t="s">
        <v>11</v>
      </c>
      <c r="F136" s="424" t="s">
        <v>723</v>
      </c>
      <c r="G136" s="1570">
        <f>IF('Data &amp; hypothesis Children'!$G$106="X", ROUNDUP(F28*0.25, 0), 0)+IF('Data &amp; hypothesis Children'!$G$107="X", ROUNDUP(F28*0.5, 0), 0)</f>
        <v>0</v>
      </c>
      <c r="H136" s="1570">
        <f>IF('Data &amp; hypothesis Children'!$G$106="X", ROUNDUP(G28*0.25, 0), 0)+IF('Data &amp; hypothesis Children'!$G$107="X", ROUNDUP(G28*0.5, 0), 0)</f>
        <v>0</v>
      </c>
    </row>
    <row r="138" spans="1:17" ht="15" x14ac:dyDescent="0.2">
      <c r="A138" s="260"/>
      <c r="B138" s="2143" t="str">
        <f>'TRAD-Children YEAR(1)'!B66</f>
        <v>Autres schémas (1ères et 2èmes lignes)</v>
      </c>
      <c r="C138" s="2143"/>
      <c r="D138" s="2143"/>
      <c r="E138" s="2143"/>
      <c r="F138" s="2143"/>
      <c r="G138" s="2143"/>
      <c r="H138" s="2143"/>
      <c r="I138" s="2143"/>
      <c r="J138" s="2143"/>
      <c r="K138" s="2143"/>
      <c r="L138" s="2143"/>
      <c r="M138" s="2143"/>
      <c r="Q138" s="292"/>
    </row>
    <row r="139" spans="1:17" ht="13.5" thickBot="1" x14ac:dyDescent="0.25">
      <c r="F139" s="497"/>
      <c r="G139" s="497"/>
    </row>
    <row r="140" spans="1:17" ht="51.75" thickBot="1" x14ac:dyDescent="0.25">
      <c r="C140" s="368" t="str">
        <f>'TRAD-Children YEAR(1)'!B67</f>
        <v>Composition</v>
      </c>
      <c r="D140" s="369" t="str">
        <f>'TRAD-Children YEAR(1)'!B54</f>
        <v xml:space="preserve">Forme galénique </v>
      </c>
      <c r="E140" s="369" t="str">
        <f>'TRAD-Children YEAR(1)'!B68</f>
        <v>Dosage</v>
      </c>
      <c r="F140" s="369" t="str">
        <f>'TRAD-Children YEAR(1)'!B69</f>
        <v>Nom de spécialité</v>
      </c>
      <c r="G140" s="369" t="str">
        <f>'TRAD-Children YEAR(1)'!B70</f>
        <v>Volume conditionnement primaire (mL)</v>
      </c>
      <c r="H140" s="369" t="str">
        <f>'TRAD-Children YEAR(1)'!B71</f>
        <v>Conditionement secondaire</v>
      </c>
      <c r="I140" s="610" t="str">
        <f>'TRAD-Children YEAR(1)'!B72</f>
        <v>Qtés de patients - mois</v>
      </c>
    </row>
    <row r="141" spans="1:17" x14ac:dyDescent="0.2">
      <c r="C141" s="607" t="s">
        <v>39</v>
      </c>
      <c r="D141" s="611" t="s">
        <v>40</v>
      </c>
      <c r="E141" s="611" t="s">
        <v>41</v>
      </c>
      <c r="F141" s="374" t="s">
        <v>42</v>
      </c>
      <c r="G141" s="1428">
        <f>'Available Stocks'!$K$55</f>
        <v>240</v>
      </c>
      <c r="H141" s="374">
        <f>'Available Stocks'!L55</f>
        <v>1</v>
      </c>
      <c r="I141" s="612"/>
    </row>
    <row r="142" spans="1:17" x14ac:dyDescent="0.2">
      <c r="C142" s="608" t="s">
        <v>61</v>
      </c>
      <c r="D142" s="613" t="s">
        <v>40</v>
      </c>
      <c r="E142" s="613" t="s">
        <v>41</v>
      </c>
      <c r="F142" s="382"/>
      <c r="G142" s="1429">
        <f>'Available Stocks'!$K$56</f>
        <v>240</v>
      </c>
      <c r="H142" s="382">
        <f>'Available Stocks'!L56</f>
        <v>1</v>
      </c>
      <c r="I142" s="614"/>
    </row>
    <row r="143" spans="1:17" x14ac:dyDescent="0.2">
      <c r="C143" s="615" t="s">
        <v>15</v>
      </c>
      <c r="D143" s="616" t="s">
        <v>40</v>
      </c>
      <c r="E143" s="616" t="s">
        <v>41</v>
      </c>
      <c r="F143" s="391" t="s">
        <v>43</v>
      </c>
      <c r="G143" s="1430">
        <f>'Available Stocks'!$K$57</f>
        <v>240</v>
      </c>
      <c r="H143" s="391">
        <f>'Available Stocks'!L57</f>
        <v>1</v>
      </c>
      <c r="I143" s="617"/>
    </row>
    <row r="144" spans="1:17" x14ac:dyDescent="0.2">
      <c r="C144" s="615" t="s">
        <v>25</v>
      </c>
      <c r="D144" s="616" t="s">
        <v>40</v>
      </c>
      <c r="E144" s="616" t="s">
        <v>44</v>
      </c>
      <c r="F144" s="391" t="s">
        <v>26</v>
      </c>
      <c r="G144" s="1430">
        <f>'Available Stocks'!$K$58</f>
        <v>240</v>
      </c>
      <c r="H144" s="391">
        <f>'Available Stocks'!L58</f>
        <v>1</v>
      </c>
      <c r="I144" s="617"/>
    </row>
    <row r="145" spans="2:9" x14ac:dyDescent="0.2">
      <c r="C145" s="615" t="s">
        <v>28</v>
      </c>
      <c r="D145" s="616" t="s">
        <v>45</v>
      </c>
      <c r="E145" s="616" t="s">
        <v>46</v>
      </c>
      <c r="F145" s="391" t="s">
        <v>30</v>
      </c>
      <c r="G145" s="1430">
        <f>'Available Stocks'!$K$59</f>
        <v>200</v>
      </c>
      <c r="H145" s="391">
        <f>'Available Stocks'!L59</f>
        <v>1</v>
      </c>
      <c r="I145" s="617"/>
    </row>
    <row r="146" spans="2:9" x14ac:dyDescent="0.2">
      <c r="C146" s="615" t="s">
        <v>19</v>
      </c>
      <c r="D146" s="616" t="s">
        <v>40</v>
      </c>
      <c r="E146" s="616" t="s">
        <v>41</v>
      </c>
      <c r="F146" s="391" t="s">
        <v>21</v>
      </c>
      <c r="G146" s="1430">
        <f>'Available Stocks'!$K$60</f>
        <v>240</v>
      </c>
      <c r="H146" s="391">
        <f>'Available Stocks'!L60</f>
        <v>1</v>
      </c>
      <c r="I146" s="617"/>
    </row>
    <row r="147" spans="2:9" x14ac:dyDescent="0.2">
      <c r="C147" s="618" t="s">
        <v>17</v>
      </c>
      <c r="D147" s="619" t="s">
        <v>40</v>
      </c>
      <c r="E147" s="619" t="s">
        <v>259</v>
      </c>
      <c r="F147" s="400" t="s">
        <v>249</v>
      </c>
      <c r="G147" s="1431">
        <f>'Available Stocks'!$K$61</f>
        <v>180</v>
      </c>
      <c r="H147" s="400">
        <f>'Available Stocks'!L61</f>
        <v>1</v>
      </c>
      <c r="I147" s="620"/>
    </row>
    <row r="148" spans="2:9" ht="13.5" thickBot="1" x14ac:dyDescent="0.25">
      <c r="C148" s="609" t="s">
        <v>33</v>
      </c>
      <c r="D148" s="621" t="s">
        <v>40</v>
      </c>
      <c r="E148" s="621" t="s">
        <v>47</v>
      </c>
      <c r="F148" s="424" t="s">
        <v>48</v>
      </c>
      <c r="G148" s="1432">
        <f>'Available Stocks'!$K$62</f>
        <v>60</v>
      </c>
      <c r="H148" s="424">
        <f>'Available Stocks'!L62</f>
        <v>4</v>
      </c>
      <c r="I148" s="622"/>
    </row>
    <row r="149" spans="2:9" ht="13.5" thickBot="1" x14ac:dyDescent="0.25">
      <c r="B149" s="623"/>
      <c r="C149" s="624"/>
      <c r="D149" s="624"/>
      <c r="E149" s="623"/>
      <c r="F149" s="623"/>
      <c r="G149" s="623"/>
      <c r="H149" s="623"/>
    </row>
    <row r="150" spans="2:9" ht="13.5" thickBot="1" x14ac:dyDescent="0.25">
      <c r="B150" s="2165" t="str">
        <f>'TRAD-Children YEAR(1)'!B75</f>
        <v>Si enfant de 6 - 7 kg (pris en compte pour la tranche 3 - 9,9 kg)</v>
      </c>
      <c r="C150" s="2166"/>
      <c r="D150" s="2166"/>
      <c r="E150" s="2166"/>
      <c r="F150" s="2166"/>
      <c r="G150" s="2166"/>
      <c r="H150" s="2167"/>
    </row>
    <row r="151" spans="2:9" ht="13.5" thickBot="1" x14ac:dyDescent="0.25">
      <c r="B151" s="625"/>
      <c r="C151" s="624"/>
      <c r="D151" s="624"/>
      <c r="E151" s="623"/>
      <c r="F151" s="623"/>
      <c r="G151" s="623"/>
      <c r="H151" s="623"/>
    </row>
    <row r="152" spans="2:9" ht="51.75" thickBot="1" x14ac:dyDescent="0.25">
      <c r="C152" s="368"/>
      <c r="D152" s="369" t="str">
        <f>'TRAD-Children YEAR(1)'!B76</f>
        <v>volume (mL) / jour</v>
      </c>
      <c r="E152" s="369" t="str">
        <f>'TRAD-Children YEAR(1)'!B77</f>
        <v>volume (mL) / mois</v>
      </c>
      <c r="F152" s="369" t="str">
        <f>'TRAD-Children YEAR(1)'!B78</f>
        <v>volume flacon (mL)</v>
      </c>
      <c r="G152" s="369" t="str">
        <f>'TRAD-Children YEAR(1)'!B79</f>
        <v>nb de flacons / mois</v>
      </c>
      <c r="H152" s="369" t="str">
        <f>'TRAD-Children YEAR(1)'!B80</f>
        <v>nb de flacons / mois arrondi</v>
      </c>
      <c r="I152" s="369" t="str">
        <f>'TRAD-Children YEAR(1)'!B81</f>
        <v>reste (mL)</v>
      </c>
    </row>
    <row r="153" spans="2:9" x14ac:dyDescent="0.2">
      <c r="C153" s="607" t="s">
        <v>39</v>
      </c>
      <c r="D153" s="1434">
        <f>'Data &amp; hypothesis Children'!D195</f>
        <v>18</v>
      </c>
      <c r="E153" s="626">
        <f t="shared" ref="E153:E160" si="38">D153*30</f>
        <v>540</v>
      </c>
      <c r="F153" s="1428">
        <f>'Available Stocks'!$K$55</f>
        <v>240</v>
      </c>
      <c r="G153" s="627">
        <f t="shared" ref="G153:G160" si="39">E153/F153</f>
        <v>2.25</v>
      </c>
      <c r="H153" s="627">
        <f t="shared" ref="H153:H160" si="40">ROUNDUP(E153/F153, 0)</f>
        <v>3</v>
      </c>
      <c r="I153" s="628">
        <f t="shared" ref="I153:I160" si="41">H153*F153-E153</f>
        <v>180</v>
      </c>
    </row>
    <row r="154" spans="2:9" x14ac:dyDescent="0.2">
      <c r="C154" s="615" t="s">
        <v>61</v>
      </c>
      <c r="D154" s="1435">
        <f>'Data &amp; hypothesis Children'!D196</f>
        <v>14</v>
      </c>
      <c r="E154" s="629">
        <f t="shared" si="38"/>
        <v>420</v>
      </c>
      <c r="F154" s="1429">
        <f>'Available Stocks'!$K$56</f>
        <v>240</v>
      </c>
      <c r="G154" s="630">
        <f t="shared" si="39"/>
        <v>1.75</v>
      </c>
      <c r="H154" s="630">
        <f t="shared" si="40"/>
        <v>2</v>
      </c>
      <c r="I154" s="631">
        <f t="shared" si="41"/>
        <v>60</v>
      </c>
    </row>
    <row r="155" spans="2:9" x14ac:dyDescent="0.2">
      <c r="C155" s="615" t="s">
        <v>15</v>
      </c>
      <c r="D155" s="1435">
        <f>'Data &amp; hypothesis Children'!D197</f>
        <v>8</v>
      </c>
      <c r="E155" s="629">
        <f t="shared" si="38"/>
        <v>240</v>
      </c>
      <c r="F155" s="1430">
        <f>'Available Stocks'!$K$57</f>
        <v>240</v>
      </c>
      <c r="G155" s="630">
        <f t="shared" si="39"/>
        <v>1</v>
      </c>
      <c r="H155" s="630">
        <f t="shared" si="40"/>
        <v>1</v>
      </c>
      <c r="I155" s="631">
        <f t="shared" si="41"/>
        <v>0</v>
      </c>
    </row>
    <row r="156" spans="2:9" x14ac:dyDescent="0.2">
      <c r="C156" s="615" t="s">
        <v>25</v>
      </c>
      <c r="D156" s="1435">
        <f>'Data &amp; hypothesis Children'!D198</f>
        <v>6</v>
      </c>
      <c r="E156" s="629">
        <f t="shared" si="38"/>
        <v>180</v>
      </c>
      <c r="F156" s="1430">
        <f>'Available Stocks'!$K$58</f>
        <v>240</v>
      </c>
      <c r="G156" s="630">
        <f t="shared" si="39"/>
        <v>0.75</v>
      </c>
      <c r="H156" s="630">
        <f t="shared" si="40"/>
        <v>1</v>
      </c>
      <c r="I156" s="631">
        <f t="shared" si="41"/>
        <v>60</v>
      </c>
    </row>
    <row r="157" spans="2:9" x14ac:dyDescent="0.2">
      <c r="C157" s="615" t="s">
        <v>28</v>
      </c>
      <c r="D157" s="1435">
        <f>'Data &amp; hypothesis Children'!D199</f>
        <v>10</v>
      </c>
      <c r="E157" s="629">
        <f t="shared" si="38"/>
        <v>300</v>
      </c>
      <c r="F157" s="1430">
        <f>'Available Stocks'!$K$59</f>
        <v>200</v>
      </c>
      <c r="G157" s="632">
        <f t="shared" si="39"/>
        <v>1.5</v>
      </c>
      <c r="H157" s="632">
        <f t="shared" si="40"/>
        <v>2</v>
      </c>
      <c r="I157" s="633">
        <f t="shared" si="41"/>
        <v>100</v>
      </c>
    </row>
    <row r="158" spans="2:9" x14ac:dyDescent="0.2">
      <c r="C158" s="634" t="s">
        <v>19</v>
      </c>
      <c r="D158" s="1435">
        <f>'Data &amp; hypothesis Children'!D200</f>
        <v>14</v>
      </c>
      <c r="E158" s="629">
        <f t="shared" si="38"/>
        <v>420</v>
      </c>
      <c r="F158" s="1430">
        <f>'Available Stocks'!$K$60</f>
        <v>240</v>
      </c>
      <c r="G158" s="630">
        <f t="shared" si="39"/>
        <v>1.75</v>
      </c>
      <c r="H158" s="630">
        <f t="shared" si="40"/>
        <v>2</v>
      </c>
      <c r="I158" s="631">
        <f t="shared" si="41"/>
        <v>60</v>
      </c>
    </row>
    <row r="159" spans="2:9" x14ac:dyDescent="0.2">
      <c r="C159" s="634" t="s">
        <v>17</v>
      </c>
      <c r="D159" s="1435">
        <f>'Data &amp; hypothesis Children'!D201</f>
        <v>0</v>
      </c>
      <c r="E159" s="629">
        <f t="shared" si="38"/>
        <v>0</v>
      </c>
      <c r="F159" s="1431">
        <f>'Available Stocks'!$K$61</f>
        <v>180</v>
      </c>
      <c r="G159" s="630">
        <f t="shared" si="39"/>
        <v>0</v>
      </c>
      <c r="H159" s="630">
        <f t="shared" si="40"/>
        <v>0</v>
      </c>
      <c r="I159" s="631">
        <f t="shared" si="41"/>
        <v>0</v>
      </c>
    </row>
    <row r="160" spans="2:9" ht="13.5" thickBot="1" x14ac:dyDescent="0.25">
      <c r="C160" s="609" t="s">
        <v>33</v>
      </c>
      <c r="D160" s="1436">
        <f>'Data &amp; hypothesis Children'!D202</f>
        <v>3</v>
      </c>
      <c r="E160" s="635">
        <f t="shared" si="38"/>
        <v>90</v>
      </c>
      <c r="F160" s="1432">
        <f>'Available Stocks'!$K$62</f>
        <v>60</v>
      </c>
      <c r="G160" s="636">
        <f t="shared" si="39"/>
        <v>1.5</v>
      </c>
      <c r="H160" s="636">
        <f t="shared" si="40"/>
        <v>2</v>
      </c>
      <c r="I160" s="637">
        <f t="shared" si="41"/>
        <v>30</v>
      </c>
    </row>
    <row r="161" spans="2:9" x14ac:dyDescent="0.2">
      <c r="B161" s="623"/>
      <c r="C161" s="624"/>
      <c r="D161" s="624"/>
      <c r="E161" s="623"/>
      <c r="F161" s="623"/>
      <c r="G161" s="623"/>
      <c r="H161" s="623"/>
    </row>
    <row r="162" spans="2:9" ht="13.5" thickBot="1" x14ac:dyDescent="0.25">
      <c r="B162" s="623"/>
      <c r="C162" s="624"/>
      <c r="D162" s="624"/>
      <c r="E162" s="623"/>
      <c r="F162" s="623"/>
      <c r="G162" s="623"/>
      <c r="H162" s="623"/>
    </row>
    <row r="163" spans="2:9" ht="13.5" thickBot="1" x14ac:dyDescent="0.25">
      <c r="B163" s="2165" t="str">
        <f>'TRAD-Children YEAR(1)'!B82</f>
        <v>Si enfant de 12 - 14 kg (pris en compte pour la tranche 10 - 14,9 kg)</v>
      </c>
      <c r="C163" s="2166"/>
      <c r="D163" s="2166"/>
      <c r="E163" s="2166"/>
      <c r="F163" s="2166"/>
      <c r="G163" s="2166"/>
      <c r="H163" s="2167"/>
    </row>
    <row r="164" spans="2:9" ht="13.5" thickBot="1" x14ac:dyDescent="0.25">
      <c r="B164" s="623"/>
      <c r="C164" s="624"/>
      <c r="D164" s="624"/>
      <c r="E164" s="623"/>
      <c r="F164" s="623"/>
      <c r="G164" s="623"/>
      <c r="H164" s="623"/>
    </row>
    <row r="165" spans="2:9" ht="51.75" thickBot="1" x14ac:dyDescent="0.25">
      <c r="C165" s="368"/>
      <c r="D165" s="369" t="str">
        <f>'TRAD-Children YEAR(1)'!B76</f>
        <v>volume (mL) / jour</v>
      </c>
      <c r="E165" s="369" t="str">
        <f>'TRAD-Children YEAR(1)'!B77</f>
        <v>volume (mL) / mois</v>
      </c>
      <c r="F165" s="369" t="str">
        <f>'TRAD-Children YEAR(1)'!B78</f>
        <v>volume flacon (mL)</v>
      </c>
      <c r="G165" s="369" t="str">
        <f>'TRAD-Children YEAR(1)'!B79</f>
        <v>nb de flacons / mois</v>
      </c>
      <c r="H165" s="369" t="str">
        <f>'TRAD-Children YEAR(1)'!B80</f>
        <v>nb de flacons / mois arrondi</v>
      </c>
      <c r="I165" s="369" t="str">
        <f>'TRAD-Children YEAR(1)'!B81</f>
        <v>reste (mL)</v>
      </c>
    </row>
    <row r="166" spans="2:9" x14ac:dyDescent="0.2">
      <c r="C166" s="607" t="s">
        <v>39</v>
      </c>
      <c r="D166" s="1434">
        <f>'Data &amp; hypothesis Children'!D210</f>
        <v>24</v>
      </c>
      <c r="E166" s="626">
        <f t="shared" ref="E166:E173" si="42">D166*30</f>
        <v>720</v>
      </c>
      <c r="F166" s="1428">
        <f>'Available Stocks'!$K$55</f>
        <v>240</v>
      </c>
      <c r="G166" s="627">
        <f t="shared" ref="G166:G173" si="43">E166/F166</f>
        <v>3</v>
      </c>
      <c r="H166" s="627">
        <f t="shared" ref="H166:H173" si="44">ROUNDUP(E166/F166, 0)</f>
        <v>3</v>
      </c>
      <c r="I166" s="628">
        <f t="shared" ref="I166:I173" si="45">H166*F166-E166</f>
        <v>0</v>
      </c>
    </row>
    <row r="167" spans="2:9" x14ac:dyDescent="0.2">
      <c r="C167" s="615" t="s">
        <v>61</v>
      </c>
      <c r="D167" s="1435">
        <f>'Data &amp; hypothesis Children'!D211</f>
        <v>24</v>
      </c>
      <c r="E167" s="629">
        <f t="shared" si="42"/>
        <v>720</v>
      </c>
      <c r="F167" s="1429">
        <f>'Available Stocks'!$K$56</f>
        <v>240</v>
      </c>
      <c r="G167" s="630">
        <f t="shared" si="43"/>
        <v>3</v>
      </c>
      <c r="H167" s="630">
        <f t="shared" si="44"/>
        <v>3</v>
      </c>
      <c r="I167" s="631">
        <f t="shared" si="45"/>
        <v>0</v>
      </c>
    </row>
    <row r="168" spans="2:9" x14ac:dyDescent="0.2">
      <c r="C168" s="615" t="s">
        <v>15</v>
      </c>
      <c r="D168" s="1435">
        <f>'Data &amp; hypothesis Children'!D212</f>
        <v>12</v>
      </c>
      <c r="E168" s="629">
        <f t="shared" si="42"/>
        <v>360</v>
      </c>
      <c r="F168" s="1430">
        <f>'Available Stocks'!$K$57</f>
        <v>240</v>
      </c>
      <c r="G168" s="630">
        <f t="shared" si="43"/>
        <v>1.5</v>
      </c>
      <c r="H168" s="630">
        <f t="shared" si="44"/>
        <v>2</v>
      </c>
      <c r="I168" s="631">
        <f t="shared" si="45"/>
        <v>120</v>
      </c>
    </row>
    <row r="169" spans="2:9" x14ac:dyDescent="0.2">
      <c r="C169" s="615" t="s">
        <v>25</v>
      </c>
      <c r="D169" s="1435">
        <f>'Data &amp; hypothesis Children'!D213</f>
        <v>12</v>
      </c>
      <c r="E169" s="629">
        <f t="shared" si="42"/>
        <v>360</v>
      </c>
      <c r="F169" s="1430">
        <f>'Available Stocks'!$K$58</f>
        <v>240</v>
      </c>
      <c r="G169" s="630">
        <f t="shared" si="43"/>
        <v>1.5</v>
      </c>
      <c r="H169" s="630">
        <f t="shared" si="44"/>
        <v>2</v>
      </c>
      <c r="I169" s="631">
        <f t="shared" si="45"/>
        <v>120</v>
      </c>
    </row>
    <row r="170" spans="2:9" x14ac:dyDescent="0.2">
      <c r="C170" s="615" t="s">
        <v>28</v>
      </c>
      <c r="D170" s="1435">
        <f>'Data &amp; hypothesis Children'!D214</f>
        <v>14</v>
      </c>
      <c r="E170" s="629">
        <f t="shared" si="42"/>
        <v>420</v>
      </c>
      <c r="F170" s="1430">
        <f>'Available Stocks'!$K$59</f>
        <v>200</v>
      </c>
      <c r="G170" s="632">
        <f t="shared" si="43"/>
        <v>2.1</v>
      </c>
      <c r="H170" s="632">
        <f t="shared" si="44"/>
        <v>3</v>
      </c>
      <c r="I170" s="633">
        <f t="shared" si="45"/>
        <v>180</v>
      </c>
    </row>
    <row r="171" spans="2:9" x14ac:dyDescent="0.2">
      <c r="C171" s="634" t="s">
        <v>19</v>
      </c>
      <c r="D171" s="1435">
        <f>'Data &amp; hypothesis Children'!D215</f>
        <v>20</v>
      </c>
      <c r="E171" s="629">
        <f t="shared" si="42"/>
        <v>600</v>
      </c>
      <c r="F171" s="1430">
        <f>'Available Stocks'!$K$60</f>
        <v>240</v>
      </c>
      <c r="G171" s="630">
        <f t="shared" si="43"/>
        <v>2.5</v>
      </c>
      <c r="H171" s="630">
        <f t="shared" si="44"/>
        <v>3</v>
      </c>
      <c r="I171" s="631">
        <f t="shared" si="45"/>
        <v>120</v>
      </c>
    </row>
    <row r="172" spans="2:9" x14ac:dyDescent="0.2">
      <c r="C172" s="634" t="s">
        <v>17</v>
      </c>
      <c r="D172" s="1435">
        <f>'Data &amp; hypothesis Children'!D216</f>
        <v>7</v>
      </c>
      <c r="E172" s="629">
        <f t="shared" si="42"/>
        <v>210</v>
      </c>
      <c r="F172" s="1431">
        <f>'Available Stocks'!$K$61</f>
        <v>180</v>
      </c>
      <c r="G172" s="630">
        <f>E172/F172</f>
        <v>1.1666666666666667</v>
      </c>
      <c r="H172" s="630">
        <f>ROUNDUP(E172/F172, 0)</f>
        <v>2</v>
      </c>
      <c r="I172" s="631">
        <f t="shared" si="45"/>
        <v>150</v>
      </c>
    </row>
    <row r="173" spans="2:9" ht="13.5" thickBot="1" x14ac:dyDescent="0.25">
      <c r="C173" s="609" t="s">
        <v>33</v>
      </c>
      <c r="D173" s="1436">
        <f>'Data &amp; hypothesis Children'!D217</f>
        <v>4</v>
      </c>
      <c r="E173" s="635">
        <f t="shared" si="42"/>
        <v>120</v>
      </c>
      <c r="F173" s="1432">
        <f>'Available Stocks'!$K$62</f>
        <v>60</v>
      </c>
      <c r="G173" s="636">
        <f t="shared" si="43"/>
        <v>2</v>
      </c>
      <c r="H173" s="636">
        <f t="shared" si="44"/>
        <v>2</v>
      </c>
      <c r="I173" s="637">
        <f t="shared" si="45"/>
        <v>0</v>
      </c>
    </row>
    <row r="174" spans="2:9" x14ac:dyDescent="0.2">
      <c r="B174" s="623"/>
      <c r="C174" s="624"/>
      <c r="D174" s="624"/>
      <c r="E174" s="623"/>
      <c r="F174" s="623"/>
      <c r="G174" s="623"/>
      <c r="H174" s="623"/>
    </row>
    <row r="175" spans="2:9" ht="13.5" thickBot="1" x14ac:dyDescent="0.25"/>
    <row r="176" spans="2:9" ht="13.5" thickBot="1" x14ac:dyDescent="0.25">
      <c r="B176" s="2165" t="str">
        <f>'TRAD-Children YEAR(1)'!B83</f>
        <v>Si enfant de 15 - 19,9 kg (pris en compte pour la tranche 17 - 19,9 kg)</v>
      </c>
      <c r="C176" s="2166"/>
      <c r="D176" s="2166"/>
      <c r="E176" s="2166"/>
      <c r="F176" s="2166"/>
      <c r="G176" s="2166"/>
      <c r="H176" s="2167"/>
    </row>
    <row r="177" spans="2:9" ht="13.5" thickBot="1" x14ac:dyDescent="0.25">
      <c r="B177" s="623"/>
      <c r="C177" s="624"/>
      <c r="D177" s="624"/>
      <c r="E177" s="623"/>
      <c r="F177" s="623"/>
      <c r="G177" s="623"/>
      <c r="H177" s="623"/>
    </row>
    <row r="178" spans="2:9" ht="51.75" thickBot="1" x14ac:dyDescent="0.25">
      <c r="C178" s="368"/>
      <c r="D178" s="369" t="str">
        <f>'TRAD-Children YEAR(1)'!B76</f>
        <v>volume (mL) / jour</v>
      </c>
      <c r="E178" s="369" t="str">
        <f>'TRAD-Children YEAR(1)'!B77</f>
        <v>volume (mL) / mois</v>
      </c>
      <c r="F178" s="369" t="str">
        <f>'TRAD-Children YEAR(1)'!B78</f>
        <v>volume flacon (mL)</v>
      </c>
      <c r="G178" s="369" t="str">
        <f>'TRAD-Children YEAR(1)'!B79</f>
        <v>nb de flacons / mois</v>
      </c>
      <c r="H178" s="369" t="str">
        <f>'TRAD-Children YEAR(1)'!B80</f>
        <v>nb de flacons / mois arrondi</v>
      </c>
      <c r="I178" s="369" t="str">
        <f>'TRAD-Children YEAR(1)'!B81</f>
        <v>reste (mL)</v>
      </c>
    </row>
    <row r="179" spans="2:9" x14ac:dyDescent="0.2">
      <c r="C179" s="607" t="s">
        <v>39</v>
      </c>
      <c r="D179" s="1434">
        <f>'Data &amp; hypothesis Children'!D223</f>
        <v>30</v>
      </c>
      <c r="E179" s="626">
        <f t="shared" ref="E179:E186" si="46">D179*30</f>
        <v>900</v>
      </c>
      <c r="F179" s="1428">
        <f>'Available Stocks'!$K$55</f>
        <v>240</v>
      </c>
      <c r="G179" s="627">
        <f t="shared" ref="G179:G184" si="47">E179/F179</f>
        <v>3.75</v>
      </c>
      <c r="H179" s="627">
        <f t="shared" ref="H179:H184" si="48">ROUNDUP(E179/F179, 0)</f>
        <v>4</v>
      </c>
      <c r="I179" s="628">
        <f t="shared" ref="I179:I186" si="49">H179*F179-E179</f>
        <v>60</v>
      </c>
    </row>
    <row r="180" spans="2:9" x14ac:dyDescent="0.2">
      <c r="C180" s="615" t="s">
        <v>61</v>
      </c>
      <c r="D180" s="1435">
        <f>'Data &amp; hypothesis Children'!D224</f>
        <v>30</v>
      </c>
      <c r="E180" s="629">
        <f t="shared" si="46"/>
        <v>900</v>
      </c>
      <c r="F180" s="1429">
        <f>'Available Stocks'!$K$56</f>
        <v>240</v>
      </c>
      <c r="G180" s="630">
        <f t="shared" si="47"/>
        <v>3.75</v>
      </c>
      <c r="H180" s="630">
        <f t="shared" si="48"/>
        <v>4</v>
      </c>
      <c r="I180" s="631">
        <f t="shared" si="49"/>
        <v>60</v>
      </c>
    </row>
    <row r="181" spans="2:9" x14ac:dyDescent="0.2">
      <c r="C181" s="615" t="s">
        <v>15</v>
      </c>
      <c r="D181" s="1435">
        <f>'Data &amp; hypothesis Children'!D225</f>
        <v>15</v>
      </c>
      <c r="E181" s="629">
        <f t="shared" si="46"/>
        <v>450</v>
      </c>
      <c r="F181" s="1430">
        <f>'Available Stocks'!$K$57</f>
        <v>240</v>
      </c>
      <c r="G181" s="630">
        <f t="shared" si="47"/>
        <v>1.875</v>
      </c>
      <c r="H181" s="630">
        <f t="shared" si="48"/>
        <v>2</v>
      </c>
      <c r="I181" s="631">
        <f t="shared" si="49"/>
        <v>30</v>
      </c>
    </row>
    <row r="182" spans="2:9" x14ac:dyDescent="0.2">
      <c r="C182" s="615" t="s">
        <v>25</v>
      </c>
      <c r="D182" s="1435">
        <f>'Data &amp; hypothesis Children'!D226</f>
        <v>15</v>
      </c>
      <c r="E182" s="629">
        <f t="shared" si="46"/>
        <v>450</v>
      </c>
      <c r="F182" s="1430">
        <f>'Available Stocks'!$K$58</f>
        <v>240</v>
      </c>
      <c r="G182" s="630">
        <f t="shared" si="47"/>
        <v>1.875</v>
      </c>
      <c r="H182" s="630">
        <f t="shared" si="48"/>
        <v>2</v>
      </c>
      <c r="I182" s="631">
        <f t="shared" si="49"/>
        <v>30</v>
      </c>
    </row>
    <row r="183" spans="2:9" x14ac:dyDescent="0.2">
      <c r="C183" s="615" t="s">
        <v>28</v>
      </c>
      <c r="D183" s="1435">
        <f>'Data &amp; hypothesis Children'!D227</f>
        <v>20</v>
      </c>
      <c r="E183" s="629">
        <f t="shared" si="46"/>
        <v>600</v>
      </c>
      <c r="F183" s="1430">
        <f>'Available Stocks'!$K$59</f>
        <v>200</v>
      </c>
      <c r="G183" s="632">
        <f t="shared" si="47"/>
        <v>3</v>
      </c>
      <c r="H183" s="632">
        <f t="shared" si="48"/>
        <v>3</v>
      </c>
      <c r="I183" s="633">
        <f t="shared" si="49"/>
        <v>0</v>
      </c>
    </row>
    <row r="184" spans="2:9" x14ac:dyDescent="0.2">
      <c r="C184" s="634" t="s">
        <v>19</v>
      </c>
      <c r="D184" s="1435">
        <f>'Data &amp; hypothesis Children'!D228</f>
        <v>24</v>
      </c>
      <c r="E184" s="629">
        <f t="shared" si="46"/>
        <v>720</v>
      </c>
      <c r="F184" s="1430">
        <f>'Available Stocks'!$K$60</f>
        <v>240</v>
      </c>
      <c r="G184" s="630">
        <f t="shared" si="47"/>
        <v>3</v>
      </c>
      <c r="H184" s="630">
        <f t="shared" si="48"/>
        <v>3</v>
      </c>
      <c r="I184" s="631">
        <f t="shared" si="49"/>
        <v>0</v>
      </c>
    </row>
    <row r="185" spans="2:9" x14ac:dyDescent="0.2">
      <c r="C185" s="634" t="s">
        <v>17</v>
      </c>
      <c r="D185" s="1435">
        <f>'Data &amp; hypothesis Children'!D229</f>
        <v>13</v>
      </c>
      <c r="E185" s="629">
        <f t="shared" si="46"/>
        <v>390</v>
      </c>
      <c r="F185" s="1431">
        <f>'Available Stocks'!$K$61</f>
        <v>180</v>
      </c>
      <c r="G185" s="630">
        <f>E185/F185</f>
        <v>2.1666666666666665</v>
      </c>
      <c r="H185" s="630">
        <f>ROUNDUP(E185/F185, 0)</f>
        <v>3</v>
      </c>
      <c r="I185" s="631">
        <f t="shared" si="49"/>
        <v>150</v>
      </c>
    </row>
    <row r="186" spans="2:9" ht="13.5" thickBot="1" x14ac:dyDescent="0.25">
      <c r="C186" s="609" t="s">
        <v>33</v>
      </c>
      <c r="D186" s="1436">
        <f>'Data &amp; hypothesis Children'!D230</f>
        <v>5</v>
      </c>
      <c r="E186" s="635">
        <f t="shared" si="46"/>
        <v>150</v>
      </c>
      <c r="F186" s="1432">
        <f>'Available Stocks'!$K$62</f>
        <v>60</v>
      </c>
      <c r="G186" s="636">
        <f t="shared" ref="G186" si="50">E186/F186</f>
        <v>2.5</v>
      </c>
      <c r="H186" s="636">
        <f t="shared" ref="H186" si="51">ROUNDUP(E186/F186, 0)</f>
        <v>3</v>
      </c>
      <c r="I186" s="637">
        <f t="shared" si="49"/>
        <v>30</v>
      </c>
    </row>
    <row r="188" spans="2:9" ht="13.5" thickBot="1" x14ac:dyDescent="0.25"/>
    <row r="189" spans="2:9" ht="13.5" thickBot="1" x14ac:dyDescent="0.25">
      <c r="B189" s="2184" t="str">
        <f>'TRAD-Children YEAR(1)'!B84</f>
        <v>Si enfant &gt; 15 kg pouvant recevoir des formes adultes</v>
      </c>
      <c r="C189" s="2185"/>
      <c r="D189" s="2185"/>
      <c r="E189" s="2185"/>
      <c r="F189" s="2185"/>
      <c r="G189" s="2185"/>
      <c r="H189" s="2186"/>
    </row>
    <row r="191" spans="2:9" ht="13.5" thickBot="1" x14ac:dyDescent="0.25">
      <c r="D191" s="2168" t="str">
        <f>'TRAD-Children YEAR(1)'!B86</f>
        <v>Poids envisagés</v>
      </c>
      <c r="E191" s="2168"/>
      <c r="F191" s="2168"/>
      <c r="G191" s="2168"/>
    </row>
    <row r="192" spans="2:9" ht="13.5" thickBot="1" x14ac:dyDescent="0.25">
      <c r="C192" s="368" t="str">
        <f>'TRAD-Children YEAR(1)'!B85</f>
        <v>Formes adultes</v>
      </c>
      <c r="E192" s="838" t="s">
        <v>206</v>
      </c>
      <c r="F192" s="838" t="s">
        <v>207</v>
      </c>
      <c r="G192" s="838" t="s">
        <v>208</v>
      </c>
      <c r="H192" s="838" t="s">
        <v>112</v>
      </c>
    </row>
    <row r="193" spans="3:10" ht="13.5" customHeight="1" thickBot="1" x14ac:dyDescent="0.25">
      <c r="C193" s="2181" t="str">
        <f>'TRAD-Children YEAR(1)'!B87</f>
        <v>Nb de boites / mois / patient</v>
      </c>
      <c r="D193" s="2182"/>
      <c r="E193" s="2182"/>
      <c r="F193" s="2182"/>
      <c r="G193" s="2183"/>
    </row>
    <row r="194" spans="3:10" x14ac:dyDescent="0.2">
      <c r="C194" s="849" t="str">
        <f t="array" ref="C194:H216">'Data &amp; hypothesis Children'!$C$238:$H$260</f>
        <v>AZT+ 3TC+ NVP adulte</v>
      </c>
      <c r="D194" s="1172" t="str">
        <v>300/150/200 mg</v>
      </c>
      <c r="E194" s="1433">
        <v>0</v>
      </c>
      <c r="F194" s="1433">
        <v>0</v>
      </c>
      <c r="G194" s="1433">
        <v>1</v>
      </c>
      <c r="H194" s="1433">
        <v>1</v>
      </c>
      <c r="I194" s="849"/>
      <c r="J194" s="1172"/>
    </row>
    <row r="195" spans="3:10" x14ac:dyDescent="0.2">
      <c r="C195" s="849" t="str">
        <v>AZT+ 3TC+ NVP bébé</v>
      </c>
      <c r="D195" s="1172" t="str">
        <v>60/30/50 mg</v>
      </c>
      <c r="E195" s="1433">
        <v>1.5</v>
      </c>
      <c r="F195" s="1433">
        <v>2</v>
      </c>
      <c r="G195" s="1433">
        <v>2.5</v>
      </c>
      <c r="H195" s="1433">
        <v>3</v>
      </c>
      <c r="I195" s="639"/>
      <c r="J195" s="1172"/>
    </row>
    <row r="196" spans="3:10" x14ac:dyDescent="0.2">
      <c r="C196" s="849" t="str">
        <v>AZT+ 3TC adulte</v>
      </c>
      <c r="D196" s="1172" t="str">
        <v>300/150 mg</v>
      </c>
      <c r="E196" s="1433">
        <v>0</v>
      </c>
      <c r="F196" s="1433">
        <v>0</v>
      </c>
      <c r="G196" s="1433">
        <v>1</v>
      </c>
      <c r="H196" s="1433">
        <v>1</v>
      </c>
      <c r="I196" s="849"/>
      <c r="J196" s="1172"/>
    </row>
    <row r="197" spans="3:10" x14ac:dyDescent="0.2">
      <c r="C197" s="849" t="str">
        <v>AZT+ 3TC bébé</v>
      </c>
      <c r="D197" s="1172" t="str">
        <v>60/30 mg</v>
      </c>
      <c r="E197" s="1433">
        <v>1.5</v>
      </c>
      <c r="F197" s="1433">
        <v>2</v>
      </c>
      <c r="G197" s="1433">
        <v>2.5</v>
      </c>
      <c r="H197" s="1433">
        <v>3</v>
      </c>
      <c r="I197" s="849"/>
      <c r="J197" s="1172"/>
    </row>
    <row r="198" spans="3:10" x14ac:dyDescent="0.2">
      <c r="C198" s="849" t="str">
        <v>D4T+ 3TC+ NVP adulte</v>
      </c>
      <c r="D198" s="1172" t="str">
        <v>30/150/200 mg</v>
      </c>
      <c r="E198" s="1433">
        <v>0</v>
      </c>
      <c r="F198" s="1433">
        <v>0</v>
      </c>
      <c r="G198" s="1433">
        <v>1</v>
      </c>
      <c r="H198" s="1433">
        <v>1</v>
      </c>
      <c r="I198" s="639"/>
      <c r="J198" s="1172"/>
    </row>
    <row r="199" spans="3:10" x14ac:dyDescent="0.2">
      <c r="C199" s="849" t="str">
        <v>D4T+ 3TC+ NVP bébé</v>
      </c>
      <c r="D199" s="1172" t="str">
        <v>6/30/50 mg</v>
      </c>
      <c r="E199" s="1433">
        <v>1.5</v>
      </c>
      <c r="F199" s="1433">
        <v>2</v>
      </c>
      <c r="G199" s="1433">
        <v>2.5</v>
      </c>
      <c r="H199" s="1433">
        <v>3</v>
      </c>
      <c r="I199" s="638"/>
      <c r="J199" s="1172"/>
    </row>
    <row r="200" spans="3:10" x14ac:dyDescent="0.2">
      <c r="C200" s="849" t="str">
        <v>D4T+ 3TC bébé</v>
      </c>
      <c r="D200" s="1172" t="str">
        <v>6/30 mg</v>
      </c>
      <c r="E200" s="1433">
        <v>1.5</v>
      </c>
      <c r="F200" s="1433">
        <v>2</v>
      </c>
      <c r="G200" s="1433">
        <v>2.5</v>
      </c>
      <c r="H200" s="1433">
        <v>3</v>
      </c>
      <c r="I200" s="638"/>
      <c r="J200" s="1172"/>
    </row>
    <row r="201" spans="3:10" x14ac:dyDescent="0.2">
      <c r="C201" s="849" t="str">
        <v>AZT+ 3TC+ ABC adulte</v>
      </c>
      <c r="D201" s="1172" t="str">
        <v>300/150/300 mg</v>
      </c>
      <c r="E201" s="1433">
        <v>0</v>
      </c>
      <c r="F201" s="1433">
        <v>0</v>
      </c>
      <c r="G201" s="1433">
        <v>1</v>
      </c>
      <c r="H201" s="1433">
        <v>1</v>
      </c>
      <c r="I201" s="849"/>
      <c r="J201" s="1172"/>
    </row>
    <row r="202" spans="3:10" x14ac:dyDescent="0.2">
      <c r="C202" s="849" t="str">
        <v>AZT+ 3TC+ ABC bébé</v>
      </c>
      <c r="D202" s="1172" t="str">
        <v>60/30/60 mg</v>
      </c>
      <c r="E202" s="1433">
        <v>1.5</v>
      </c>
      <c r="F202" s="1433">
        <v>2</v>
      </c>
      <c r="G202" s="1433">
        <v>2.5</v>
      </c>
      <c r="H202" s="1433">
        <v>3</v>
      </c>
      <c r="I202" s="849"/>
      <c r="J202" s="1172"/>
    </row>
    <row r="203" spans="3:10" x14ac:dyDescent="0.2">
      <c r="C203" s="849" t="str">
        <v>ABC+ 3TC adulte</v>
      </c>
      <c r="D203" s="1172" t="str">
        <v>600/300 mg</v>
      </c>
      <c r="E203" s="1433">
        <v>0</v>
      </c>
      <c r="F203" s="1433">
        <v>0</v>
      </c>
      <c r="G203" s="1433">
        <v>1</v>
      </c>
      <c r="H203" s="1433">
        <v>1</v>
      </c>
      <c r="I203" s="849"/>
      <c r="J203" s="1172"/>
    </row>
    <row r="204" spans="3:10" x14ac:dyDescent="0.2">
      <c r="C204" s="849" t="str">
        <v>ABC+ 3TC bébé</v>
      </c>
      <c r="D204" s="1172" t="str">
        <v>60/30 mg</v>
      </c>
      <c r="E204" s="1433">
        <v>1.5</v>
      </c>
      <c r="F204" s="1433">
        <v>2</v>
      </c>
      <c r="G204" s="1433">
        <v>2.5</v>
      </c>
      <c r="H204" s="1433">
        <v>3</v>
      </c>
      <c r="I204" s="849"/>
      <c r="J204" s="1172"/>
    </row>
    <row r="205" spans="3:10" x14ac:dyDescent="0.2">
      <c r="C205" s="849" t="str">
        <v>TDF+ FTC/3TC+ EFV adulte</v>
      </c>
      <c r="D205" s="1172" t="str">
        <v>300/200/600 mg</v>
      </c>
      <c r="E205" s="1433">
        <v>0</v>
      </c>
      <c r="F205" s="1433">
        <v>0</v>
      </c>
      <c r="G205" s="1433">
        <v>0</v>
      </c>
      <c r="H205" s="1433">
        <v>1</v>
      </c>
      <c r="I205" s="849"/>
      <c r="J205" s="1172"/>
    </row>
    <row r="206" spans="3:10" x14ac:dyDescent="0.2">
      <c r="C206" s="849" t="str">
        <v>TDF+ FTC/3TC adulte</v>
      </c>
      <c r="D206" s="1172" t="str">
        <v>300/200 mg</v>
      </c>
      <c r="E206" s="1433">
        <v>0</v>
      </c>
      <c r="F206" s="1433">
        <v>0</v>
      </c>
      <c r="G206" s="1433">
        <v>0</v>
      </c>
      <c r="H206" s="1433">
        <v>1</v>
      </c>
      <c r="I206" s="849"/>
      <c r="J206" s="1172"/>
    </row>
    <row r="207" spans="3:10" x14ac:dyDescent="0.2">
      <c r="C207" s="849" t="str">
        <v>TDF adulte</v>
      </c>
      <c r="D207" s="1172" t="str">
        <v>300 mg</v>
      </c>
      <c r="E207" s="1433">
        <v>0</v>
      </c>
      <c r="F207" s="1433">
        <v>0</v>
      </c>
      <c r="G207" s="1433">
        <v>0</v>
      </c>
      <c r="H207" s="1433">
        <v>1</v>
      </c>
      <c r="I207" s="849"/>
      <c r="J207" s="1172"/>
    </row>
    <row r="208" spans="3:10" x14ac:dyDescent="0.2">
      <c r="C208" s="849" t="str">
        <v>3TC adulte</v>
      </c>
      <c r="D208" s="1172" t="str">
        <v>150 mg</v>
      </c>
      <c r="E208" s="1433">
        <v>0</v>
      </c>
      <c r="F208" s="1433">
        <v>0</v>
      </c>
      <c r="G208" s="1433">
        <v>0.5</v>
      </c>
      <c r="H208" s="1433">
        <v>1</v>
      </c>
      <c r="I208" s="849"/>
      <c r="J208" s="1172"/>
    </row>
    <row r="209" spans="1:17" x14ac:dyDescent="0.2">
      <c r="C209" s="849" t="str">
        <v>ABC adulte</v>
      </c>
      <c r="D209" s="1172" t="str">
        <v>300 mg</v>
      </c>
      <c r="E209" s="1433">
        <v>0</v>
      </c>
      <c r="F209" s="1433">
        <v>0</v>
      </c>
      <c r="G209" s="1433">
        <v>0.5</v>
      </c>
      <c r="H209" s="1433">
        <v>1</v>
      </c>
      <c r="I209" s="849"/>
      <c r="J209" s="1172"/>
    </row>
    <row r="210" spans="1:17" x14ac:dyDescent="0.2">
      <c r="C210" s="849" t="str">
        <v>ABC bébé</v>
      </c>
      <c r="D210" s="1172" t="str">
        <v>60 mg</v>
      </c>
      <c r="E210" s="1433">
        <v>1.5</v>
      </c>
      <c r="F210" s="1433">
        <v>2</v>
      </c>
      <c r="G210" s="1433">
        <v>2.5</v>
      </c>
      <c r="H210" s="1433">
        <v>3</v>
      </c>
      <c r="I210" s="849"/>
      <c r="J210" s="1172"/>
    </row>
    <row r="211" spans="1:17" x14ac:dyDescent="0.2">
      <c r="C211" s="849" t="str">
        <v>DDI adulte</v>
      </c>
      <c r="D211" s="1172" t="str">
        <v>250 mg</v>
      </c>
      <c r="E211" s="1433">
        <v>0</v>
      </c>
      <c r="F211" s="1433">
        <v>0</v>
      </c>
      <c r="G211" s="1433">
        <v>0</v>
      </c>
      <c r="H211" s="1433">
        <v>1</v>
      </c>
      <c r="I211" s="849"/>
      <c r="J211" s="1172"/>
    </row>
    <row r="212" spans="1:17" x14ac:dyDescent="0.2">
      <c r="C212" s="850" t="str">
        <v>NVP adulte</v>
      </c>
      <c r="D212" s="1172" t="str">
        <v>200 mg</v>
      </c>
      <c r="E212" s="1433">
        <v>0</v>
      </c>
      <c r="F212" s="1433">
        <v>0</v>
      </c>
      <c r="G212" s="1433">
        <v>0.75</v>
      </c>
      <c r="H212" s="1433">
        <v>1</v>
      </c>
      <c r="I212" s="850"/>
      <c r="J212" s="1172"/>
    </row>
    <row r="213" spans="1:17" x14ac:dyDescent="0.2">
      <c r="C213" s="850" t="str">
        <v>NVP bébé</v>
      </c>
      <c r="D213" s="1172" t="str">
        <v>50 mg</v>
      </c>
      <c r="E213" s="1433">
        <v>1.5</v>
      </c>
      <c r="F213" s="1433">
        <v>2</v>
      </c>
      <c r="G213" s="1433">
        <v>2.5</v>
      </c>
      <c r="H213" s="1433">
        <v>3</v>
      </c>
      <c r="I213" s="850"/>
      <c r="J213" s="1172"/>
    </row>
    <row r="214" spans="1:17" x14ac:dyDescent="0.2">
      <c r="C214" s="850" t="str">
        <v>EFV enfant</v>
      </c>
      <c r="D214" s="1172" t="str">
        <v>200 mg</v>
      </c>
      <c r="E214" s="1433">
        <v>0</v>
      </c>
      <c r="F214" s="1433">
        <v>1</v>
      </c>
      <c r="G214" s="1433">
        <v>1.5</v>
      </c>
      <c r="H214" s="1433">
        <v>1.5</v>
      </c>
      <c r="I214" s="850"/>
      <c r="J214" s="1172"/>
    </row>
    <row r="215" spans="1:17" x14ac:dyDescent="0.2">
      <c r="C215" s="849" t="str">
        <v>LPV/r adulte</v>
      </c>
      <c r="D215" s="1172" t="str">
        <v>200/50 mg</v>
      </c>
      <c r="E215" s="1433">
        <v>0</v>
      </c>
      <c r="F215" s="1433">
        <v>0</v>
      </c>
      <c r="G215" s="1433">
        <v>0.5</v>
      </c>
      <c r="H215" s="1433">
        <v>0.5</v>
      </c>
      <c r="I215" s="849"/>
      <c r="J215" s="1172"/>
    </row>
    <row r="216" spans="1:17" ht="13.5" thickBot="1" x14ac:dyDescent="0.25">
      <c r="C216" s="849" t="str">
        <v>LPV/r enfant</v>
      </c>
      <c r="D216" s="1190" t="str">
        <v>100/25 mg</v>
      </c>
      <c r="E216" s="1433">
        <v>0</v>
      </c>
      <c r="F216" s="1433">
        <v>1.5</v>
      </c>
      <c r="G216" s="1433">
        <v>2</v>
      </c>
      <c r="H216" s="1433">
        <v>2</v>
      </c>
      <c r="I216" s="851"/>
      <c r="J216" s="1190"/>
    </row>
    <row r="217" spans="1:17" x14ac:dyDescent="0.2">
      <c r="C217" s="1356"/>
      <c r="D217" s="1357"/>
      <c r="E217" s="1357"/>
      <c r="F217" s="1357"/>
      <c r="G217" s="1357"/>
    </row>
    <row r="219" spans="1:17" s="1279" customFormat="1" ht="14.25" x14ac:dyDescent="0.2">
      <c r="B219" s="1343" t="str">
        <f>'TRAD-Children YEAR(1)'!B110</f>
        <v>Récapitulatif</v>
      </c>
      <c r="C219" s="1343"/>
      <c r="D219" s="1343"/>
      <c r="E219" s="1343"/>
      <c r="F219" s="1343"/>
      <c r="G219" s="1344"/>
      <c r="H219" s="1344"/>
      <c r="I219" s="1344"/>
      <c r="J219" s="1344"/>
      <c r="K219" s="1344"/>
      <c r="L219" s="1344"/>
      <c r="M219" s="1344"/>
      <c r="Q219" s="1345"/>
    </row>
    <row r="220" spans="1:17" s="1281" customFormat="1" x14ac:dyDescent="0.2">
      <c r="A220" s="1280"/>
    </row>
    <row r="221" spans="1:17" s="1281" customFormat="1" ht="13.5" thickBot="1" x14ac:dyDescent="0.25">
      <c r="A221" s="1280"/>
      <c r="D221" s="2180" t="str">
        <f>'TRAD-Children YEAR(1)'!B86</f>
        <v>Poids envisagés</v>
      </c>
      <c r="E221" s="2180"/>
      <c r="F221" s="2180"/>
      <c r="G221" s="2180"/>
    </row>
    <row r="222" spans="1:17" s="1281" customFormat="1" ht="13.5" thickBot="1" x14ac:dyDescent="0.25">
      <c r="A222" s="1280"/>
      <c r="C222" s="1346" t="str">
        <f>'TRAD-Children YEAR(1)'!B85</f>
        <v>Formes adultes</v>
      </c>
      <c r="D222" s="1347" t="s">
        <v>654</v>
      </c>
      <c r="E222" s="1347" t="s">
        <v>207</v>
      </c>
      <c r="F222" s="1347" t="s">
        <v>208</v>
      </c>
      <c r="G222" s="1348" t="s">
        <v>112</v>
      </c>
    </row>
    <row r="223" spans="1:17" s="1281" customFormat="1" ht="13.5" thickBot="1" x14ac:dyDescent="0.25">
      <c r="A223" s="1280"/>
      <c r="C223" s="2193" t="str">
        <f>'TRAD-Children YEAR(1)'!B87</f>
        <v>Nb de boites / mois / patient</v>
      </c>
      <c r="D223" s="2194"/>
      <c r="E223" s="2194"/>
      <c r="F223" s="2194"/>
      <c r="G223" s="2195"/>
    </row>
    <row r="224" spans="1:17" s="1281" customFormat="1" ht="13.5" thickBot="1" x14ac:dyDescent="0.25">
      <c r="A224" s="1280"/>
      <c r="B224" s="1396" t="str">
        <f>'TRAD-Children YEAR(1)'!B90</f>
        <v>Solutions buvables</v>
      </c>
      <c r="C224" s="1349" t="s">
        <v>39</v>
      </c>
      <c r="D224" s="1350">
        <f>G153</f>
        <v>2.25</v>
      </c>
      <c r="E224" s="1294">
        <f>G166</f>
        <v>3</v>
      </c>
      <c r="F224" s="1350">
        <f>G179</f>
        <v>3.75</v>
      </c>
      <c r="G224" s="1351"/>
    </row>
    <row r="225" spans="1:9" s="1281" customFormat="1" x14ac:dyDescent="0.2">
      <c r="A225" s="1280"/>
      <c r="C225" s="1352" t="s">
        <v>61</v>
      </c>
      <c r="D225" s="1350">
        <f t="shared" ref="D225:D231" si="52">G154</f>
        <v>1.75</v>
      </c>
      <c r="E225" s="1294">
        <f t="shared" ref="E225:E231" si="53">G167</f>
        <v>3</v>
      </c>
      <c r="F225" s="1350">
        <f t="shared" ref="F225:F231" si="54">G180</f>
        <v>3.75</v>
      </c>
      <c r="G225" s="1295"/>
    </row>
    <row r="226" spans="1:9" s="1281" customFormat="1" x14ac:dyDescent="0.2">
      <c r="A226" s="1280"/>
      <c r="C226" s="1349" t="s">
        <v>15</v>
      </c>
      <c r="D226" s="1350">
        <f t="shared" si="52"/>
        <v>1</v>
      </c>
      <c r="E226" s="1294">
        <f t="shared" si="53"/>
        <v>1.5</v>
      </c>
      <c r="F226" s="1350">
        <f t="shared" si="54"/>
        <v>1.875</v>
      </c>
      <c r="G226" s="1351"/>
    </row>
    <row r="227" spans="1:9" s="1281" customFormat="1" x14ac:dyDescent="0.2">
      <c r="A227" s="1280"/>
      <c r="C227" s="1349" t="s">
        <v>25</v>
      </c>
      <c r="D227" s="1350">
        <f t="shared" si="52"/>
        <v>0.75</v>
      </c>
      <c r="E227" s="1294">
        <f t="shared" si="53"/>
        <v>1.5</v>
      </c>
      <c r="F227" s="1350">
        <f t="shared" si="54"/>
        <v>1.875</v>
      </c>
      <c r="G227" s="1351"/>
    </row>
    <row r="228" spans="1:9" s="1281" customFormat="1" x14ac:dyDescent="0.2">
      <c r="A228" s="1280"/>
      <c r="C228" s="1349" t="s">
        <v>28</v>
      </c>
      <c r="D228" s="1350">
        <f t="shared" si="52"/>
        <v>1.5</v>
      </c>
      <c r="E228" s="1294">
        <f t="shared" si="53"/>
        <v>2.1</v>
      </c>
      <c r="F228" s="1350">
        <f t="shared" si="54"/>
        <v>3</v>
      </c>
      <c r="G228" s="1351"/>
    </row>
    <row r="229" spans="1:9" s="1281" customFormat="1" x14ac:dyDescent="0.2">
      <c r="A229" s="1280"/>
      <c r="C229" s="1349" t="s">
        <v>19</v>
      </c>
      <c r="D229" s="1350">
        <f t="shared" si="52"/>
        <v>1.75</v>
      </c>
      <c r="E229" s="1294">
        <f t="shared" si="53"/>
        <v>2.5</v>
      </c>
      <c r="F229" s="1350">
        <f t="shared" si="54"/>
        <v>3</v>
      </c>
      <c r="G229" s="1351"/>
    </row>
    <row r="230" spans="1:9" s="1281" customFormat="1" x14ac:dyDescent="0.2">
      <c r="A230" s="1280"/>
      <c r="C230" s="1349" t="s">
        <v>17</v>
      </c>
      <c r="D230" s="1353"/>
      <c r="E230" s="1294">
        <f t="shared" si="53"/>
        <v>1.1666666666666667</v>
      </c>
      <c r="F230" s="1350">
        <f t="shared" si="54"/>
        <v>2.1666666666666665</v>
      </c>
      <c r="G230" s="1351">
        <v>2.5</v>
      </c>
    </row>
    <row r="231" spans="1:9" s="1281" customFormat="1" ht="13.5" thickBot="1" x14ac:dyDescent="0.25">
      <c r="A231" s="1280"/>
      <c r="C231" s="1402" t="s">
        <v>33</v>
      </c>
      <c r="D231" s="1403">
        <f t="shared" si="52"/>
        <v>1.5</v>
      </c>
      <c r="E231" s="1354">
        <f t="shared" si="53"/>
        <v>2</v>
      </c>
      <c r="F231" s="1350">
        <f t="shared" si="54"/>
        <v>2.5</v>
      </c>
      <c r="G231" s="1355">
        <v>3</v>
      </c>
    </row>
    <row r="232" spans="1:9" s="1281" customFormat="1" ht="13.5" thickBot="1" x14ac:dyDescent="0.25">
      <c r="A232" s="1280"/>
      <c r="B232" s="1396" t="str">
        <f>'TRAD-Children YEAR(1)'!B91</f>
        <v>Comprimés</v>
      </c>
      <c r="C232" s="849" t="str">
        <f t="array" ref="C232:C254">C194:C216</f>
        <v>AZT+ 3TC+ NVP adulte</v>
      </c>
      <c r="D232" s="1294">
        <f t="array" ref="D232:G254">E194:H216</f>
        <v>0</v>
      </c>
      <c r="E232" s="1294">
        <v>0</v>
      </c>
      <c r="F232" s="1294">
        <v>1</v>
      </c>
      <c r="G232" s="1294">
        <v>1</v>
      </c>
      <c r="H232" s="849"/>
      <c r="I232" s="1172"/>
    </row>
    <row r="233" spans="1:9" s="1281" customFormat="1" x14ac:dyDescent="0.2">
      <c r="A233" s="1280"/>
      <c r="C233" s="849" t="str">
        <v>AZT+ 3TC+ NVP bébé</v>
      </c>
      <c r="D233" s="1294">
        <v>1.5</v>
      </c>
      <c r="E233" s="1294">
        <v>2</v>
      </c>
      <c r="F233" s="1294">
        <v>2.5</v>
      </c>
      <c r="G233" s="1294">
        <v>3</v>
      </c>
      <c r="H233" s="639"/>
      <c r="I233" s="1172"/>
    </row>
    <row r="234" spans="1:9" s="1281" customFormat="1" x14ac:dyDescent="0.2">
      <c r="A234" s="1280"/>
      <c r="C234" s="849" t="str">
        <v>AZT+ 3TC adulte</v>
      </c>
      <c r="D234" s="1294">
        <v>0</v>
      </c>
      <c r="E234" s="1294">
        <v>0</v>
      </c>
      <c r="F234" s="1294">
        <v>1</v>
      </c>
      <c r="G234" s="1294">
        <v>1</v>
      </c>
      <c r="H234" s="849"/>
      <c r="I234" s="1172"/>
    </row>
    <row r="235" spans="1:9" s="1281" customFormat="1" x14ac:dyDescent="0.2">
      <c r="A235" s="1280"/>
      <c r="C235" s="849" t="str">
        <v>AZT+ 3TC bébé</v>
      </c>
      <c r="D235" s="1294">
        <v>1.5</v>
      </c>
      <c r="E235" s="1294">
        <v>2</v>
      </c>
      <c r="F235" s="1294">
        <v>2.5</v>
      </c>
      <c r="G235" s="1294">
        <v>3</v>
      </c>
      <c r="H235" s="849"/>
      <c r="I235" s="1172"/>
    </row>
    <row r="236" spans="1:9" s="1281" customFormat="1" x14ac:dyDescent="0.2">
      <c r="A236" s="1280"/>
      <c r="C236" s="849" t="str">
        <v>D4T+ 3TC+ NVP adulte</v>
      </c>
      <c r="D236" s="1294">
        <v>0</v>
      </c>
      <c r="E236" s="1294">
        <v>0</v>
      </c>
      <c r="F236" s="1294">
        <v>1</v>
      </c>
      <c r="G236" s="1294">
        <v>1</v>
      </c>
      <c r="H236" s="639"/>
      <c r="I236" s="1172"/>
    </row>
    <row r="237" spans="1:9" s="1281" customFormat="1" x14ac:dyDescent="0.2">
      <c r="A237" s="1280"/>
      <c r="C237" s="849" t="str">
        <v>D4T+ 3TC+ NVP bébé</v>
      </c>
      <c r="D237" s="1294">
        <v>1.5</v>
      </c>
      <c r="E237" s="1294">
        <v>2</v>
      </c>
      <c r="F237" s="1294">
        <v>2.5</v>
      </c>
      <c r="G237" s="1294">
        <v>3</v>
      </c>
      <c r="H237" s="638"/>
      <c r="I237" s="1172"/>
    </row>
    <row r="238" spans="1:9" s="1281" customFormat="1" x14ac:dyDescent="0.2">
      <c r="A238" s="1280"/>
      <c r="C238" s="849" t="str">
        <v>D4T+ 3TC bébé</v>
      </c>
      <c r="D238" s="1294">
        <v>1.5</v>
      </c>
      <c r="E238" s="1294">
        <v>2</v>
      </c>
      <c r="F238" s="1294">
        <v>2.5</v>
      </c>
      <c r="G238" s="1294">
        <v>3</v>
      </c>
      <c r="H238" s="638"/>
      <c r="I238" s="1172"/>
    </row>
    <row r="239" spans="1:9" s="1281" customFormat="1" x14ac:dyDescent="0.2">
      <c r="A239" s="1280"/>
      <c r="C239" s="849" t="str">
        <v>AZT+ 3TC+ ABC adulte</v>
      </c>
      <c r="D239" s="1294">
        <v>0</v>
      </c>
      <c r="E239" s="1294">
        <v>0</v>
      </c>
      <c r="F239" s="1294">
        <v>1</v>
      </c>
      <c r="G239" s="1294">
        <v>1</v>
      </c>
      <c r="H239" s="849"/>
      <c r="I239" s="1172"/>
    </row>
    <row r="240" spans="1:9" s="1281" customFormat="1" x14ac:dyDescent="0.2">
      <c r="A240" s="1280"/>
      <c r="C240" s="849" t="str">
        <v>AZT+ 3TC+ ABC bébé</v>
      </c>
      <c r="D240" s="1294">
        <v>1.5</v>
      </c>
      <c r="E240" s="1294">
        <v>2</v>
      </c>
      <c r="F240" s="1294">
        <v>2.5</v>
      </c>
      <c r="G240" s="1294">
        <v>3</v>
      </c>
      <c r="H240" s="849"/>
      <c r="I240" s="1172"/>
    </row>
    <row r="241" spans="1:9" s="1281" customFormat="1" x14ac:dyDescent="0.2">
      <c r="A241" s="1280"/>
      <c r="C241" s="849" t="str">
        <v>ABC+ 3TC adulte</v>
      </c>
      <c r="D241" s="1294">
        <v>0</v>
      </c>
      <c r="E241" s="1294">
        <v>0</v>
      </c>
      <c r="F241" s="1294">
        <v>1</v>
      </c>
      <c r="G241" s="1294">
        <v>1</v>
      </c>
      <c r="H241" s="849"/>
      <c r="I241" s="1172"/>
    </row>
    <row r="242" spans="1:9" s="1281" customFormat="1" x14ac:dyDescent="0.2">
      <c r="A242" s="1280"/>
      <c r="C242" s="849" t="str">
        <v>ABC+ 3TC bébé</v>
      </c>
      <c r="D242" s="1294">
        <v>1.5</v>
      </c>
      <c r="E242" s="1294">
        <v>2</v>
      </c>
      <c r="F242" s="1294">
        <v>2.5</v>
      </c>
      <c r="G242" s="1294">
        <v>3</v>
      </c>
      <c r="H242" s="849"/>
      <c r="I242" s="1172"/>
    </row>
    <row r="243" spans="1:9" s="1281" customFormat="1" x14ac:dyDescent="0.2">
      <c r="A243" s="1280"/>
      <c r="C243" s="849" t="str">
        <v>TDF+ FTC/3TC+ EFV adulte</v>
      </c>
      <c r="D243" s="1294">
        <v>0</v>
      </c>
      <c r="E243" s="1294">
        <v>0</v>
      </c>
      <c r="F243" s="1294">
        <v>0</v>
      </c>
      <c r="G243" s="1294">
        <v>1</v>
      </c>
      <c r="H243" s="849"/>
      <c r="I243" s="1172"/>
    </row>
    <row r="244" spans="1:9" s="1281" customFormat="1" x14ac:dyDescent="0.2">
      <c r="A244" s="1280"/>
      <c r="C244" s="849" t="str">
        <v>TDF+ FTC/3TC adulte</v>
      </c>
      <c r="D244" s="1294">
        <v>0</v>
      </c>
      <c r="E244" s="1294">
        <v>0</v>
      </c>
      <c r="F244" s="1294">
        <v>0</v>
      </c>
      <c r="G244" s="1294">
        <v>1</v>
      </c>
      <c r="H244" s="849"/>
      <c r="I244" s="1172"/>
    </row>
    <row r="245" spans="1:9" s="1281" customFormat="1" x14ac:dyDescent="0.2">
      <c r="A245" s="1280"/>
      <c r="C245" s="849" t="str">
        <v>TDF adulte</v>
      </c>
      <c r="D245" s="1294">
        <v>0</v>
      </c>
      <c r="E245" s="1294">
        <v>0</v>
      </c>
      <c r="F245" s="1294">
        <v>0</v>
      </c>
      <c r="G245" s="1294">
        <v>1</v>
      </c>
      <c r="H245" s="849"/>
      <c r="I245" s="1172"/>
    </row>
    <row r="246" spans="1:9" s="1281" customFormat="1" x14ac:dyDescent="0.2">
      <c r="A246" s="1280"/>
      <c r="C246" s="849" t="str">
        <v>3TC adulte</v>
      </c>
      <c r="D246" s="1294">
        <v>0</v>
      </c>
      <c r="E246" s="1294">
        <v>0</v>
      </c>
      <c r="F246" s="1294">
        <v>0.5</v>
      </c>
      <c r="G246" s="1294">
        <v>1</v>
      </c>
      <c r="H246" s="849"/>
      <c r="I246" s="1172"/>
    </row>
    <row r="247" spans="1:9" s="1281" customFormat="1" x14ac:dyDescent="0.2">
      <c r="A247" s="1280"/>
      <c r="C247" s="849" t="str">
        <v>ABC adulte</v>
      </c>
      <c r="D247" s="1294">
        <v>0</v>
      </c>
      <c r="E247" s="1294">
        <v>0</v>
      </c>
      <c r="F247" s="1294">
        <v>0.5</v>
      </c>
      <c r="G247" s="1294">
        <v>1</v>
      </c>
      <c r="H247" s="849"/>
      <c r="I247" s="1172"/>
    </row>
    <row r="248" spans="1:9" s="1281" customFormat="1" x14ac:dyDescent="0.2">
      <c r="A248" s="1280"/>
      <c r="C248" s="849" t="str">
        <v>ABC bébé</v>
      </c>
      <c r="D248" s="1294">
        <v>1.5</v>
      </c>
      <c r="E248" s="1294">
        <v>2</v>
      </c>
      <c r="F248" s="1294">
        <v>2.5</v>
      </c>
      <c r="G248" s="1294">
        <v>3</v>
      </c>
      <c r="H248" s="849"/>
      <c r="I248" s="1172"/>
    </row>
    <row r="249" spans="1:9" s="1281" customFormat="1" x14ac:dyDescent="0.2">
      <c r="A249" s="1280"/>
      <c r="C249" s="849" t="str">
        <v>DDI adulte</v>
      </c>
      <c r="D249" s="1294">
        <v>0</v>
      </c>
      <c r="E249" s="1294">
        <v>0</v>
      </c>
      <c r="F249" s="1294">
        <v>0</v>
      </c>
      <c r="G249" s="1294">
        <v>1</v>
      </c>
      <c r="H249" s="849"/>
      <c r="I249" s="1172"/>
    </row>
    <row r="250" spans="1:9" s="1281" customFormat="1" x14ac:dyDescent="0.2">
      <c r="A250" s="1280"/>
      <c r="C250" s="850" t="str">
        <v>NVP adulte</v>
      </c>
      <c r="D250" s="1294">
        <v>0</v>
      </c>
      <c r="E250" s="1294">
        <v>0</v>
      </c>
      <c r="F250" s="1294">
        <v>0.75</v>
      </c>
      <c r="G250" s="1294">
        <v>1</v>
      </c>
      <c r="H250" s="850"/>
      <c r="I250" s="1172"/>
    </row>
    <row r="251" spans="1:9" s="1281" customFormat="1" x14ac:dyDescent="0.2">
      <c r="A251" s="1280"/>
      <c r="C251" s="850" t="str">
        <v>NVP bébé</v>
      </c>
      <c r="D251" s="1294">
        <v>1.5</v>
      </c>
      <c r="E251" s="1294">
        <v>2</v>
      </c>
      <c r="F251" s="1294">
        <v>2.5</v>
      </c>
      <c r="G251" s="1294">
        <v>3</v>
      </c>
      <c r="H251" s="850"/>
      <c r="I251" s="1172"/>
    </row>
    <row r="252" spans="1:9" s="1281" customFormat="1" x14ac:dyDescent="0.2">
      <c r="A252" s="1280"/>
      <c r="C252" s="850" t="str">
        <v>EFV enfant</v>
      </c>
      <c r="D252" s="1294">
        <v>0</v>
      </c>
      <c r="E252" s="1294">
        <v>1</v>
      </c>
      <c r="F252" s="1294">
        <v>1.5</v>
      </c>
      <c r="G252" s="1294">
        <v>1.5</v>
      </c>
      <c r="H252" s="850"/>
      <c r="I252" s="1172"/>
    </row>
    <row r="253" spans="1:9" s="1281" customFormat="1" x14ac:dyDescent="0.2">
      <c r="A253" s="1280"/>
      <c r="C253" s="849" t="str">
        <v>LPV/r adulte</v>
      </c>
      <c r="D253" s="1294">
        <v>0</v>
      </c>
      <c r="E253" s="1294">
        <v>0</v>
      </c>
      <c r="F253" s="1294">
        <v>0.5</v>
      </c>
      <c r="G253" s="1294">
        <v>0.5</v>
      </c>
      <c r="H253" s="849"/>
      <c r="I253" s="1172"/>
    </row>
    <row r="254" spans="1:9" s="1281" customFormat="1" ht="13.5" thickBot="1" x14ac:dyDescent="0.25">
      <c r="A254" s="1280"/>
      <c r="C254" s="849" t="str">
        <v>LPV/r enfant</v>
      </c>
      <c r="D254" s="1294">
        <v>0</v>
      </c>
      <c r="E254" s="1294">
        <v>1.5</v>
      </c>
      <c r="F254" s="1294">
        <v>2</v>
      </c>
      <c r="G254" s="1294">
        <v>2</v>
      </c>
      <c r="H254" s="851"/>
      <c r="I254" s="1190"/>
    </row>
    <row r="255" spans="1:9" s="1281" customFormat="1" x14ac:dyDescent="0.2">
      <c r="A255" s="1280"/>
      <c r="C255" s="1280"/>
      <c r="F255" s="1321"/>
      <c r="G255" s="1321"/>
    </row>
    <row r="256" spans="1:9" s="1279" customFormat="1" x14ac:dyDescent="0.2">
      <c r="A256" s="1282"/>
    </row>
    <row r="257" spans="1:36" s="1279" customFormat="1" ht="15.75" thickBot="1" x14ac:dyDescent="0.25">
      <c r="A257" s="1277" t="str">
        <f>'TRAD-Children YEAR(1)'!B111</f>
        <v>Détails des calculs Quantification</v>
      </c>
      <c r="B257" s="1278"/>
      <c r="C257" s="1278"/>
      <c r="D257" s="1278"/>
      <c r="E257" s="1278"/>
      <c r="F257" s="1278"/>
      <c r="G257" s="1278"/>
      <c r="H257" s="1278"/>
      <c r="I257" s="1278"/>
      <c r="J257" s="1278"/>
      <c r="K257" s="1278"/>
      <c r="L257" s="1278"/>
    </row>
    <row r="258" spans="1:36" s="1281" customFormat="1" ht="13.5" thickBot="1" x14ac:dyDescent="0.25">
      <c r="A258" s="1280"/>
    </row>
    <row r="259" spans="1:36" s="1279" customFormat="1" ht="13.5" thickBot="1" x14ac:dyDescent="0.25">
      <c r="A259" s="1282"/>
      <c r="B259" s="1283" t="str">
        <f>'TRAD-Children YEAR(1)'!B112</f>
        <v>Tranche 3 - 9,9 kg</v>
      </c>
      <c r="C259" s="1284"/>
      <c r="D259" s="1285"/>
      <c r="E259" s="1285"/>
      <c r="F259" s="1285"/>
      <c r="G259" s="1285"/>
      <c r="H259" s="1285"/>
      <c r="I259" s="1286"/>
    </row>
    <row r="260" spans="1:36" s="1279" customFormat="1" ht="13.5" thickBot="1" x14ac:dyDescent="0.25">
      <c r="A260" s="1282"/>
      <c r="B260" s="1323"/>
      <c r="C260" s="1324"/>
      <c r="D260" s="1323"/>
      <c r="E260" s="1323"/>
      <c r="F260" s="1323"/>
      <c r="G260" s="1323"/>
      <c r="H260" s="1323"/>
      <c r="I260" s="1323"/>
    </row>
    <row r="261" spans="1:36" s="1279" customFormat="1" ht="26.25" thickBot="1" x14ac:dyDescent="0.25">
      <c r="A261" s="1282"/>
      <c r="D261" s="1322" t="str">
        <f>'TRAD-Children YEAR(1)'!B90</f>
        <v>Solutions buvables</v>
      </c>
      <c r="E261" s="1284"/>
      <c r="F261" s="1284"/>
      <c r="G261" s="1284"/>
      <c r="H261" s="1284"/>
      <c r="I261" s="1284"/>
      <c r="J261" s="1284"/>
      <c r="K261" s="1290"/>
      <c r="L261" s="1289" t="str">
        <f>'TRAD-Children YEAR(1)'!B91</f>
        <v>Comprimés</v>
      </c>
      <c r="M261" s="1284"/>
      <c r="N261" s="1284"/>
      <c r="O261" s="1284"/>
      <c r="P261" s="1284"/>
      <c r="Q261" s="1284"/>
      <c r="R261" s="1284"/>
      <c r="S261" s="1284"/>
      <c r="T261" s="1284"/>
      <c r="U261" s="1284"/>
      <c r="V261" s="1284"/>
      <c r="W261" s="1945"/>
      <c r="X261" s="1945"/>
      <c r="Y261" s="1945"/>
      <c r="Z261" s="1284"/>
      <c r="AA261" s="1284"/>
      <c r="AB261" s="1284"/>
      <c r="AC261" s="1284"/>
      <c r="AD261" s="1284"/>
      <c r="AE261" s="1284"/>
      <c r="AF261" s="1284"/>
      <c r="AG261" s="1284"/>
      <c r="AH261" s="1284"/>
    </row>
    <row r="262" spans="1:36" s="1292" customFormat="1" ht="25.5" x14ac:dyDescent="0.2">
      <c r="A262" s="1291"/>
      <c r="C262" s="1332" t="str">
        <f>'TRAD-Children YEAR(1)'!B113</f>
        <v>Nb de boites / mois pour l'ensemble des patients</v>
      </c>
      <c r="D262" s="1329" t="s">
        <v>39</v>
      </c>
      <c r="E262" s="1329" t="s">
        <v>61</v>
      </c>
      <c r="F262" s="1329" t="s">
        <v>15</v>
      </c>
      <c r="G262" s="1329" t="s">
        <v>25</v>
      </c>
      <c r="H262" s="1329" t="s">
        <v>28</v>
      </c>
      <c r="I262" s="1329" t="s">
        <v>19</v>
      </c>
      <c r="J262" s="1329" t="s">
        <v>17</v>
      </c>
      <c r="K262" s="1333" t="s">
        <v>33</v>
      </c>
      <c r="L262" s="1334" t="s">
        <v>7</v>
      </c>
      <c r="M262" s="1330" t="s">
        <v>386</v>
      </c>
      <c r="N262" s="1330" t="s">
        <v>11</v>
      </c>
      <c r="O262" s="1330" t="s">
        <v>387</v>
      </c>
      <c r="P262" s="1330" t="s">
        <v>50</v>
      </c>
      <c r="Q262" s="1330" t="s">
        <v>392</v>
      </c>
      <c r="R262" s="1330" t="s">
        <v>81</v>
      </c>
      <c r="S262" s="1330" t="s">
        <v>140</v>
      </c>
      <c r="T262" s="1330" t="s">
        <v>635</v>
      </c>
      <c r="U262" s="1330" t="s">
        <v>586</v>
      </c>
      <c r="V262" s="1330" t="s">
        <v>575</v>
      </c>
      <c r="W262" s="1946"/>
      <c r="X262" s="1946"/>
      <c r="Y262" s="1946"/>
      <c r="Z262" s="1422" t="s">
        <v>15</v>
      </c>
      <c r="AA262" s="1330" t="s">
        <v>25</v>
      </c>
      <c r="AB262" s="1330" t="s">
        <v>648</v>
      </c>
      <c r="AC262" s="1330" t="s">
        <v>28</v>
      </c>
      <c r="AD262" s="1422" t="s">
        <v>19</v>
      </c>
      <c r="AE262" s="1586" t="s">
        <v>19</v>
      </c>
      <c r="AF262" s="1422" t="s">
        <v>17</v>
      </c>
      <c r="AG262" s="1330" t="s">
        <v>33</v>
      </c>
      <c r="AH262" s="1335" t="s">
        <v>638</v>
      </c>
    </row>
    <row r="263" spans="1:36" s="1292" customFormat="1" ht="25.5" x14ac:dyDescent="0.2">
      <c r="A263" s="1291"/>
      <c r="C263" s="1332" t="str">
        <f>'TRAD-Children YEAR(1)'!B114</f>
        <v>Dosage</v>
      </c>
      <c r="D263" s="1329" t="s">
        <v>41</v>
      </c>
      <c r="E263" s="1329" t="s">
        <v>41</v>
      </c>
      <c r="F263" s="1329" t="s">
        <v>41</v>
      </c>
      <c r="G263" s="1329" t="s">
        <v>44</v>
      </c>
      <c r="H263" s="1329" t="s">
        <v>46</v>
      </c>
      <c r="I263" s="1329" t="s">
        <v>41</v>
      </c>
      <c r="J263" s="1329" t="s">
        <v>259</v>
      </c>
      <c r="K263" s="1333" t="s">
        <v>47</v>
      </c>
      <c r="L263" s="1336" t="s">
        <v>9</v>
      </c>
      <c r="M263" s="1331" t="s">
        <v>384</v>
      </c>
      <c r="N263" s="1331" t="s">
        <v>12</v>
      </c>
      <c r="O263" s="1331" t="s">
        <v>382</v>
      </c>
      <c r="P263" s="1331" t="s">
        <v>80</v>
      </c>
      <c r="Q263" s="1331" t="s">
        <v>131</v>
      </c>
      <c r="R263" s="1331" t="s">
        <v>733</v>
      </c>
      <c r="S263" s="1331" t="s">
        <v>334</v>
      </c>
      <c r="T263" s="1331" t="s">
        <v>636</v>
      </c>
      <c r="U263" s="1331" t="s">
        <v>649</v>
      </c>
      <c r="V263" s="1331" t="s">
        <v>636</v>
      </c>
      <c r="W263" s="1331"/>
      <c r="X263" s="1331"/>
      <c r="Y263" s="1331"/>
      <c r="Z263" s="1424" t="s">
        <v>16</v>
      </c>
      <c r="AA263" s="1331" t="s">
        <v>23</v>
      </c>
      <c r="AB263" s="1331" t="s">
        <v>639</v>
      </c>
      <c r="AC263" s="1331" t="s">
        <v>29</v>
      </c>
      <c r="AD263" s="1424" t="s">
        <v>20</v>
      </c>
      <c r="AE263" s="1424" t="s">
        <v>248</v>
      </c>
      <c r="AF263" s="1424" t="s">
        <v>20</v>
      </c>
      <c r="AG263" s="1331" t="s">
        <v>34</v>
      </c>
      <c r="AH263" s="1337" t="s">
        <v>637</v>
      </c>
    </row>
    <row r="264" spans="1:36" s="1281" customFormat="1" ht="26.25" thickBot="1" x14ac:dyDescent="0.25">
      <c r="A264" s="1280"/>
      <c r="C264" s="1332" t="str">
        <f>'TRAD-Children YEAR(1)'!B115</f>
        <v>Nb de cdt/mois pour la tranche</v>
      </c>
      <c r="D264" s="1404">
        <f t="array" ref="D264:AH264">TRANSPOSE($D$224:$D$254)</f>
        <v>2.25</v>
      </c>
      <c r="E264" s="1404">
        <v>1.75</v>
      </c>
      <c r="F264" s="1404">
        <v>1</v>
      </c>
      <c r="G264" s="1404">
        <v>0.75</v>
      </c>
      <c r="H264" s="1404">
        <v>1.5</v>
      </c>
      <c r="I264" s="1404">
        <v>1.75</v>
      </c>
      <c r="J264" s="1404">
        <v>0</v>
      </c>
      <c r="K264" s="1405">
        <v>1.5</v>
      </c>
      <c r="L264" s="1406">
        <v>0</v>
      </c>
      <c r="M264" s="1407">
        <v>1.5</v>
      </c>
      <c r="N264" s="1407">
        <v>0</v>
      </c>
      <c r="O264" s="1407">
        <v>1.5</v>
      </c>
      <c r="P264" s="1407">
        <v>0</v>
      </c>
      <c r="Q264" s="1407">
        <v>1.5</v>
      </c>
      <c r="R264" s="1407">
        <v>1.5</v>
      </c>
      <c r="S264" s="1407">
        <v>0</v>
      </c>
      <c r="T264" s="1407">
        <v>1.5</v>
      </c>
      <c r="U264" s="1407">
        <v>0</v>
      </c>
      <c r="V264" s="1407">
        <v>1.5</v>
      </c>
      <c r="W264" s="1407">
        <v>0</v>
      </c>
      <c r="X264" s="1407">
        <v>0</v>
      </c>
      <c r="Y264" s="1407">
        <v>0</v>
      </c>
      <c r="Z264" s="1407">
        <v>0</v>
      </c>
      <c r="AA264" s="1407">
        <v>0</v>
      </c>
      <c r="AB264" s="1407">
        <v>1.5</v>
      </c>
      <c r="AC264" s="1407">
        <v>0</v>
      </c>
      <c r="AD264" s="1407">
        <v>0</v>
      </c>
      <c r="AE264" s="1407">
        <v>1.5</v>
      </c>
      <c r="AF264" s="1407">
        <v>0</v>
      </c>
      <c r="AG264" s="1407">
        <v>0</v>
      </c>
      <c r="AH264" s="1407">
        <v>0</v>
      </c>
      <c r="AI264" s="1338" t="s">
        <v>654</v>
      </c>
    </row>
    <row r="265" spans="1:36" s="1279" customFormat="1" ht="63.75" x14ac:dyDescent="0.2">
      <c r="A265" s="1282"/>
      <c r="B265" s="1293" t="str">
        <f>'TRAD-Children YEAR(1)'!B6</f>
        <v>Schéma thérapeutique</v>
      </c>
      <c r="C265" s="1332" t="str">
        <f>'TRAD-Children YEAR(1)'!B116</f>
        <v>Premières lignes</v>
      </c>
      <c r="D265" s="1297"/>
      <c r="E265" s="1297"/>
      <c r="F265" s="1297"/>
      <c r="G265" s="1297"/>
      <c r="H265" s="1297"/>
      <c r="I265" s="1297"/>
      <c r="J265" s="1297"/>
      <c r="K265" s="1298"/>
      <c r="L265" s="1299"/>
      <c r="M265" s="1297"/>
      <c r="N265" s="1297"/>
      <c r="O265" s="1297"/>
      <c r="P265" s="1297"/>
      <c r="Q265" s="1297"/>
      <c r="R265" s="1297"/>
      <c r="S265" s="1297"/>
      <c r="T265" s="1297"/>
      <c r="U265" s="1297"/>
      <c r="V265" s="1297"/>
      <c r="W265" s="1297"/>
      <c r="X265" s="1297"/>
      <c r="Y265" s="1297"/>
      <c r="Z265" s="1297"/>
      <c r="AA265" s="1297"/>
      <c r="AB265" s="1297"/>
      <c r="AC265" s="1297"/>
      <c r="AD265" s="1297"/>
      <c r="AE265" s="1297"/>
      <c r="AF265" s="1297"/>
      <c r="AG265" s="1297"/>
      <c r="AH265" s="1297"/>
      <c r="AI265" s="1318" t="str">
        <f>'TRAD-Children YEAR(1)'!B122</f>
        <v>nb de patients mois période quantifiée</v>
      </c>
      <c r="AJ265" s="1318" t="str">
        <f>'TRAD-Children YEAR(1)'!B123</f>
        <v>nb de patients mois avec période de sécurité</v>
      </c>
    </row>
    <row r="266" spans="1:36" s="1279" customFormat="1" ht="15" x14ac:dyDescent="0.25">
      <c r="A266" s="1282"/>
      <c r="C266" s="1319" t="str">
        <f t="array" ref="C266:C271">'Data &amp; hypothesis Children'!$C$26:$C$31</f>
        <v>D4T+3TC+NVP</v>
      </c>
      <c r="D266" s="1175">
        <f>'Data &amp; hypothesis Children'!C119</f>
        <v>0</v>
      </c>
      <c r="E266" s="1175">
        <f>'Data &amp; hypothesis Children'!D119</f>
        <v>0</v>
      </c>
      <c r="F266" s="1175">
        <f>'Data &amp; hypothesis Children'!E119</f>
        <v>0</v>
      </c>
      <c r="G266" s="1175">
        <f>'Data &amp; hypothesis Children'!F119</f>
        <v>0</v>
      </c>
      <c r="H266" s="1175">
        <f>'Data &amp; hypothesis Children'!G119</f>
        <v>0</v>
      </c>
      <c r="I266" s="1175">
        <f>'Data &amp; hypothesis Children'!H119</f>
        <v>0</v>
      </c>
      <c r="J266" s="1175">
        <f>'Data &amp; hypothesis Children'!I119</f>
        <v>0</v>
      </c>
      <c r="K266" s="1413">
        <f>'Data &amp; hypothesis Children'!J119</f>
        <v>0</v>
      </c>
      <c r="L266" s="1414">
        <f>'Data &amp; hypothesis Children'!K119</f>
        <v>0</v>
      </c>
      <c r="M266" s="1175">
        <f>'Data &amp; hypothesis Children'!L119</f>
        <v>0</v>
      </c>
      <c r="N266" s="1175">
        <f>'Data &amp; hypothesis Children'!M119</f>
        <v>0</v>
      </c>
      <c r="O266" s="1175">
        <f>'Data &amp; hypothesis Children'!N119</f>
        <v>0</v>
      </c>
      <c r="P266" s="1175">
        <f>'Data &amp; hypothesis Children'!O119</f>
        <v>0</v>
      </c>
      <c r="Q266" s="1175">
        <f>'Data &amp; hypothesis Children'!P119</f>
        <v>0</v>
      </c>
      <c r="R266" s="1175">
        <f>'Data &amp; hypothesis Children'!Q119</f>
        <v>0</v>
      </c>
      <c r="S266" s="1175">
        <f>'Data &amp; hypothesis Children'!R119</f>
        <v>0</v>
      </c>
      <c r="T266" s="1175">
        <f>'Data &amp; hypothesis Children'!S119</f>
        <v>0</v>
      </c>
      <c r="U266" s="1175">
        <f>'Data &amp; hypothesis Children'!T119</f>
        <v>0</v>
      </c>
      <c r="V266" s="1175">
        <f>'Data &amp; hypothesis Children'!U119</f>
        <v>0</v>
      </c>
      <c r="W266" s="1175">
        <f>'Data &amp; hypothesis Children'!V119</f>
        <v>0</v>
      </c>
      <c r="X266" s="1175">
        <f>'Data &amp; hypothesis Children'!W119</f>
        <v>0</v>
      </c>
      <c r="Y266" s="1175">
        <f>'Data &amp; hypothesis Children'!X119</f>
        <v>0</v>
      </c>
      <c r="Z266" s="1175">
        <f>'Data &amp; hypothesis Children'!Y119</f>
        <v>0</v>
      </c>
      <c r="AA266" s="1175">
        <f>'Data &amp; hypothesis Children'!Z119</f>
        <v>0</v>
      </c>
      <c r="AB266" s="1175">
        <f>'Data &amp; hypothesis Children'!AA119</f>
        <v>0</v>
      </c>
      <c r="AC266" s="1175">
        <f>'Data &amp; hypothesis Children'!AB119</f>
        <v>0</v>
      </c>
      <c r="AD266" s="1175">
        <f>'Data &amp; hypothesis Children'!AC119</f>
        <v>0</v>
      </c>
      <c r="AE266" s="1175">
        <f>'Data &amp; hypothesis Children'!AD119</f>
        <v>0</v>
      </c>
      <c r="AF266" s="1175">
        <f>'Data &amp; hypothesis Children'!AE119</f>
        <v>0</v>
      </c>
      <c r="AG266" s="1175">
        <f>'Data &amp; hypothesis Children'!AF119</f>
        <v>0</v>
      </c>
      <c r="AH266" s="1415">
        <f>'Data &amp; hypothesis Children'!AG119</f>
        <v>0</v>
      </c>
      <c r="AI266" s="1339" t="e">
        <f t="shared" ref="AI266:AI271" si="55">F69</f>
        <v>#DIV/0!</v>
      </c>
      <c r="AJ266" s="1340" t="e">
        <f t="shared" ref="AJ266:AJ271" si="56">F85</f>
        <v>#DIV/0!</v>
      </c>
    </row>
    <row r="267" spans="1:36" s="1279" customFormat="1" ht="15" x14ac:dyDescent="0.25">
      <c r="A267" s="1282"/>
      <c r="C267" s="1319" t="str">
        <v>AZT+3TC+NVP</v>
      </c>
      <c r="D267" s="1175">
        <f>'Data &amp; hypothesis Children'!C120</f>
        <v>0</v>
      </c>
      <c r="E267" s="1175">
        <f>'Data &amp; hypothesis Children'!D120</f>
        <v>0</v>
      </c>
      <c r="F267" s="1175">
        <f>'Data &amp; hypothesis Children'!E120</f>
        <v>0</v>
      </c>
      <c r="G267" s="1175">
        <f>'Data &amp; hypothesis Children'!F120</f>
        <v>0</v>
      </c>
      <c r="H267" s="1175">
        <f>'Data &amp; hypothesis Children'!G120</f>
        <v>0</v>
      </c>
      <c r="I267" s="1175">
        <f>'Data &amp; hypothesis Children'!H120</f>
        <v>0</v>
      </c>
      <c r="J267" s="1175">
        <f>'Data &amp; hypothesis Children'!I120</f>
        <v>0</v>
      </c>
      <c r="K267" s="1413">
        <f>'Data &amp; hypothesis Children'!J120</f>
        <v>0</v>
      </c>
      <c r="L267" s="1414">
        <f>'Data &amp; hypothesis Children'!K120</f>
        <v>0</v>
      </c>
      <c r="M267" s="1175" t="str">
        <f>'Data &amp; hypothesis Children'!L120</f>
        <v>X</v>
      </c>
      <c r="N267" s="1175">
        <f>'Data &amp; hypothesis Children'!M120</f>
        <v>0</v>
      </c>
      <c r="O267" s="1175">
        <f>'Data &amp; hypothesis Children'!N120</f>
        <v>0</v>
      </c>
      <c r="P267" s="1175">
        <f>'Data &amp; hypothesis Children'!O120</f>
        <v>0</v>
      </c>
      <c r="Q267" s="1175">
        <f>'Data &amp; hypothesis Children'!P120</f>
        <v>0</v>
      </c>
      <c r="R267" s="1175">
        <f>'Data &amp; hypothesis Children'!Q120</f>
        <v>0</v>
      </c>
      <c r="S267" s="1175">
        <f>'Data &amp; hypothesis Children'!R120</f>
        <v>0</v>
      </c>
      <c r="T267" s="1175">
        <f>'Data &amp; hypothesis Children'!S120</f>
        <v>0</v>
      </c>
      <c r="U267" s="1175">
        <f>'Data &amp; hypothesis Children'!T120</f>
        <v>0</v>
      </c>
      <c r="V267" s="1175">
        <f>'Data &amp; hypothesis Children'!U120</f>
        <v>0</v>
      </c>
      <c r="W267" s="1175">
        <f>'Data &amp; hypothesis Children'!V120</f>
        <v>0</v>
      </c>
      <c r="X267" s="1175">
        <f>'Data &amp; hypothesis Children'!W120</f>
        <v>0</v>
      </c>
      <c r="Y267" s="1175">
        <f>'Data &amp; hypothesis Children'!X120</f>
        <v>0</v>
      </c>
      <c r="Z267" s="1175">
        <f>'Data &amp; hypothesis Children'!Y120</f>
        <v>0</v>
      </c>
      <c r="AA267" s="1175">
        <f>'Data &amp; hypothesis Children'!Z120</f>
        <v>0</v>
      </c>
      <c r="AB267" s="1175">
        <f>'Data &amp; hypothesis Children'!AA120</f>
        <v>0</v>
      </c>
      <c r="AC267" s="1175">
        <f>'Data &amp; hypothesis Children'!AB120</f>
        <v>0</v>
      </c>
      <c r="AD267" s="1175">
        <f>'Data &amp; hypothesis Children'!AC120</f>
        <v>0</v>
      </c>
      <c r="AE267" s="1175">
        <f>'Data &amp; hypothesis Children'!AD120</f>
        <v>0</v>
      </c>
      <c r="AF267" s="1175">
        <f>'Data &amp; hypothesis Children'!AE120</f>
        <v>0</v>
      </c>
      <c r="AG267" s="1175">
        <f>'Data &amp; hypothesis Children'!AF120</f>
        <v>0</v>
      </c>
      <c r="AH267" s="1415">
        <f>'Data &amp; hypothesis Children'!AG120</f>
        <v>0</v>
      </c>
      <c r="AI267" s="1339" t="e">
        <f t="shared" si="55"/>
        <v>#DIV/0!</v>
      </c>
      <c r="AJ267" s="1340" t="e">
        <f t="shared" si="56"/>
        <v>#DIV/0!</v>
      </c>
    </row>
    <row r="268" spans="1:36" s="1279" customFormat="1" ht="15" x14ac:dyDescent="0.25">
      <c r="A268" s="1282"/>
      <c r="C268" s="1319" t="str">
        <v>AZT+3TC+EFV</v>
      </c>
      <c r="D268" s="1175">
        <f>'Data &amp; hypothesis Children'!C121</f>
        <v>0</v>
      </c>
      <c r="E268" s="1175">
        <f>'Data &amp; hypothesis Children'!D121</f>
        <v>0</v>
      </c>
      <c r="F268" s="1175">
        <f>'Data &amp; hypothesis Children'!E121</f>
        <v>0</v>
      </c>
      <c r="G268" s="1175">
        <f>'Data &amp; hypothesis Children'!F121</f>
        <v>0</v>
      </c>
      <c r="H268" s="1175">
        <f>'Data &amp; hypothesis Children'!G121</f>
        <v>0</v>
      </c>
      <c r="I268" s="1175">
        <f>'Data &amp; hypothesis Children'!H121</f>
        <v>0</v>
      </c>
      <c r="J268" s="1175">
        <f>'Data &amp; hypothesis Children'!I121</f>
        <v>0</v>
      </c>
      <c r="K268" s="1413">
        <f>'Data &amp; hypothesis Children'!J121</f>
        <v>0</v>
      </c>
      <c r="L268" s="1414">
        <f>'Data &amp; hypothesis Children'!K121</f>
        <v>0</v>
      </c>
      <c r="M268" s="1175">
        <f>'Data &amp; hypothesis Children'!L121</f>
        <v>0</v>
      </c>
      <c r="N268" s="1175">
        <f>'Data &amp; hypothesis Children'!M121</f>
        <v>0</v>
      </c>
      <c r="O268" s="1175">
        <f>'Data &amp; hypothesis Children'!N121</f>
        <v>0</v>
      </c>
      <c r="P268" s="1175">
        <f>'Data &amp; hypothesis Children'!O121</f>
        <v>0</v>
      </c>
      <c r="Q268" s="1175">
        <f>'Data &amp; hypothesis Children'!P121</f>
        <v>0</v>
      </c>
      <c r="R268" s="1175">
        <f>'Data &amp; hypothesis Children'!Q121</f>
        <v>0</v>
      </c>
      <c r="S268" s="1175">
        <f>'Data &amp; hypothesis Children'!R121</f>
        <v>0</v>
      </c>
      <c r="T268" s="1175">
        <f>'Data &amp; hypothesis Children'!S121</f>
        <v>0</v>
      </c>
      <c r="U268" s="1175">
        <f>'Data &amp; hypothesis Children'!T121</f>
        <v>0</v>
      </c>
      <c r="V268" s="1175">
        <f>'Data &amp; hypothesis Children'!U121</f>
        <v>0</v>
      </c>
      <c r="W268" s="1175">
        <f>'Data &amp; hypothesis Children'!V121</f>
        <v>0</v>
      </c>
      <c r="X268" s="1175">
        <f>'Data &amp; hypothesis Children'!W121</f>
        <v>0</v>
      </c>
      <c r="Y268" s="1175">
        <f>'Data &amp; hypothesis Children'!X121</f>
        <v>0</v>
      </c>
      <c r="Z268" s="1175">
        <f>'Data &amp; hypothesis Children'!Y121</f>
        <v>0</v>
      </c>
      <c r="AA268" s="1175">
        <f>'Data &amp; hypothesis Children'!Z121</f>
        <v>0</v>
      </c>
      <c r="AB268" s="1175">
        <f>'Data &amp; hypothesis Children'!AA121</f>
        <v>0</v>
      </c>
      <c r="AC268" s="1175">
        <f>'Data &amp; hypothesis Children'!AB121</f>
        <v>0</v>
      </c>
      <c r="AD268" s="1175">
        <f>'Data &amp; hypothesis Children'!AC121</f>
        <v>0</v>
      </c>
      <c r="AE268" s="1175">
        <f>'Data &amp; hypothesis Children'!AD121</f>
        <v>0</v>
      </c>
      <c r="AF268" s="1175">
        <f>'Data &amp; hypothesis Children'!AE121</f>
        <v>0</v>
      </c>
      <c r="AG268" s="1175">
        <f>'Data &amp; hypothesis Children'!AF121</f>
        <v>0</v>
      </c>
      <c r="AH268" s="1415">
        <f>'Data &amp; hypothesis Children'!AG121</f>
        <v>0</v>
      </c>
      <c r="AI268" s="1339">
        <f t="shared" si="55"/>
        <v>0</v>
      </c>
      <c r="AJ268" s="1340">
        <f t="shared" si="56"/>
        <v>0</v>
      </c>
    </row>
    <row r="269" spans="1:36" s="1279" customFormat="1" ht="15" x14ac:dyDescent="0.25">
      <c r="A269" s="1282"/>
      <c r="C269" s="1319" t="str">
        <v>LPV/r+3TC+ABC</v>
      </c>
      <c r="D269" s="1175">
        <f>'Data &amp; hypothesis Children'!C122</f>
        <v>0</v>
      </c>
      <c r="E269" s="1175">
        <f>'Data &amp; hypothesis Children'!D122</f>
        <v>0</v>
      </c>
      <c r="F269" s="1175">
        <f>'Data &amp; hypothesis Children'!E122</f>
        <v>0</v>
      </c>
      <c r="G269" s="1175">
        <f>'Data &amp; hypothesis Children'!F122</f>
        <v>0</v>
      </c>
      <c r="H269" s="1175">
        <f>'Data &amp; hypothesis Children'!G122</f>
        <v>0</v>
      </c>
      <c r="I269" s="1175">
        <f>'Data &amp; hypothesis Children'!H122</f>
        <v>0</v>
      </c>
      <c r="J269" s="1175">
        <f>'Data &amp; hypothesis Children'!I122</f>
        <v>0</v>
      </c>
      <c r="K269" s="1413">
        <f>'Data &amp; hypothesis Children'!J122</f>
        <v>0</v>
      </c>
      <c r="L269" s="1414">
        <f>'Data &amp; hypothesis Children'!K122</f>
        <v>0</v>
      </c>
      <c r="M269" s="1175">
        <f>'Data &amp; hypothesis Children'!L122</f>
        <v>0</v>
      </c>
      <c r="N269" s="1175">
        <f>'Data &amp; hypothesis Children'!M122</f>
        <v>0</v>
      </c>
      <c r="O269" s="1175">
        <f>'Data &amp; hypothesis Children'!N122</f>
        <v>0</v>
      </c>
      <c r="P269" s="1175">
        <f>'Data &amp; hypothesis Children'!O122</f>
        <v>0</v>
      </c>
      <c r="Q269" s="1175">
        <f>'Data &amp; hypothesis Children'!P122</f>
        <v>0</v>
      </c>
      <c r="R269" s="1175">
        <f>'Data &amp; hypothesis Children'!Q122</f>
        <v>0</v>
      </c>
      <c r="S269" s="1175">
        <f>'Data &amp; hypothesis Children'!R122</f>
        <v>0</v>
      </c>
      <c r="T269" s="1175">
        <f>'Data &amp; hypothesis Children'!S122</f>
        <v>0</v>
      </c>
      <c r="U269" s="1175">
        <f>'Data &amp; hypothesis Children'!T122</f>
        <v>0</v>
      </c>
      <c r="V269" s="1175">
        <f>'Data &amp; hypothesis Children'!U122</f>
        <v>0</v>
      </c>
      <c r="W269" s="1175">
        <f>'Data &amp; hypothesis Children'!V122</f>
        <v>0</v>
      </c>
      <c r="X269" s="1175">
        <f>'Data &amp; hypothesis Children'!W122</f>
        <v>0</v>
      </c>
      <c r="Y269" s="1175">
        <f>'Data &amp; hypothesis Children'!X122</f>
        <v>0</v>
      </c>
      <c r="Z269" s="1175">
        <f>'Data &amp; hypothesis Children'!Y122</f>
        <v>0</v>
      </c>
      <c r="AA269" s="1175">
        <f>'Data &amp; hypothesis Children'!Z122</f>
        <v>0</v>
      </c>
      <c r="AB269" s="1175">
        <f>'Data &amp; hypothesis Children'!AA122</f>
        <v>0</v>
      </c>
      <c r="AC269" s="1175">
        <f>'Data &amp; hypothesis Children'!AB122</f>
        <v>0</v>
      </c>
      <c r="AD269" s="1175">
        <f>'Data &amp; hypothesis Children'!AC122</f>
        <v>0</v>
      </c>
      <c r="AE269" s="1175">
        <f>'Data &amp; hypothesis Children'!AD122</f>
        <v>0</v>
      </c>
      <c r="AF269" s="1175">
        <f>'Data &amp; hypothesis Children'!AE122</f>
        <v>0</v>
      </c>
      <c r="AG269" s="1175">
        <f>'Data &amp; hypothesis Children'!AF122</f>
        <v>0</v>
      </c>
      <c r="AH269" s="1415">
        <f>'Data &amp; hypothesis Children'!AG122</f>
        <v>0</v>
      </c>
      <c r="AI269" s="1339" t="e">
        <f t="shared" si="55"/>
        <v>#DIV/0!</v>
      </c>
      <c r="AJ269" s="1340" t="e">
        <f t="shared" si="56"/>
        <v>#DIV/0!</v>
      </c>
    </row>
    <row r="270" spans="1:36" s="1279" customFormat="1" ht="15" x14ac:dyDescent="0.25">
      <c r="A270" s="1282"/>
      <c r="C270" s="1319" t="str">
        <v>ABC+3TC+NVP</v>
      </c>
      <c r="D270" s="1175">
        <f>'Data &amp; hypothesis Children'!C123</f>
        <v>0</v>
      </c>
      <c r="E270" s="1175">
        <f>'Data &amp; hypothesis Children'!D123</f>
        <v>0</v>
      </c>
      <c r="F270" s="1175">
        <f>'Data &amp; hypothesis Children'!E123</f>
        <v>0</v>
      </c>
      <c r="G270" s="1175">
        <f>'Data &amp; hypothesis Children'!F123</f>
        <v>0</v>
      </c>
      <c r="H270" s="1175">
        <f>'Data &amp; hypothesis Children'!G123</f>
        <v>0</v>
      </c>
      <c r="I270" s="1175" t="str">
        <f>'Data &amp; hypothesis Children'!H123</f>
        <v>X</v>
      </c>
      <c r="J270" s="1175">
        <f>'Data &amp; hypothesis Children'!I123</f>
        <v>0</v>
      </c>
      <c r="K270" s="1413">
        <f>'Data &amp; hypothesis Children'!J123</f>
        <v>0</v>
      </c>
      <c r="L270" s="1414">
        <f>'Data &amp; hypothesis Children'!K123</f>
        <v>0</v>
      </c>
      <c r="M270" s="1175">
        <f>'Data &amp; hypothesis Children'!L123</f>
        <v>0</v>
      </c>
      <c r="N270" s="1175">
        <f>'Data &amp; hypothesis Children'!M123</f>
        <v>0</v>
      </c>
      <c r="O270" s="1175">
        <f>'Data &amp; hypothesis Children'!N123</f>
        <v>0</v>
      </c>
      <c r="P270" s="1175">
        <f>'Data &amp; hypothesis Children'!O123</f>
        <v>0</v>
      </c>
      <c r="Q270" s="1175">
        <f>'Data &amp; hypothesis Children'!P123</f>
        <v>0</v>
      </c>
      <c r="R270" s="1175">
        <f>'Data &amp; hypothesis Children'!Q123</f>
        <v>0</v>
      </c>
      <c r="S270" s="1175">
        <f>'Data &amp; hypothesis Children'!R123</f>
        <v>0</v>
      </c>
      <c r="T270" s="1175">
        <f>'Data &amp; hypothesis Children'!S123</f>
        <v>0</v>
      </c>
      <c r="U270" s="1175" t="str">
        <f>'Data &amp; hypothesis Children'!T123</f>
        <v>X</v>
      </c>
      <c r="V270" s="1175">
        <f>'Data &amp; hypothesis Children'!U123</f>
        <v>0</v>
      </c>
      <c r="W270" s="1175">
        <f>'Data &amp; hypothesis Children'!V123</f>
        <v>0</v>
      </c>
      <c r="X270" s="1175">
        <f>'Data &amp; hypothesis Children'!W123</f>
        <v>0</v>
      </c>
      <c r="Y270" s="1175">
        <f>'Data &amp; hypothesis Children'!X123</f>
        <v>0</v>
      </c>
      <c r="Z270" s="1175">
        <f>'Data &amp; hypothesis Children'!Y123</f>
        <v>0</v>
      </c>
      <c r="AA270" s="1175">
        <f>'Data &amp; hypothesis Children'!Z123</f>
        <v>0</v>
      </c>
      <c r="AB270" s="1175">
        <f>'Data &amp; hypothesis Children'!AA123</f>
        <v>0</v>
      </c>
      <c r="AC270" s="1175">
        <f>'Data &amp; hypothesis Children'!AB123</f>
        <v>0</v>
      </c>
      <c r="AD270" s="1175">
        <f>'Data &amp; hypothesis Children'!AC123</f>
        <v>0</v>
      </c>
      <c r="AE270" s="1175">
        <f>'Data &amp; hypothesis Children'!AD123</f>
        <v>0</v>
      </c>
      <c r="AF270" s="1175">
        <f>'Data &amp; hypothesis Children'!AE123</f>
        <v>0</v>
      </c>
      <c r="AG270" s="1175">
        <f>'Data &amp; hypothesis Children'!AF123</f>
        <v>0</v>
      </c>
      <c r="AH270" s="1415">
        <f>'Data &amp; hypothesis Children'!AG123</f>
        <v>0</v>
      </c>
      <c r="AI270" s="1339" t="e">
        <f t="shared" si="55"/>
        <v>#DIV/0!</v>
      </c>
      <c r="AJ270" s="1340" t="e">
        <f t="shared" si="56"/>
        <v>#DIV/0!</v>
      </c>
    </row>
    <row r="271" spans="1:36" s="1279" customFormat="1" ht="15" x14ac:dyDescent="0.25">
      <c r="A271" s="1282"/>
      <c r="C271" s="1319" t="str">
        <v>AZT+3TC+LPV/r</v>
      </c>
      <c r="D271" s="1175">
        <f>'Data &amp; hypothesis Children'!C124</f>
        <v>0</v>
      </c>
      <c r="E271" s="1175">
        <f>'Data &amp; hypothesis Children'!D124</f>
        <v>0</v>
      </c>
      <c r="F271" s="1175">
        <f>'Data &amp; hypothesis Children'!E124</f>
        <v>0</v>
      </c>
      <c r="G271" s="1175">
        <f>'Data &amp; hypothesis Children'!F124</f>
        <v>0</v>
      </c>
      <c r="H271" s="1175">
        <f>'Data &amp; hypothesis Children'!G124</f>
        <v>0</v>
      </c>
      <c r="I271" s="1175">
        <f>'Data &amp; hypothesis Children'!H124</f>
        <v>0</v>
      </c>
      <c r="J271" s="1175">
        <f>'Data &amp; hypothesis Children'!I124</f>
        <v>0</v>
      </c>
      <c r="K271" s="1413" t="str">
        <f>'Data &amp; hypothesis Children'!J124</f>
        <v>X</v>
      </c>
      <c r="L271" s="1414">
        <f>'Data &amp; hypothesis Children'!K124</f>
        <v>0</v>
      </c>
      <c r="M271" s="1175">
        <f>'Data &amp; hypothesis Children'!L124</f>
        <v>0</v>
      </c>
      <c r="N271" s="1175">
        <f>'Data &amp; hypothesis Children'!M124</f>
        <v>0</v>
      </c>
      <c r="O271" s="1175" t="str">
        <f>'Data &amp; hypothesis Children'!N124</f>
        <v>X</v>
      </c>
      <c r="P271" s="1175">
        <f>'Data &amp; hypothesis Children'!O124</f>
        <v>0</v>
      </c>
      <c r="Q271" s="1175">
        <f>'Data &amp; hypothesis Children'!P124</f>
        <v>0</v>
      </c>
      <c r="R271" s="1175">
        <f>'Data &amp; hypothesis Children'!Q124</f>
        <v>0</v>
      </c>
      <c r="S271" s="1175">
        <f>'Data &amp; hypothesis Children'!R124</f>
        <v>0</v>
      </c>
      <c r="T271" s="1175">
        <f>'Data &amp; hypothesis Children'!S124</f>
        <v>0</v>
      </c>
      <c r="U271" s="1175">
        <f>'Data &amp; hypothesis Children'!T124</f>
        <v>0</v>
      </c>
      <c r="V271" s="1175">
        <f>'Data &amp; hypothesis Children'!U124</f>
        <v>0</v>
      </c>
      <c r="W271" s="1175">
        <f>'Data &amp; hypothesis Children'!V124</f>
        <v>0</v>
      </c>
      <c r="X271" s="1175">
        <f>'Data &amp; hypothesis Children'!W124</f>
        <v>0</v>
      </c>
      <c r="Y271" s="1175">
        <f>'Data &amp; hypothesis Children'!X124</f>
        <v>0</v>
      </c>
      <c r="Z271" s="1175">
        <f>'Data &amp; hypothesis Children'!Y124</f>
        <v>0</v>
      </c>
      <c r="AA271" s="1175">
        <f>'Data &amp; hypothesis Children'!Z124</f>
        <v>0</v>
      </c>
      <c r="AB271" s="1175">
        <f>'Data &amp; hypothesis Children'!AA124</f>
        <v>0</v>
      </c>
      <c r="AC271" s="1175">
        <f>'Data &amp; hypothesis Children'!AB124</f>
        <v>0</v>
      </c>
      <c r="AD271" s="1175">
        <f>'Data &amp; hypothesis Children'!AC124</f>
        <v>0</v>
      </c>
      <c r="AE271" s="1175">
        <f>'Data &amp; hypothesis Children'!AD124</f>
        <v>0</v>
      </c>
      <c r="AF271" s="1175">
        <f>'Data &amp; hypothesis Children'!AE124</f>
        <v>0</v>
      </c>
      <c r="AG271" s="1175">
        <f>'Data &amp; hypothesis Children'!AF124</f>
        <v>0</v>
      </c>
      <c r="AH271" s="1415">
        <f>'Data &amp; hypothesis Children'!AG124</f>
        <v>0</v>
      </c>
      <c r="AI271" s="1339" t="e">
        <f t="shared" si="55"/>
        <v>#DIV/0!</v>
      </c>
      <c r="AJ271" s="1340" t="e">
        <f t="shared" si="56"/>
        <v>#DIV/0!</v>
      </c>
    </row>
    <row r="272" spans="1:36" s="1279" customFormat="1" x14ac:dyDescent="0.2">
      <c r="A272" s="1282"/>
      <c r="C272" s="1296" t="str">
        <f>'TRAD-Children YEAR(1)'!$B$117</f>
        <v>Deuxièmes lignes</v>
      </c>
      <c r="D272" s="1410"/>
      <c r="E272" s="1410"/>
      <c r="F272" s="1410"/>
      <c r="G272" s="1410"/>
      <c r="H272" s="1410"/>
      <c r="I272" s="1410"/>
      <c r="J272" s="1410"/>
      <c r="K272" s="1411"/>
      <c r="L272" s="1412"/>
      <c r="M272" s="1410"/>
      <c r="N272" s="1410"/>
      <c r="O272" s="1410"/>
      <c r="P272" s="1410"/>
      <c r="Q272" s="1410"/>
      <c r="R272" s="1410"/>
      <c r="S272" s="1410"/>
      <c r="T272" s="1410"/>
      <c r="U272" s="1410"/>
      <c r="V272" s="1410"/>
      <c r="W272" s="1410"/>
      <c r="X272" s="1410"/>
      <c r="Y272" s="1410"/>
      <c r="Z272" s="1410"/>
      <c r="AA272" s="1410"/>
      <c r="AB272" s="1410"/>
      <c r="AC272" s="1410"/>
      <c r="AD272" s="1410"/>
      <c r="AE272" s="1410"/>
      <c r="AF272" s="1410"/>
      <c r="AG272" s="1410"/>
      <c r="AH272" s="1416"/>
      <c r="AI272" s="1339"/>
      <c r="AJ272" s="1340"/>
    </row>
    <row r="273" spans="1:36" s="1279" customFormat="1" ht="15" x14ac:dyDescent="0.25">
      <c r="A273" s="1282"/>
      <c r="C273" s="1301" t="str">
        <f t="array" ref="C273:C276">'Data &amp; hypothesis Children'!$C$32:$C$35</f>
        <v>ABC+3TC+EFV</v>
      </c>
      <c r="D273" s="1175">
        <f>'Data &amp; hypothesis Children'!C126</f>
        <v>0</v>
      </c>
      <c r="E273" s="1175">
        <f>'Data &amp; hypothesis Children'!D126</f>
        <v>0</v>
      </c>
      <c r="F273" s="1175">
        <f>'Data &amp; hypothesis Children'!E126</f>
        <v>0</v>
      </c>
      <c r="G273" s="1175">
        <f>'Data &amp; hypothesis Children'!F126</f>
        <v>0</v>
      </c>
      <c r="H273" s="1175">
        <f>'Data &amp; hypothesis Children'!G126</f>
        <v>0</v>
      </c>
      <c r="I273" s="1175">
        <f>'Data &amp; hypothesis Children'!H126</f>
        <v>0</v>
      </c>
      <c r="J273" s="1175">
        <f>'Data &amp; hypothesis Children'!I126</f>
        <v>0</v>
      </c>
      <c r="K273" s="1413">
        <f>'Data &amp; hypothesis Children'!J126</f>
        <v>0</v>
      </c>
      <c r="L273" s="1414">
        <f>'Data &amp; hypothesis Children'!K126</f>
        <v>0</v>
      </c>
      <c r="M273" s="1175">
        <f>'Data &amp; hypothesis Children'!L126</f>
        <v>0</v>
      </c>
      <c r="N273" s="1175">
        <f>'Data &amp; hypothesis Children'!M126</f>
        <v>0</v>
      </c>
      <c r="O273" s="1175">
        <f>'Data &amp; hypothesis Children'!N126</f>
        <v>0</v>
      </c>
      <c r="P273" s="1175">
        <f>'Data &amp; hypothesis Children'!O126</f>
        <v>0</v>
      </c>
      <c r="Q273" s="1175">
        <f>'Data &amp; hypothesis Children'!P126</f>
        <v>0</v>
      </c>
      <c r="R273" s="1175">
        <f>'Data &amp; hypothesis Children'!Q126</f>
        <v>0</v>
      </c>
      <c r="S273" s="1175">
        <f>'Data &amp; hypothesis Children'!R126</f>
        <v>0</v>
      </c>
      <c r="T273" s="1175">
        <f>'Data &amp; hypothesis Children'!S126</f>
        <v>0</v>
      </c>
      <c r="U273" s="1175">
        <f>'Data &amp; hypothesis Children'!T126</f>
        <v>0</v>
      </c>
      <c r="V273" s="1175">
        <f>'Data &amp; hypothesis Children'!U126</f>
        <v>0</v>
      </c>
      <c r="W273" s="1175">
        <f>'Data &amp; hypothesis Children'!V126</f>
        <v>0</v>
      </c>
      <c r="X273" s="1175">
        <f>'Data &amp; hypothesis Children'!W126</f>
        <v>0</v>
      </c>
      <c r="Y273" s="1175">
        <f>'Data &amp; hypothesis Children'!X126</f>
        <v>0</v>
      </c>
      <c r="Z273" s="1175">
        <f>'Data &amp; hypothesis Children'!Y126</f>
        <v>0</v>
      </c>
      <c r="AA273" s="1175">
        <f>'Data &amp; hypothesis Children'!Z126</f>
        <v>0</v>
      </c>
      <c r="AB273" s="1175">
        <f>'Data &amp; hypothesis Children'!AA126</f>
        <v>0</v>
      </c>
      <c r="AC273" s="1175">
        <f>'Data &amp; hypothesis Children'!AB126</f>
        <v>0</v>
      </c>
      <c r="AD273" s="1175">
        <f>'Data &amp; hypothesis Children'!AC126</f>
        <v>0</v>
      </c>
      <c r="AE273" s="1175">
        <f>'Data &amp; hypothesis Children'!AD126</f>
        <v>0</v>
      </c>
      <c r="AF273" s="1175">
        <f>'Data &amp; hypothesis Children'!AE126</f>
        <v>0</v>
      </c>
      <c r="AG273" s="1175">
        <f>'Data &amp; hypothesis Children'!AF126</f>
        <v>0</v>
      </c>
      <c r="AH273" s="1415">
        <f>'Data &amp; hypothesis Children'!AG126</f>
        <v>0</v>
      </c>
      <c r="AI273" s="1339" t="e">
        <f>F75</f>
        <v>#DIV/0!</v>
      </c>
      <c r="AJ273" s="1340" t="e">
        <f>F91</f>
        <v>#DIV/0!</v>
      </c>
    </row>
    <row r="274" spans="1:36" s="1279" customFormat="1" ht="15" x14ac:dyDescent="0.25">
      <c r="A274" s="1282"/>
      <c r="C274" s="1301" t="str">
        <v>TDF+3TC+LPV/r</v>
      </c>
      <c r="D274" s="1175">
        <f>'Data &amp; hypothesis Children'!C127</f>
        <v>0</v>
      </c>
      <c r="E274" s="1175">
        <f>'Data &amp; hypothesis Children'!D127</f>
        <v>0</v>
      </c>
      <c r="F274" s="1175">
        <f>'Data &amp; hypothesis Children'!E127</f>
        <v>0</v>
      </c>
      <c r="G274" s="1175">
        <f>'Data &amp; hypothesis Children'!F127</f>
        <v>0</v>
      </c>
      <c r="H274" s="1175">
        <f>'Data &amp; hypothesis Children'!G127</f>
        <v>0</v>
      </c>
      <c r="I274" s="1175">
        <f>'Data &amp; hypothesis Children'!H127</f>
        <v>0</v>
      </c>
      <c r="J274" s="1175">
        <f>'Data &amp; hypothesis Children'!I127</f>
        <v>0</v>
      </c>
      <c r="K274" s="1413">
        <f>'Data &amp; hypothesis Children'!J127</f>
        <v>0</v>
      </c>
      <c r="L274" s="1414">
        <f>'Data &amp; hypothesis Children'!K127</f>
        <v>0</v>
      </c>
      <c r="M274" s="1175">
        <f>'Data &amp; hypothesis Children'!L127</f>
        <v>0</v>
      </c>
      <c r="N274" s="1175">
        <f>'Data &amp; hypothesis Children'!M127</f>
        <v>0</v>
      </c>
      <c r="O274" s="1175">
        <f>'Data &amp; hypothesis Children'!N127</f>
        <v>0</v>
      </c>
      <c r="P274" s="1175">
        <f>'Data &amp; hypothesis Children'!O127</f>
        <v>0</v>
      </c>
      <c r="Q274" s="1175">
        <f>'Data &amp; hypothesis Children'!P127</f>
        <v>0</v>
      </c>
      <c r="R274" s="1175">
        <f>'Data &amp; hypothesis Children'!Q127</f>
        <v>0</v>
      </c>
      <c r="S274" s="1175">
        <f>'Data &amp; hypothesis Children'!R127</f>
        <v>0</v>
      </c>
      <c r="T274" s="1175">
        <f>'Data &amp; hypothesis Children'!S127</f>
        <v>0</v>
      </c>
      <c r="U274" s="1175">
        <f>'Data &amp; hypothesis Children'!T127</f>
        <v>0</v>
      </c>
      <c r="V274" s="1175">
        <f>'Data &amp; hypothesis Children'!U127</f>
        <v>0</v>
      </c>
      <c r="W274" s="1175">
        <f>'Data &amp; hypothesis Children'!V127</f>
        <v>0</v>
      </c>
      <c r="X274" s="1175">
        <f>'Data &amp; hypothesis Children'!W127</f>
        <v>0</v>
      </c>
      <c r="Y274" s="1175">
        <f>'Data &amp; hypothesis Children'!X127</f>
        <v>0</v>
      </c>
      <c r="Z274" s="1175">
        <f>'Data &amp; hypothesis Children'!Y127</f>
        <v>0</v>
      </c>
      <c r="AA274" s="1175">
        <f>'Data &amp; hypothesis Children'!Z127</f>
        <v>0</v>
      </c>
      <c r="AB274" s="1175">
        <f>'Data &amp; hypothesis Children'!AA127</f>
        <v>0</v>
      </c>
      <c r="AC274" s="1175">
        <f>'Data &amp; hypothesis Children'!AB127</f>
        <v>0</v>
      </c>
      <c r="AD274" s="1175">
        <f>'Data &amp; hypothesis Children'!AC127</f>
        <v>0</v>
      </c>
      <c r="AE274" s="1175">
        <f>'Data &amp; hypothesis Children'!AD127</f>
        <v>0</v>
      </c>
      <c r="AF274" s="1175">
        <f>'Data &amp; hypothesis Children'!AE127</f>
        <v>0</v>
      </c>
      <c r="AG274" s="1175">
        <f>'Data &amp; hypothesis Children'!AF127</f>
        <v>0</v>
      </c>
      <c r="AH274" s="1415">
        <f>'Data &amp; hypothesis Children'!AG127</f>
        <v>0</v>
      </c>
      <c r="AI274" s="1339" t="e">
        <f t="shared" ref="AI274:AI275" si="57">F76</f>
        <v>#DIV/0!</v>
      </c>
      <c r="AJ274" s="1340" t="e">
        <f t="shared" ref="AJ274:AJ275" si="58">F92</f>
        <v>#DIV/0!</v>
      </c>
    </row>
    <row r="275" spans="1:36" s="1279" customFormat="1" ht="15" x14ac:dyDescent="0.25">
      <c r="A275" s="1282"/>
      <c r="C275" s="1301" t="str">
        <v>AZT+3TC+EFV</v>
      </c>
      <c r="D275" s="1175">
        <f>'Data &amp; hypothesis Children'!C128</f>
        <v>0</v>
      </c>
      <c r="E275" s="1175">
        <f>'Data &amp; hypothesis Children'!D128</f>
        <v>0</v>
      </c>
      <c r="F275" s="1175">
        <f>'Data &amp; hypothesis Children'!E128</f>
        <v>0</v>
      </c>
      <c r="G275" s="1175">
        <f>'Data &amp; hypothesis Children'!F128</f>
        <v>0</v>
      </c>
      <c r="H275" s="1175">
        <f>'Data &amp; hypothesis Children'!G128</f>
        <v>0</v>
      </c>
      <c r="I275" s="1175">
        <f>'Data &amp; hypothesis Children'!H128</f>
        <v>0</v>
      </c>
      <c r="J275" s="1175">
        <f>'Data &amp; hypothesis Children'!I128</f>
        <v>0</v>
      </c>
      <c r="K275" s="1413">
        <f>'Data &amp; hypothesis Children'!J128</f>
        <v>0</v>
      </c>
      <c r="L275" s="1414">
        <f>'Data &amp; hypothesis Children'!K128</f>
        <v>0</v>
      </c>
      <c r="M275" s="1175">
        <f>'Data &amp; hypothesis Children'!L128</f>
        <v>0</v>
      </c>
      <c r="N275" s="1175">
        <f>'Data &amp; hypothesis Children'!M128</f>
        <v>0</v>
      </c>
      <c r="O275" s="1175">
        <f>'Data &amp; hypothesis Children'!N128</f>
        <v>0</v>
      </c>
      <c r="P275" s="1175">
        <f>'Data &amp; hypothesis Children'!O128</f>
        <v>0</v>
      </c>
      <c r="Q275" s="1175">
        <f>'Data &amp; hypothesis Children'!P128</f>
        <v>0</v>
      </c>
      <c r="R275" s="1175">
        <f>'Data &amp; hypothesis Children'!Q128</f>
        <v>0</v>
      </c>
      <c r="S275" s="1175">
        <f>'Data &amp; hypothesis Children'!R128</f>
        <v>0</v>
      </c>
      <c r="T275" s="1175">
        <f>'Data &amp; hypothesis Children'!S128</f>
        <v>0</v>
      </c>
      <c r="U275" s="1175">
        <f>'Data &amp; hypothesis Children'!T128</f>
        <v>0</v>
      </c>
      <c r="V275" s="1175">
        <f>'Data &amp; hypothesis Children'!U128</f>
        <v>0</v>
      </c>
      <c r="W275" s="1175">
        <f>'Data &amp; hypothesis Children'!V128</f>
        <v>0</v>
      </c>
      <c r="X275" s="1175">
        <f>'Data &amp; hypothesis Children'!W128</f>
        <v>0</v>
      </c>
      <c r="Y275" s="1175">
        <f>'Data &amp; hypothesis Children'!X128</f>
        <v>0</v>
      </c>
      <c r="Z275" s="1175">
        <f>'Data &amp; hypothesis Children'!Y128</f>
        <v>0</v>
      </c>
      <c r="AA275" s="1175">
        <f>'Data &amp; hypothesis Children'!Z128</f>
        <v>0</v>
      </c>
      <c r="AB275" s="1175">
        <f>'Data &amp; hypothesis Children'!AA128</f>
        <v>0</v>
      </c>
      <c r="AC275" s="1175">
        <f>'Data &amp; hypothesis Children'!AB128</f>
        <v>0</v>
      </c>
      <c r="AD275" s="1175">
        <f>'Data &amp; hypothesis Children'!AC128</f>
        <v>0</v>
      </c>
      <c r="AE275" s="1175">
        <f>'Data &amp; hypothesis Children'!AD128</f>
        <v>0</v>
      </c>
      <c r="AF275" s="1175">
        <f>'Data &amp; hypothesis Children'!AE128</f>
        <v>0</v>
      </c>
      <c r="AG275" s="1175">
        <f>'Data &amp; hypothesis Children'!AF128</f>
        <v>0</v>
      </c>
      <c r="AH275" s="1415">
        <f>'Data &amp; hypothesis Children'!AG128</f>
        <v>0</v>
      </c>
      <c r="AI275" s="1339" t="e">
        <f t="shared" si="57"/>
        <v>#DIV/0!</v>
      </c>
      <c r="AJ275" s="1340" t="e">
        <f t="shared" si="58"/>
        <v>#DIV/0!</v>
      </c>
    </row>
    <row r="276" spans="1:36" s="1279" customFormat="1" ht="15.75" thickBot="1" x14ac:dyDescent="0.3">
      <c r="A276" s="1282"/>
      <c r="C276" s="1301">
        <v>0</v>
      </c>
      <c r="D276" s="1175">
        <f>'Data &amp; hypothesis Children'!C129</f>
        <v>0</v>
      </c>
      <c r="E276" s="1175">
        <f>'Data &amp; hypothesis Children'!D129</f>
        <v>0</v>
      </c>
      <c r="F276" s="1175">
        <f>'Data &amp; hypothesis Children'!E129</f>
        <v>0</v>
      </c>
      <c r="G276" s="1175">
        <f>'Data &amp; hypothesis Children'!F129</f>
        <v>0</v>
      </c>
      <c r="H276" s="1175">
        <f>'Data &amp; hypothesis Children'!G129</f>
        <v>0</v>
      </c>
      <c r="I276" s="1175">
        <f>'Data &amp; hypothesis Children'!H129</f>
        <v>0</v>
      </c>
      <c r="J276" s="1175">
        <f>'Data &amp; hypothesis Children'!I129</f>
        <v>0</v>
      </c>
      <c r="K276" s="1413">
        <f>'Data &amp; hypothesis Children'!J129</f>
        <v>0</v>
      </c>
      <c r="L276" s="1417">
        <f>'Data &amp; hypothesis Children'!K129</f>
        <v>0</v>
      </c>
      <c r="M276" s="1418">
        <f>'Data &amp; hypothesis Children'!L129</f>
        <v>0</v>
      </c>
      <c r="N276" s="1418">
        <f>'Data &amp; hypothesis Children'!M129</f>
        <v>0</v>
      </c>
      <c r="O276" s="1418">
        <f>'Data &amp; hypothesis Children'!N129</f>
        <v>0</v>
      </c>
      <c r="P276" s="1418">
        <f>'Data &amp; hypothesis Children'!O129</f>
        <v>0</v>
      </c>
      <c r="Q276" s="1418">
        <f>'Data &amp; hypothesis Children'!P129</f>
        <v>0</v>
      </c>
      <c r="R276" s="1418">
        <f>'Data &amp; hypothesis Children'!Q129</f>
        <v>0</v>
      </c>
      <c r="S276" s="1418">
        <f>'Data &amp; hypothesis Children'!R129</f>
        <v>0</v>
      </c>
      <c r="T276" s="1418">
        <f>'Data &amp; hypothesis Children'!S129</f>
        <v>0</v>
      </c>
      <c r="U276" s="1418">
        <f>'Data &amp; hypothesis Children'!T129</f>
        <v>0</v>
      </c>
      <c r="V276" s="1418">
        <f>'Data &amp; hypothesis Children'!U129</f>
        <v>0</v>
      </c>
      <c r="W276" s="1418">
        <f>'Data &amp; hypothesis Children'!V129</f>
        <v>0</v>
      </c>
      <c r="X276" s="1418">
        <f>'Data &amp; hypothesis Children'!W129</f>
        <v>0</v>
      </c>
      <c r="Y276" s="1418">
        <f>'Data &amp; hypothesis Children'!X129</f>
        <v>0</v>
      </c>
      <c r="Z276" s="1418">
        <f>'Data &amp; hypothesis Children'!Y129</f>
        <v>0</v>
      </c>
      <c r="AA276" s="1418">
        <f>'Data &amp; hypothesis Children'!Z129</f>
        <v>0</v>
      </c>
      <c r="AB276" s="1418" t="str">
        <f>'Data &amp; hypothesis Children'!AA129</f>
        <v>X</v>
      </c>
      <c r="AC276" s="1418">
        <f>'Data &amp; hypothesis Children'!AB129</f>
        <v>0</v>
      </c>
      <c r="AD276" s="1418">
        <f>'Data &amp; hypothesis Children'!AC129</f>
        <v>0</v>
      </c>
      <c r="AE276" s="1418">
        <f>'Data &amp; hypothesis Children'!AD129</f>
        <v>0</v>
      </c>
      <c r="AF276" s="1418">
        <f>'Data &amp; hypothesis Children'!AE129</f>
        <v>0</v>
      </c>
      <c r="AG276" s="1418">
        <f>'Data &amp; hypothesis Children'!AF129</f>
        <v>0</v>
      </c>
      <c r="AH276" s="1419">
        <f>'Data &amp; hypothesis Children'!AG129</f>
        <v>0</v>
      </c>
      <c r="AI276" s="1339" t="e">
        <f>F78</f>
        <v>#DIV/0!</v>
      </c>
      <c r="AJ276" s="1340" t="e">
        <f>F94</f>
        <v>#DIV/0!</v>
      </c>
    </row>
    <row r="277" spans="1:36" s="1304" customFormat="1" ht="26.25" thickBot="1" x14ac:dyDescent="0.25">
      <c r="A277" s="1303"/>
      <c r="C277" s="1305" t="str">
        <f>'TRAD-Children YEAR(1)'!B118</f>
        <v>Nb de patients-mois / produit - SANS SS</v>
      </c>
      <c r="D277" s="1306">
        <f t="shared" ref="D277:AE277" si="59">SUMIF(D266:D276, "X", $AI266:$AI276)</f>
        <v>0</v>
      </c>
      <c r="E277" s="1306">
        <f t="shared" si="59"/>
        <v>0</v>
      </c>
      <c r="F277" s="1306">
        <f t="shared" si="59"/>
        <v>0</v>
      </c>
      <c r="G277" s="1306">
        <f t="shared" si="59"/>
        <v>0</v>
      </c>
      <c r="H277" s="1306">
        <f t="shared" si="59"/>
        <v>0</v>
      </c>
      <c r="I277" s="1306" t="e">
        <f t="shared" si="59"/>
        <v>#DIV/0!</v>
      </c>
      <c r="J277" s="1306">
        <f t="shared" si="59"/>
        <v>0</v>
      </c>
      <c r="K277" s="1307" t="e">
        <f t="shared" si="59"/>
        <v>#DIV/0!</v>
      </c>
      <c r="L277" s="1308">
        <f t="shared" si="59"/>
        <v>0</v>
      </c>
      <c r="M277" s="1306" t="e">
        <f t="shared" si="59"/>
        <v>#DIV/0!</v>
      </c>
      <c r="N277" s="1306">
        <f t="shared" si="59"/>
        <v>0</v>
      </c>
      <c r="O277" s="1306" t="e">
        <f t="shared" si="59"/>
        <v>#DIV/0!</v>
      </c>
      <c r="P277" s="1306">
        <f t="shared" si="59"/>
        <v>0</v>
      </c>
      <c r="Q277" s="1306">
        <f t="shared" si="59"/>
        <v>0</v>
      </c>
      <c r="R277" s="1306">
        <f t="shared" si="59"/>
        <v>0</v>
      </c>
      <c r="S277" s="1306">
        <f t="shared" si="59"/>
        <v>0</v>
      </c>
      <c r="T277" s="1306">
        <f t="shared" si="59"/>
        <v>0</v>
      </c>
      <c r="U277" s="1306" t="e">
        <f t="shared" si="59"/>
        <v>#DIV/0!</v>
      </c>
      <c r="V277" s="1306">
        <f t="shared" si="59"/>
        <v>0</v>
      </c>
      <c r="W277" s="1306">
        <f t="shared" si="59"/>
        <v>0</v>
      </c>
      <c r="X277" s="1306">
        <f t="shared" si="59"/>
        <v>0</v>
      </c>
      <c r="Y277" s="1306">
        <f t="shared" si="59"/>
        <v>0</v>
      </c>
      <c r="Z277" s="1306">
        <f t="shared" si="59"/>
        <v>0</v>
      </c>
      <c r="AA277" s="1306">
        <f t="shared" si="59"/>
        <v>0</v>
      </c>
      <c r="AB277" s="1306" t="e">
        <f t="shared" si="59"/>
        <v>#DIV/0!</v>
      </c>
      <c r="AC277" s="1306">
        <f t="shared" si="59"/>
        <v>0</v>
      </c>
      <c r="AD277" s="1306">
        <f t="shared" si="59"/>
        <v>0</v>
      </c>
      <c r="AE277" s="1306">
        <f t="shared" si="59"/>
        <v>0</v>
      </c>
      <c r="AF277" s="1306">
        <f t="shared" ref="AF277" si="60">SUMIF(AF266:AF276, "X", $AI266:$AI276)</f>
        <v>0</v>
      </c>
      <c r="AG277" s="1306">
        <f t="shared" ref="AG277" si="61">SUMIF(AG266:AG276, "X", $AI266:$AI276)</f>
        <v>0</v>
      </c>
      <c r="AH277" s="1306">
        <f>SUMIF(AH266:$AH$276, "X", $AI266:$AI276)</f>
        <v>0</v>
      </c>
    </row>
    <row r="278" spans="1:36" s="1304" customFormat="1" ht="26.25" thickBot="1" x14ac:dyDescent="0.25">
      <c r="A278" s="1303"/>
      <c r="C278" s="1305" t="str">
        <f>'TRAD-Children YEAR(1)'!B119</f>
        <v>Nb de patients-mois / produit - AVEC SS</v>
      </c>
      <c r="D278" s="1309">
        <f t="shared" ref="D278:AG278" si="62">SUMIF(D266:D276, "X", $AJ266:$AJ276)</f>
        <v>0</v>
      </c>
      <c r="E278" s="1309">
        <f t="shared" si="62"/>
        <v>0</v>
      </c>
      <c r="F278" s="1309">
        <f t="shared" si="62"/>
        <v>0</v>
      </c>
      <c r="G278" s="1309">
        <f t="shared" si="62"/>
        <v>0</v>
      </c>
      <c r="H278" s="1309">
        <f t="shared" si="62"/>
        <v>0</v>
      </c>
      <c r="I278" s="1309" t="e">
        <f t="shared" si="62"/>
        <v>#DIV/0!</v>
      </c>
      <c r="J278" s="1309">
        <f t="shared" si="62"/>
        <v>0</v>
      </c>
      <c r="K278" s="1310" t="e">
        <f t="shared" si="62"/>
        <v>#DIV/0!</v>
      </c>
      <c r="L278" s="1311">
        <f t="shared" si="62"/>
        <v>0</v>
      </c>
      <c r="M278" s="1309" t="e">
        <f t="shared" si="62"/>
        <v>#DIV/0!</v>
      </c>
      <c r="N278" s="1309">
        <f t="shared" si="62"/>
        <v>0</v>
      </c>
      <c r="O278" s="1309" t="e">
        <f t="shared" si="62"/>
        <v>#DIV/0!</v>
      </c>
      <c r="P278" s="1309">
        <f t="shared" si="62"/>
        <v>0</v>
      </c>
      <c r="Q278" s="1309">
        <f t="shared" si="62"/>
        <v>0</v>
      </c>
      <c r="R278" s="1309">
        <f t="shared" si="62"/>
        <v>0</v>
      </c>
      <c r="S278" s="1309">
        <f t="shared" si="62"/>
        <v>0</v>
      </c>
      <c r="T278" s="1309">
        <f t="shared" si="62"/>
        <v>0</v>
      </c>
      <c r="U278" s="1309" t="e">
        <f t="shared" si="62"/>
        <v>#DIV/0!</v>
      </c>
      <c r="V278" s="1309">
        <f t="shared" si="62"/>
        <v>0</v>
      </c>
      <c r="W278" s="1309">
        <f t="shared" si="62"/>
        <v>0</v>
      </c>
      <c r="X278" s="1309">
        <f t="shared" si="62"/>
        <v>0</v>
      </c>
      <c r="Y278" s="1309">
        <f t="shared" si="62"/>
        <v>0</v>
      </c>
      <c r="Z278" s="1309">
        <f t="shared" si="62"/>
        <v>0</v>
      </c>
      <c r="AA278" s="1309">
        <f t="shared" si="62"/>
        <v>0</v>
      </c>
      <c r="AB278" s="1309" t="e">
        <f t="shared" si="62"/>
        <v>#DIV/0!</v>
      </c>
      <c r="AC278" s="1309">
        <f t="shared" si="62"/>
        <v>0</v>
      </c>
      <c r="AD278" s="1309">
        <f t="shared" si="62"/>
        <v>0</v>
      </c>
      <c r="AE278" s="1309">
        <f t="shared" si="62"/>
        <v>0</v>
      </c>
      <c r="AF278" s="1309">
        <f t="shared" si="62"/>
        <v>0</v>
      </c>
      <c r="AG278" s="1309">
        <f t="shared" si="62"/>
        <v>0</v>
      </c>
      <c r="AH278" s="1309">
        <f>SUMIF(AH266:$AH$276, "X", $AJ266:$AJ276)</f>
        <v>0</v>
      </c>
    </row>
    <row r="279" spans="1:36" s="1304" customFormat="1" ht="26.25" thickBot="1" x14ac:dyDescent="0.25">
      <c r="A279" s="1303"/>
      <c r="C279" s="1305" t="str">
        <f>'TRAD-Children YEAR(1)'!B120</f>
        <v>Nb de cdt - Estimation période SANS SS</v>
      </c>
      <c r="D279" s="1312">
        <f>D277*D264</f>
        <v>0</v>
      </c>
      <c r="E279" s="1312">
        <f>E277*E264</f>
        <v>0</v>
      </c>
      <c r="F279" s="1312">
        <f t="shared" ref="F279:AH279" si="63">F277*F264</f>
        <v>0</v>
      </c>
      <c r="G279" s="1312">
        <f t="shared" si="63"/>
        <v>0</v>
      </c>
      <c r="H279" s="1312">
        <f t="shared" si="63"/>
        <v>0</v>
      </c>
      <c r="I279" s="1312" t="e">
        <f t="shared" si="63"/>
        <v>#DIV/0!</v>
      </c>
      <c r="J279" s="1312">
        <f t="shared" si="63"/>
        <v>0</v>
      </c>
      <c r="K279" s="1313" t="e">
        <f t="shared" si="63"/>
        <v>#DIV/0!</v>
      </c>
      <c r="L279" s="1314">
        <f t="shared" si="63"/>
        <v>0</v>
      </c>
      <c r="M279" s="1312" t="e">
        <f t="shared" si="63"/>
        <v>#DIV/0!</v>
      </c>
      <c r="N279" s="1312">
        <f t="shared" si="63"/>
        <v>0</v>
      </c>
      <c r="O279" s="1312" t="e">
        <f t="shared" si="63"/>
        <v>#DIV/0!</v>
      </c>
      <c r="P279" s="1312">
        <f t="shared" si="63"/>
        <v>0</v>
      </c>
      <c r="Q279" s="1312">
        <f t="shared" si="63"/>
        <v>0</v>
      </c>
      <c r="R279" s="1312">
        <f t="shared" ref="R279" si="64">R277*R264</f>
        <v>0</v>
      </c>
      <c r="S279" s="1312">
        <f t="shared" si="63"/>
        <v>0</v>
      </c>
      <c r="T279" s="1312">
        <f t="shared" si="63"/>
        <v>0</v>
      </c>
      <c r="U279" s="1312" t="e">
        <f t="shared" si="63"/>
        <v>#DIV/0!</v>
      </c>
      <c r="V279" s="1312">
        <f t="shared" ref="V279:AG279" si="65">V277*V264</f>
        <v>0</v>
      </c>
      <c r="W279" s="1312">
        <f t="shared" ref="W279:Y279" si="66">W277*W264</f>
        <v>0</v>
      </c>
      <c r="X279" s="1312">
        <f t="shared" ref="X279" si="67">X277*X264</f>
        <v>0</v>
      </c>
      <c r="Y279" s="1312">
        <f t="shared" si="66"/>
        <v>0</v>
      </c>
      <c r="Z279" s="1312">
        <f t="shared" si="65"/>
        <v>0</v>
      </c>
      <c r="AA279" s="1312">
        <f t="shared" si="65"/>
        <v>0</v>
      </c>
      <c r="AB279" s="1312" t="e">
        <f t="shared" si="65"/>
        <v>#DIV/0!</v>
      </c>
      <c r="AC279" s="1312">
        <f t="shared" si="65"/>
        <v>0</v>
      </c>
      <c r="AD279" s="1312">
        <f t="shared" si="65"/>
        <v>0</v>
      </c>
      <c r="AE279" s="1312">
        <f t="shared" ref="AE279" si="68">AE277*AE264</f>
        <v>0</v>
      </c>
      <c r="AF279" s="1312">
        <f t="shared" si="65"/>
        <v>0</v>
      </c>
      <c r="AG279" s="1312">
        <f t="shared" si="65"/>
        <v>0</v>
      </c>
      <c r="AH279" s="1312">
        <f t="shared" si="63"/>
        <v>0</v>
      </c>
    </row>
    <row r="280" spans="1:36" s="1304" customFormat="1" ht="26.25" thickBot="1" x14ac:dyDescent="0.25">
      <c r="A280" s="1303"/>
      <c r="C280" s="1305" t="str">
        <f>'TRAD-Children YEAR(1)'!B121</f>
        <v>Nb de cdt - Estimation période AVEC SS</v>
      </c>
      <c r="D280" s="1315">
        <f>D278*D264</f>
        <v>0</v>
      </c>
      <c r="E280" s="1315">
        <f t="shared" ref="E280:AH280" si="69">E278*E264</f>
        <v>0</v>
      </c>
      <c r="F280" s="1315">
        <f t="shared" si="69"/>
        <v>0</v>
      </c>
      <c r="G280" s="1315">
        <f t="shared" si="69"/>
        <v>0</v>
      </c>
      <c r="H280" s="1315">
        <f t="shared" si="69"/>
        <v>0</v>
      </c>
      <c r="I280" s="1315" t="e">
        <f t="shared" si="69"/>
        <v>#DIV/0!</v>
      </c>
      <c r="J280" s="1315">
        <f t="shared" si="69"/>
        <v>0</v>
      </c>
      <c r="K280" s="1316" t="e">
        <f t="shared" si="69"/>
        <v>#DIV/0!</v>
      </c>
      <c r="L280" s="1317">
        <f t="shared" si="69"/>
        <v>0</v>
      </c>
      <c r="M280" s="1315" t="e">
        <f t="shared" si="69"/>
        <v>#DIV/0!</v>
      </c>
      <c r="N280" s="1315">
        <f t="shared" si="69"/>
        <v>0</v>
      </c>
      <c r="O280" s="1315" t="e">
        <f t="shared" si="69"/>
        <v>#DIV/0!</v>
      </c>
      <c r="P280" s="1315">
        <f t="shared" si="69"/>
        <v>0</v>
      </c>
      <c r="Q280" s="1315">
        <f t="shared" si="69"/>
        <v>0</v>
      </c>
      <c r="R280" s="1315">
        <f t="shared" ref="R280" si="70">R278*R264</f>
        <v>0</v>
      </c>
      <c r="S280" s="1315">
        <f t="shared" si="69"/>
        <v>0</v>
      </c>
      <c r="T280" s="1315">
        <f t="shared" si="69"/>
        <v>0</v>
      </c>
      <c r="U280" s="1315" t="e">
        <f t="shared" si="69"/>
        <v>#DIV/0!</v>
      </c>
      <c r="V280" s="1315">
        <f t="shared" ref="V280:AG280" si="71">V278*V264</f>
        <v>0</v>
      </c>
      <c r="W280" s="1315">
        <f t="shared" ref="W280:Y280" si="72">W278*W264</f>
        <v>0</v>
      </c>
      <c r="X280" s="1315">
        <f t="shared" ref="X280" si="73">X278*X264</f>
        <v>0</v>
      </c>
      <c r="Y280" s="1315">
        <f t="shared" si="72"/>
        <v>0</v>
      </c>
      <c r="Z280" s="1315">
        <f t="shared" si="71"/>
        <v>0</v>
      </c>
      <c r="AA280" s="1315">
        <f t="shared" si="71"/>
        <v>0</v>
      </c>
      <c r="AB280" s="1315" t="e">
        <f t="shared" si="71"/>
        <v>#DIV/0!</v>
      </c>
      <c r="AC280" s="1315">
        <f t="shared" si="71"/>
        <v>0</v>
      </c>
      <c r="AD280" s="1315">
        <f t="shared" si="71"/>
        <v>0</v>
      </c>
      <c r="AE280" s="1315">
        <f t="shared" ref="AE280" si="74">AE278*AE264</f>
        <v>0</v>
      </c>
      <c r="AF280" s="1315">
        <f t="shared" si="71"/>
        <v>0</v>
      </c>
      <c r="AG280" s="1315">
        <f t="shared" si="71"/>
        <v>0</v>
      </c>
      <c r="AH280" s="1315">
        <f t="shared" si="69"/>
        <v>0</v>
      </c>
    </row>
    <row r="281" spans="1:36" s="1279" customFormat="1" x14ac:dyDescent="0.2">
      <c r="A281" s="1282"/>
    </row>
    <row r="282" spans="1:36" s="1279" customFormat="1" ht="13.5" thickBot="1" x14ac:dyDescent="0.25">
      <c r="A282" s="1282"/>
    </row>
    <row r="283" spans="1:36" s="1279" customFormat="1" ht="13.5" thickBot="1" x14ac:dyDescent="0.25">
      <c r="A283" s="1282"/>
      <c r="B283" s="1283" t="str">
        <f>'TRAD-Children YEAR(1)'!B124</f>
        <v>Tranche 10 - 14,9 kg</v>
      </c>
      <c r="C283" s="1284"/>
      <c r="D283" s="1285"/>
      <c r="E283" s="1285"/>
      <c r="F283" s="1285"/>
      <c r="G283" s="1285"/>
      <c r="H283" s="1285"/>
      <c r="I283" s="1286"/>
    </row>
    <row r="284" spans="1:36" s="1279" customFormat="1" ht="13.5" thickBot="1" x14ac:dyDescent="0.25">
      <c r="A284" s="1282"/>
      <c r="B284" s="1323"/>
      <c r="C284" s="1324"/>
      <c r="D284" s="1325"/>
      <c r="E284" s="1325"/>
      <c r="F284" s="1325"/>
      <c r="G284" s="1325"/>
      <c r="H284" s="1325"/>
      <c r="I284" s="1325"/>
    </row>
    <row r="285" spans="1:36" s="1279" customFormat="1" ht="26.25" thickBot="1" x14ac:dyDescent="0.25">
      <c r="A285" s="1282"/>
      <c r="D285" s="1287" t="str">
        <f>'TRAD-Children YEAR(1)'!B90</f>
        <v>Solutions buvables</v>
      </c>
      <c r="E285" s="1288"/>
      <c r="F285" s="1288"/>
      <c r="G285" s="1288"/>
      <c r="H285" s="1288"/>
      <c r="I285" s="1288"/>
      <c r="J285" s="1284"/>
      <c r="K285" s="1284"/>
      <c r="L285" s="1289" t="str">
        <f>'TRAD-Children YEAR(1)'!B91</f>
        <v>Comprimés</v>
      </c>
      <c r="M285" s="1284"/>
      <c r="N285" s="1284"/>
      <c r="O285" s="1284"/>
      <c r="P285" s="1284"/>
      <c r="Q285" s="1284"/>
      <c r="R285" s="1284"/>
      <c r="S285" s="1284"/>
      <c r="T285" s="1284"/>
      <c r="U285" s="1284"/>
      <c r="V285" s="1284"/>
      <c r="W285" s="1945"/>
      <c r="X285" s="1945"/>
      <c r="Y285" s="1945"/>
      <c r="Z285" s="1284"/>
      <c r="AA285" s="1284"/>
      <c r="AB285" s="1284"/>
      <c r="AC285" s="1284"/>
      <c r="AD285" s="1284"/>
      <c r="AE285" s="1284"/>
      <c r="AF285" s="1284"/>
      <c r="AG285" s="1284"/>
      <c r="AH285" s="1284"/>
    </row>
    <row r="286" spans="1:36" s="1292" customFormat="1" ht="25.5" x14ac:dyDescent="0.2">
      <c r="A286" s="1291"/>
      <c r="C286" s="1332" t="str">
        <f>'TRAD-Children YEAR(1)'!B113</f>
        <v>Nb de boites / mois pour l'ensemble des patients</v>
      </c>
      <c r="D286" s="1329" t="s">
        <v>39</v>
      </c>
      <c r="E286" s="1329" t="s">
        <v>61</v>
      </c>
      <c r="F286" s="1329" t="s">
        <v>15</v>
      </c>
      <c r="G286" s="1329" t="s">
        <v>25</v>
      </c>
      <c r="H286" s="1329" t="s">
        <v>28</v>
      </c>
      <c r="I286" s="1329" t="s">
        <v>19</v>
      </c>
      <c r="J286" s="1329" t="s">
        <v>17</v>
      </c>
      <c r="K286" s="1333" t="s">
        <v>33</v>
      </c>
      <c r="L286" s="1334" t="s">
        <v>7</v>
      </c>
      <c r="M286" s="1330" t="s">
        <v>386</v>
      </c>
      <c r="N286" s="1330" t="s">
        <v>11</v>
      </c>
      <c r="O286" s="1330" t="s">
        <v>387</v>
      </c>
      <c r="P286" s="1330" t="s">
        <v>50</v>
      </c>
      <c r="Q286" s="1330" t="s">
        <v>392</v>
      </c>
      <c r="R286" s="1330" t="s">
        <v>81</v>
      </c>
      <c r="S286" s="1330" t="s">
        <v>140</v>
      </c>
      <c r="T286" s="1330" t="s">
        <v>635</v>
      </c>
      <c r="U286" s="1330" t="s">
        <v>586</v>
      </c>
      <c r="V286" s="1330" t="s">
        <v>575</v>
      </c>
      <c r="W286" s="1946"/>
      <c r="X286" s="1946"/>
      <c r="Y286" s="1946"/>
      <c r="Z286" s="1422" t="s">
        <v>15</v>
      </c>
      <c r="AA286" s="1330" t="s">
        <v>25</v>
      </c>
      <c r="AB286" s="1330" t="s">
        <v>648</v>
      </c>
      <c r="AC286" s="1330" t="s">
        <v>28</v>
      </c>
      <c r="AD286" s="1422" t="s">
        <v>19</v>
      </c>
      <c r="AE286" s="1586" t="s">
        <v>19</v>
      </c>
      <c r="AF286" s="1422" t="s">
        <v>17</v>
      </c>
      <c r="AG286" s="1330" t="s">
        <v>33</v>
      </c>
      <c r="AH286" s="1335" t="s">
        <v>638</v>
      </c>
    </row>
    <row r="287" spans="1:36" s="1292" customFormat="1" ht="25.5" x14ac:dyDescent="0.2">
      <c r="A287" s="1291"/>
      <c r="C287" s="1332" t="str">
        <f>'TRAD-Children YEAR(1)'!B114</f>
        <v>Dosage</v>
      </c>
      <c r="D287" s="1329" t="s">
        <v>41</v>
      </c>
      <c r="E287" s="1329" t="s">
        <v>41</v>
      </c>
      <c r="F287" s="1329" t="s">
        <v>41</v>
      </c>
      <c r="G287" s="1329" t="s">
        <v>44</v>
      </c>
      <c r="H287" s="1329" t="s">
        <v>46</v>
      </c>
      <c r="I287" s="1329" t="s">
        <v>41</v>
      </c>
      <c r="J287" s="1329" t="s">
        <v>259</v>
      </c>
      <c r="K287" s="1333" t="s">
        <v>47</v>
      </c>
      <c r="L287" s="1336" t="s">
        <v>9</v>
      </c>
      <c r="M287" s="1331" t="s">
        <v>384</v>
      </c>
      <c r="N287" s="1331" t="s">
        <v>12</v>
      </c>
      <c r="O287" s="1331" t="s">
        <v>382</v>
      </c>
      <c r="P287" s="1331" t="s">
        <v>80</v>
      </c>
      <c r="Q287" s="1331" t="s">
        <v>131</v>
      </c>
      <c r="R287" s="1331" t="s">
        <v>733</v>
      </c>
      <c r="S287" s="1331" t="s">
        <v>334</v>
      </c>
      <c r="T287" s="1331" t="s">
        <v>636</v>
      </c>
      <c r="U287" s="1331" t="s">
        <v>649</v>
      </c>
      <c r="V287" s="1331" t="s">
        <v>636</v>
      </c>
      <c r="W287" s="1331"/>
      <c r="X287" s="1331"/>
      <c r="Y287" s="1331"/>
      <c r="Z287" s="1424" t="s">
        <v>16</v>
      </c>
      <c r="AA287" s="1331" t="s">
        <v>23</v>
      </c>
      <c r="AB287" s="1331" t="s">
        <v>639</v>
      </c>
      <c r="AC287" s="1331" t="s">
        <v>29</v>
      </c>
      <c r="AD287" s="1424" t="s">
        <v>20</v>
      </c>
      <c r="AE287" s="1424" t="s">
        <v>248</v>
      </c>
      <c r="AF287" s="1424" t="s">
        <v>20</v>
      </c>
      <c r="AG287" s="1331" t="s">
        <v>34</v>
      </c>
      <c r="AH287" s="1337" t="s">
        <v>637</v>
      </c>
    </row>
    <row r="288" spans="1:36" s="1281" customFormat="1" ht="26.25" thickBot="1" x14ac:dyDescent="0.25">
      <c r="A288" s="1280"/>
      <c r="C288" s="1332" t="str">
        <f>'TRAD-Children YEAR(1)'!B115</f>
        <v>Nb de cdt/mois pour la tranche</v>
      </c>
      <c r="D288" s="1404">
        <f t="array" ref="D288:AH288">TRANSPOSE($E$224:$E$254)</f>
        <v>3</v>
      </c>
      <c r="E288" s="1404">
        <v>3</v>
      </c>
      <c r="F288" s="1404">
        <v>1.5</v>
      </c>
      <c r="G288" s="1404">
        <v>1.5</v>
      </c>
      <c r="H288" s="1404">
        <v>2.1</v>
      </c>
      <c r="I288" s="1404">
        <v>2.5</v>
      </c>
      <c r="J288" s="1404">
        <v>1.1666666666666667</v>
      </c>
      <c r="K288" s="1405">
        <v>2</v>
      </c>
      <c r="L288" s="1406">
        <v>0</v>
      </c>
      <c r="M288" s="1407">
        <v>2</v>
      </c>
      <c r="N288" s="1407">
        <v>0</v>
      </c>
      <c r="O288" s="1407">
        <v>2</v>
      </c>
      <c r="P288" s="1407">
        <v>0</v>
      </c>
      <c r="Q288" s="1407">
        <v>2</v>
      </c>
      <c r="R288" s="1407">
        <v>2</v>
      </c>
      <c r="S288" s="1407">
        <v>0</v>
      </c>
      <c r="T288" s="1407">
        <v>2</v>
      </c>
      <c r="U288" s="1407">
        <v>0</v>
      </c>
      <c r="V288" s="1407">
        <v>2</v>
      </c>
      <c r="W288" s="1407">
        <v>0</v>
      </c>
      <c r="X288" s="1407">
        <v>0</v>
      </c>
      <c r="Y288" s="1407">
        <v>0</v>
      </c>
      <c r="Z288" s="1407">
        <v>0</v>
      </c>
      <c r="AA288" s="1407">
        <v>0</v>
      </c>
      <c r="AB288" s="1407">
        <v>2</v>
      </c>
      <c r="AC288" s="1407">
        <v>0</v>
      </c>
      <c r="AD288" s="1407">
        <v>0</v>
      </c>
      <c r="AE288" s="1407">
        <v>2</v>
      </c>
      <c r="AF288" s="1407">
        <v>1</v>
      </c>
      <c r="AG288" s="1407">
        <v>0</v>
      </c>
      <c r="AH288" s="1407">
        <v>1.5</v>
      </c>
      <c r="AI288" s="1338" t="s">
        <v>207</v>
      </c>
    </row>
    <row r="289" spans="1:36" s="1279" customFormat="1" ht="63.75" x14ac:dyDescent="0.2">
      <c r="A289" s="1282"/>
      <c r="B289" s="1293" t="str">
        <f>'TRAD-Children YEAR(1)'!B6</f>
        <v>Schéma thérapeutique</v>
      </c>
      <c r="C289" s="1332" t="str">
        <f>'TRAD-Children YEAR(1)'!B116</f>
        <v>Premières lignes</v>
      </c>
      <c r="D289" s="1297"/>
      <c r="E289" s="1297"/>
      <c r="F289" s="1297"/>
      <c r="G289" s="1297"/>
      <c r="H289" s="1297"/>
      <c r="I289" s="1297"/>
      <c r="J289" s="1297"/>
      <c r="K289" s="1298"/>
      <c r="L289" s="1299"/>
      <c r="M289" s="1297"/>
      <c r="N289" s="1297"/>
      <c r="O289" s="1297"/>
      <c r="P289" s="1297"/>
      <c r="Q289" s="1297"/>
      <c r="R289" s="1297"/>
      <c r="S289" s="1297"/>
      <c r="T289" s="1297"/>
      <c r="U289" s="1297"/>
      <c r="V289" s="1297"/>
      <c r="W289" s="1297"/>
      <c r="X289" s="1297"/>
      <c r="Y289" s="1297"/>
      <c r="Z289" s="1297"/>
      <c r="AA289" s="1297"/>
      <c r="AB289" s="1297"/>
      <c r="AC289" s="1297"/>
      <c r="AD289" s="1297"/>
      <c r="AE289" s="1297"/>
      <c r="AF289" s="1297"/>
      <c r="AG289" s="1297"/>
      <c r="AH289" s="1297"/>
      <c r="AI289" s="1318" t="str">
        <f>'TRAD-Children YEAR(1)'!B122</f>
        <v>nb de patients mois période quantifiée</v>
      </c>
      <c r="AJ289" s="1318" t="str">
        <f>'TRAD-Children YEAR(1)'!B123</f>
        <v>nb de patients mois avec période de sécurité</v>
      </c>
    </row>
    <row r="290" spans="1:36" s="1279" customFormat="1" ht="15" x14ac:dyDescent="0.25">
      <c r="A290" s="1282"/>
      <c r="C290" s="1319" t="str">
        <f t="array" ref="C290:C295">'Data &amp; hypothesis Children'!$C$26:$C$31</f>
        <v>D4T+3TC+NVP</v>
      </c>
      <c r="D290" s="1175">
        <f>'Data &amp; hypothesis Children'!C137</f>
        <v>0</v>
      </c>
      <c r="E290" s="1175">
        <f>'Data &amp; hypothesis Children'!D137</f>
        <v>0</v>
      </c>
      <c r="F290" s="1175">
        <f>'Data &amp; hypothesis Children'!E137</f>
        <v>0</v>
      </c>
      <c r="G290" s="1175">
        <f>'Data &amp; hypothesis Children'!F137</f>
        <v>0</v>
      </c>
      <c r="H290" s="1175">
        <f>'Data &amp; hypothesis Children'!G137</f>
        <v>0</v>
      </c>
      <c r="I290" s="1175">
        <f>'Data &amp; hypothesis Children'!H137</f>
        <v>0</v>
      </c>
      <c r="J290" s="1175">
        <f>'Data &amp; hypothesis Children'!I137</f>
        <v>0</v>
      </c>
      <c r="K290" s="1413">
        <f>'Data &amp; hypothesis Children'!J137</f>
        <v>0</v>
      </c>
      <c r="L290" s="1414">
        <f>'Data &amp; hypothesis Children'!K137</f>
        <v>0</v>
      </c>
      <c r="M290" s="1175">
        <f>'Data &amp; hypothesis Children'!L137</f>
        <v>0</v>
      </c>
      <c r="N290" s="1175">
        <f>'Data &amp; hypothesis Children'!M137</f>
        <v>0</v>
      </c>
      <c r="O290" s="1175">
        <f>'Data &amp; hypothesis Children'!N137</f>
        <v>0</v>
      </c>
      <c r="P290" s="1175">
        <f>'Data &amp; hypothesis Children'!O137</f>
        <v>0</v>
      </c>
      <c r="Q290" s="1175">
        <f>'Data &amp; hypothesis Children'!P137</f>
        <v>0</v>
      </c>
      <c r="R290" s="1175">
        <f>'Data &amp; hypothesis Children'!Q137</f>
        <v>0</v>
      </c>
      <c r="S290" s="1175">
        <f>'Data &amp; hypothesis Children'!R137</f>
        <v>0</v>
      </c>
      <c r="T290" s="1175">
        <f>'Data &amp; hypothesis Children'!S137</f>
        <v>0</v>
      </c>
      <c r="U290" s="1175">
        <f>'Data &amp; hypothesis Children'!T137</f>
        <v>0</v>
      </c>
      <c r="V290" s="1175">
        <f>'Data &amp; hypothesis Children'!U137</f>
        <v>0</v>
      </c>
      <c r="W290" s="1175">
        <f>'Data &amp; hypothesis Children'!V137</f>
        <v>0</v>
      </c>
      <c r="X290" s="1175">
        <f>'Data &amp; hypothesis Children'!W137</f>
        <v>0</v>
      </c>
      <c r="Y290" s="1175">
        <f>'Data &amp; hypothesis Children'!X137</f>
        <v>0</v>
      </c>
      <c r="Z290" s="1175">
        <f>'Data &amp; hypothesis Children'!Y137</f>
        <v>0</v>
      </c>
      <c r="AA290" s="1175">
        <f>'Data &amp; hypothesis Children'!Z137</f>
        <v>0</v>
      </c>
      <c r="AB290" s="1175">
        <f>'Data &amp; hypothesis Children'!AA137</f>
        <v>0</v>
      </c>
      <c r="AC290" s="1175">
        <f>'Data &amp; hypothesis Children'!AB137</f>
        <v>0</v>
      </c>
      <c r="AD290" s="1175">
        <f>'Data &amp; hypothesis Children'!AC137</f>
        <v>0</v>
      </c>
      <c r="AE290" s="1175">
        <f>'Data &amp; hypothesis Children'!AD137</f>
        <v>0</v>
      </c>
      <c r="AF290" s="1175">
        <f>'Data &amp; hypothesis Children'!AE137</f>
        <v>0</v>
      </c>
      <c r="AG290" s="1175">
        <f>'Data &amp; hypothesis Children'!AF137</f>
        <v>0</v>
      </c>
      <c r="AH290" s="1415">
        <f>'Data &amp; hypothesis Children'!AG137</f>
        <v>0</v>
      </c>
      <c r="AI290" s="1339" t="e">
        <f t="shared" ref="AI290:AI295" si="75">G69</f>
        <v>#DIV/0!</v>
      </c>
      <c r="AJ290" s="1340" t="e">
        <f t="shared" ref="AJ290:AJ295" si="76">G85</f>
        <v>#DIV/0!</v>
      </c>
    </row>
    <row r="291" spans="1:36" s="1279" customFormat="1" ht="15" x14ac:dyDescent="0.25">
      <c r="A291" s="1282"/>
      <c r="C291" s="1319" t="str">
        <v>AZT+3TC+NVP</v>
      </c>
      <c r="D291" s="1175">
        <f>'Data &amp; hypothesis Children'!C138</f>
        <v>0</v>
      </c>
      <c r="E291" s="1175">
        <f>'Data &amp; hypothesis Children'!D138</f>
        <v>0</v>
      </c>
      <c r="F291" s="1175">
        <f>'Data &amp; hypothesis Children'!E138</f>
        <v>0</v>
      </c>
      <c r="G291" s="1175">
        <f>'Data &amp; hypothesis Children'!F138</f>
        <v>0</v>
      </c>
      <c r="H291" s="1175">
        <f>'Data &amp; hypothesis Children'!G138</f>
        <v>0</v>
      </c>
      <c r="I291" s="1175">
        <f>'Data &amp; hypothesis Children'!H138</f>
        <v>0</v>
      </c>
      <c r="J291" s="1175">
        <f>'Data &amp; hypothesis Children'!I138</f>
        <v>0</v>
      </c>
      <c r="K291" s="1413">
        <f>'Data &amp; hypothesis Children'!J138</f>
        <v>0</v>
      </c>
      <c r="L291" s="1414">
        <f>'Data &amp; hypothesis Children'!K138</f>
        <v>0</v>
      </c>
      <c r="M291" s="1175" t="str">
        <f>'Data &amp; hypothesis Children'!L138</f>
        <v>X</v>
      </c>
      <c r="N291" s="1175">
        <f>'Data &amp; hypothesis Children'!M138</f>
        <v>0</v>
      </c>
      <c r="O291" s="1175">
        <f>'Data &amp; hypothesis Children'!N138</f>
        <v>0</v>
      </c>
      <c r="P291" s="1175">
        <f>'Data &amp; hypothesis Children'!O138</f>
        <v>0</v>
      </c>
      <c r="Q291" s="1175">
        <f>'Data &amp; hypothesis Children'!P138</f>
        <v>0</v>
      </c>
      <c r="R291" s="1175">
        <f>'Data &amp; hypothesis Children'!Q138</f>
        <v>0</v>
      </c>
      <c r="S291" s="1175">
        <f>'Data &amp; hypothesis Children'!R138</f>
        <v>0</v>
      </c>
      <c r="T291" s="1175">
        <f>'Data &amp; hypothesis Children'!S138</f>
        <v>0</v>
      </c>
      <c r="U291" s="1175">
        <f>'Data &amp; hypothesis Children'!T138</f>
        <v>0</v>
      </c>
      <c r="V291" s="1175">
        <f>'Data &amp; hypothesis Children'!U138</f>
        <v>0</v>
      </c>
      <c r="W291" s="1175">
        <f>'Data &amp; hypothesis Children'!V138</f>
        <v>0</v>
      </c>
      <c r="X291" s="1175">
        <f>'Data &amp; hypothesis Children'!W138</f>
        <v>0</v>
      </c>
      <c r="Y291" s="1175">
        <f>'Data &amp; hypothesis Children'!X138</f>
        <v>0</v>
      </c>
      <c r="Z291" s="1175">
        <f>'Data &amp; hypothesis Children'!Y138</f>
        <v>0</v>
      </c>
      <c r="AA291" s="1175">
        <f>'Data &amp; hypothesis Children'!Z138</f>
        <v>0</v>
      </c>
      <c r="AB291" s="1175">
        <f>'Data &amp; hypothesis Children'!AA138</f>
        <v>0</v>
      </c>
      <c r="AC291" s="1175">
        <f>'Data &amp; hypothesis Children'!AB138</f>
        <v>0</v>
      </c>
      <c r="AD291" s="1175">
        <f>'Data &amp; hypothesis Children'!AC138</f>
        <v>0</v>
      </c>
      <c r="AE291" s="1175">
        <f>'Data &amp; hypothesis Children'!AD138</f>
        <v>0</v>
      </c>
      <c r="AF291" s="1175">
        <f>'Data &amp; hypothesis Children'!AE138</f>
        <v>0</v>
      </c>
      <c r="AG291" s="1175">
        <f>'Data &amp; hypothesis Children'!AF138</f>
        <v>0</v>
      </c>
      <c r="AH291" s="1415">
        <f>'Data &amp; hypothesis Children'!AG138</f>
        <v>0</v>
      </c>
      <c r="AI291" s="1339" t="e">
        <f t="shared" si="75"/>
        <v>#DIV/0!</v>
      </c>
      <c r="AJ291" s="1340" t="e">
        <f t="shared" si="76"/>
        <v>#DIV/0!</v>
      </c>
    </row>
    <row r="292" spans="1:36" s="1279" customFormat="1" ht="15" x14ac:dyDescent="0.25">
      <c r="A292" s="1282"/>
      <c r="C292" s="1319" t="str">
        <v>AZT+3TC+EFV</v>
      </c>
      <c r="D292" s="1175">
        <f>'Data &amp; hypothesis Children'!C139</f>
        <v>0</v>
      </c>
      <c r="E292" s="1175">
        <f>'Data &amp; hypothesis Children'!D139</f>
        <v>0</v>
      </c>
      <c r="F292" s="1175">
        <f>'Data &amp; hypothesis Children'!E139</f>
        <v>0</v>
      </c>
      <c r="G292" s="1175">
        <f>'Data &amp; hypothesis Children'!F139</f>
        <v>0</v>
      </c>
      <c r="H292" s="1175">
        <f>'Data &amp; hypothesis Children'!G139</f>
        <v>0</v>
      </c>
      <c r="I292" s="1175">
        <f>'Data &amp; hypothesis Children'!H139</f>
        <v>0</v>
      </c>
      <c r="J292" s="1175" t="str">
        <f>'Data &amp; hypothesis Children'!I139</f>
        <v>X</v>
      </c>
      <c r="K292" s="1413">
        <f>'Data &amp; hypothesis Children'!J139</f>
        <v>0</v>
      </c>
      <c r="L292" s="1414">
        <f>'Data &amp; hypothesis Children'!K139</f>
        <v>0</v>
      </c>
      <c r="M292" s="1175">
        <f>'Data &amp; hypothesis Children'!L139</f>
        <v>0</v>
      </c>
      <c r="N292" s="1175">
        <f>'Data &amp; hypothesis Children'!M139</f>
        <v>0</v>
      </c>
      <c r="O292" s="1175" t="str">
        <f>'Data &amp; hypothesis Children'!N139</f>
        <v>X</v>
      </c>
      <c r="P292" s="1175">
        <f>'Data &amp; hypothesis Children'!O139</f>
        <v>0</v>
      </c>
      <c r="Q292" s="1175">
        <f>'Data &amp; hypothesis Children'!P139</f>
        <v>0</v>
      </c>
      <c r="R292" s="1175">
        <f>'Data &amp; hypothesis Children'!Q139</f>
        <v>0</v>
      </c>
      <c r="S292" s="1175">
        <f>'Data &amp; hypothesis Children'!R139</f>
        <v>0</v>
      </c>
      <c r="T292" s="1175">
        <f>'Data &amp; hypothesis Children'!S139</f>
        <v>0</v>
      </c>
      <c r="U292" s="1175">
        <f>'Data &amp; hypothesis Children'!T139</f>
        <v>0</v>
      </c>
      <c r="V292" s="1175">
        <f>'Data &amp; hypothesis Children'!U139</f>
        <v>0</v>
      </c>
      <c r="W292" s="1175">
        <f>'Data &amp; hypothesis Children'!V139</f>
        <v>0</v>
      </c>
      <c r="X292" s="1175">
        <f>'Data &amp; hypothesis Children'!W139</f>
        <v>0</v>
      </c>
      <c r="Y292" s="1175">
        <f>'Data &amp; hypothesis Children'!X139</f>
        <v>0</v>
      </c>
      <c r="Z292" s="1175">
        <f>'Data &amp; hypothesis Children'!Y139</f>
        <v>0</v>
      </c>
      <c r="AA292" s="1175">
        <f>'Data &amp; hypothesis Children'!Z139</f>
        <v>0</v>
      </c>
      <c r="AB292" s="1175">
        <f>'Data &amp; hypothesis Children'!AA139</f>
        <v>0</v>
      </c>
      <c r="AC292" s="1175">
        <f>'Data &amp; hypothesis Children'!AB139</f>
        <v>0</v>
      </c>
      <c r="AD292" s="1175">
        <f>'Data &amp; hypothesis Children'!AC139</f>
        <v>0</v>
      </c>
      <c r="AE292" s="1175">
        <f>'Data &amp; hypothesis Children'!AD139</f>
        <v>0</v>
      </c>
      <c r="AF292" s="1175" t="str">
        <f>'Data &amp; hypothesis Children'!AE139</f>
        <v>X</v>
      </c>
      <c r="AG292" s="1175">
        <f>'Data &amp; hypothesis Children'!AF139</f>
        <v>0</v>
      </c>
      <c r="AH292" s="1415">
        <f>'Data &amp; hypothesis Children'!AG139</f>
        <v>0</v>
      </c>
      <c r="AI292" s="1339" t="e">
        <f t="shared" si="75"/>
        <v>#DIV/0!</v>
      </c>
      <c r="AJ292" s="1340" t="e">
        <f t="shared" si="76"/>
        <v>#DIV/0!</v>
      </c>
    </row>
    <row r="293" spans="1:36" s="1279" customFormat="1" ht="15" x14ac:dyDescent="0.25">
      <c r="A293" s="1282"/>
      <c r="C293" s="1319" t="str">
        <v>LPV/r+3TC+ABC</v>
      </c>
      <c r="D293" s="1175">
        <f>'Data &amp; hypothesis Children'!C140</f>
        <v>0</v>
      </c>
      <c r="E293" s="1175">
        <f>'Data &amp; hypothesis Children'!D140</f>
        <v>0</v>
      </c>
      <c r="F293" s="1175">
        <f>'Data &amp; hypothesis Children'!E140</f>
        <v>0</v>
      </c>
      <c r="G293" s="1175">
        <f>'Data &amp; hypothesis Children'!F140</f>
        <v>0</v>
      </c>
      <c r="H293" s="1175">
        <f>'Data &amp; hypothesis Children'!G140</f>
        <v>0</v>
      </c>
      <c r="I293" s="1175">
        <f>'Data &amp; hypothesis Children'!H140</f>
        <v>0</v>
      </c>
      <c r="J293" s="1175">
        <f>'Data &amp; hypothesis Children'!I140</f>
        <v>0</v>
      </c>
      <c r="K293" s="1413" t="str">
        <f>'Data &amp; hypothesis Children'!J140</f>
        <v>X</v>
      </c>
      <c r="L293" s="1414">
        <f>'Data &amp; hypothesis Children'!K140</f>
        <v>0</v>
      </c>
      <c r="M293" s="1175">
        <f>'Data &amp; hypothesis Children'!L140</f>
        <v>0</v>
      </c>
      <c r="N293" s="1175">
        <f>'Data &amp; hypothesis Children'!M140</f>
        <v>0</v>
      </c>
      <c r="O293" s="1175">
        <f>'Data &amp; hypothesis Children'!N140</f>
        <v>0</v>
      </c>
      <c r="P293" s="1175">
        <f>'Data &amp; hypothesis Children'!O140</f>
        <v>0</v>
      </c>
      <c r="Q293" s="1175">
        <f>'Data &amp; hypothesis Children'!P140</f>
        <v>0</v>
      </c>
      <c r="R293" s="1175">
        <f>'Data &amp; hypothesis Children'!Q140</f>
        <v>0</v>
      </c>
      <c r="S293" s="1175">
        <f>'Data &amp; hypothesis Children'!R140</f>
        <v>0</v>
      </c>
      <c r="T293" s="1175">
        <f>'Data &amp; hypothesis Children'!S140</f>
        <v>0</v>
      </c>
      <c r="U293" s="1175">
        <f>'Data &amp; hypothesis Children'!T140</f>
        <v>0</v>
      </c>
      <c r="V293" s="1175" t="str">
        <f>'Data &amp; hypothesis Children'!U140</f>
        <v>X</v>
      </c>
      <c r="W293" s="1175">
        <f>'Data &amp; hypothesis Children'!V140</f>
        <v>0</v>
      </c>
      <c r="X293" s="1175">
        <f>'Data &amp; hypothesis Children'!W140</f>
        <v>0</v>
      </c>
      <c r="Y293" s="1175">
        <f>'Data &amp; hypothesis Children'!X140</f>
        <v>0</v>
      </c>
      <c r="Z293" s="1175">
        <f>'Data &amp; hypothesis Children'!Y140</f>
        <v>0</v>
      </c>
      <c r="AA293" s="1175">
        <f>'Data &amp; hypothesis Children'!Z140</f>
        <v>0</v>
      </c>
      <c r="AB293" s="1175">
        <f>'Data &amp; hypothesis Children'!AA140</f>
        <v>0</v>
      </c>
      <c r="AC293" s="1175">
        <f>'Data &amp; hypothesis Children'!AB140</f>
        <v>0</v>
      </c>
      <c r="AD293" s="1175">
        <f>'Data &amp; hypothesis Children'!AC140</f>
        <v>0</v>
      </c>
      <c r="AE293" s="1175">
        <f>'Data &amp; hypothesis Children'!AD140</f>
        <v>0</v>
      </c>
      <c r="AF293" s="1175">
        <f>'Data &amp; hypothesis Children'!AE140</f>
        <v>0</v>
      </c>
      <c r="AG293" s="1175">
        <f>'Data &amp; hypothesis Children'!AF140</f>
        <v>0</v>
      </c>
      <c r="AH293" s="1415">
        <f>'Data &amp; hypothesis Children'!AG140</f>
        <v>0</v>
      </c>
      <c r="AI293" s="1339" t="e">
        <f t="shared" si="75"/>
        <v>#DIV/0!</v>
      </c>
      <c r="AJ293" s="1340" t="e">
        <f t="shared" si="76"/>
        <v>#DIV/0!</v>
      </c>
    </row>
    <row r="294" spans="1:36" s="1279" customFormat="1" ht="15" x14ac:dyDescent="0.25">
      <c r="A294" s="1282"/>
      <c r="C294" s="1319" t="str">
        <v>ABC+3TC+NVP</v>
      </c>
      <c r="D294" s="1175">
        <f>'Data &amp; hypothesis Children'!C141</f>
        <v>0</v>
      </c>
      <c r="E294" s="1175">
        <f>'Data &amp; hypothesis Children'!D141</f>
        <v>0</v>
      </c>
      <c r="F294" s="1175">
        <f>'Data &amp; hypothesis Children'!E141</f>
        <v>0</v>
      </c>
      <c r="G294" s="1175">
        <f>'Data &amp; hypothesis Children'!F141</f>
        <v>0</v>
      </c>
      <c r="H294" s="1175">
        <f>'Data &amp; hypothesis Children'!G141</f>
        <v>0</v>
      </c>
      <c r="I294" s="1175" t="str">
        <f>'Data &amp; hypothesis Children'!H141</f>
        <v>X</v>
      </c>
      <c r="J294" s="1175">
        <f>'Data &amp; hypothesis Children'!I141</f>
        <v>0</v>
      </c>
      <c r="K294" s="1413">
        <f>'Data &amp; hypothesis Children'!J141</f>
        <v>0</v>
      </c>
      <c r="L294" s="1414">
        <f>'Data &amp; hypothesis Children'!K141</f>
        <v>0</v>
      </c>
      <c r="M294" s="1175">
        <f>'Data &amp; hypothesis Children'!L141</f>
        <v>0</v>
      </c>
      <c r="N294" s="1175">
        <f>'Data &amp; hypothesis Children'!M141</f>
        <v>0</v>
      </c>
      <c r="O294" s="1175">
        <f>'Data &amp; hypothesis Children'!N141</f>
        <v>0</v>
      </c>
      <c r="P294" s="1175">
        <f>'Data &amp; hypothesis Children'!O141</f>
        <v>0</v>
      </c>
      <c r="Q294" s="1175">
        <f>'Data &amp; hypothesis Children'!P141</f>
        <v>0</v>
      </c>
      <c r="R294" s="1175">
        <f>'Data &amp; hypothesis Children'!Q141</f>
        <v>0</v>
      </c>
      <c r="S294" s="1175">
        <f>'Data &amp; hypothesis Children'!R141</f>
        <v>0</v>
      </c>
      <c r="T294" s="1175">
        <f>'Data &amp; hypothesis Children'!S141</f>
        <v>0</v>
      </c>
      <c r="U294" s="1175" t="str">
        <f>'Data &amp; hypothesis Children'!T141</f>
        <v>X</v>
      </c>
      <c r="V294" s="1175">
        <f>'Data &amp; hypothesis Children'!U141</f>
        <v>0</v>
      </c>
      <c r="W294" s="1175">
        <f>'Data &amp; hypothesis Children'!V141</f>
        <v>0</v>
      </c>
      <c r="X294" s="1175">
        <f>'Data &amp; hypothesis Children'!W141</f>
        <v>0</v>
      </c>
      <c r="Y294" s="1175">
        <f>'Data &amp; hypothesis Children'!X141</f>
        <v>0</v>
      </c>
      <c r="Z294" s="1175">
        <f>'Data &amp; hypothesis Children'!Y141</f>
        <v>0</v>
      </c>
      <c r="AA294" s="1175">
        <f>'Data &amp; hypothesis Children'!Z141</f>
        <v>0</v>
      </c>
      <c r="AB294" s="1175">
        <f>'Data &amp; hypothesis Children'!AA141</f>
        <v>0</v>
      </c>
      <c r="AC294" s="1175">
        <f>'Data &amp; hypothesis Children'!AB141</f>
        <v>0</v>
      </c>
      <c r="AD294" s="1175">
        <f>'Data &amp; hypothesis Children'!AC141</f>
        <v>0</v>
      </c>
      <c r="AE294" s="1175" t="str">
        <f>'Data &amp; hypothesis Children'!AD141</f>
        <v>X</v>
      </c>
      <c r="AF294" s="1175">
        <f>'Data &amp; hypothesis Children'!AE141</f>
        <v>0</v>
      </c>
      <c r="AG294" s="1175">
        <f>'Data &amp; hypothesis Children'!AF141</f>
        <v>0</v>
      </c>
      <c r="AH294" s="1415">
        <f>'Data &amp; hypothesis Children'!AG141</f>
        <v>0</v>
      </c>
      <c r="AI294" s="1339" t="e">
        <f t="shared" si="75"/>
        <v>#DIV/0!</v>
      </c>
      <c r="AJ294" s="1340" t="e">
        <f t="shared" si="76"/>
        <v>#DIV/0!</v>
      </c>
    </row>
    <row r="295" spans="1:36" s="1279" customFormat="1" ht="15" x14ac:dyDescent="0.25">
      <c r="A295" s="1282"/>
      <c r="C295" s="1319" t="str">
        <v>AZT+3TC+LPV/r</v>
      </c>
      <c r="D295" s="1175">
        <f>'Data &amp; hypothesis Children'!C142</f>
        <v>0</v>
      </c>
      <c r="E295" s="1175">
        <f>'Data &amp; hypothesis Children'!D142</f>
        <v>0</v>
      </c>
      <c r="F295" s="1175">
        <f>'Data &amp; hypothesis Children'!E142</f>
        <v>0</v>
      </c>
      <c r="G295" s="1175">
        <f>'Data &amp; hypothesis Children'!F142</f>
        <v>0</v>
      </c>
      <c r="H295" s="1175">
        <f>'Data &amp; hypothesis Children'!G142</f>
        <v>0</v>
      </c>
      <c r="I295" s="1175">
        <f>'Data &amp; hypothesis Children'!H142</f>
        <v>0</v>
      </c>
      <c r="J295" s="1175">
        <f>'Data &amp; hypothesis Children'!I142</f>
        <v>0</v>
      </c>
      <c r="K295" s="1413" t="str">
        <f>'Data &amp; hypothesis Children'!J142</f>
        <v>X</v>
      </c>
      <c r="L295" s="1414">
        <f>'Data &amp; hypothesis Children'!K142</f>
        <v>0</v>
      </c>
      <c r="M295" s="1175">
        <f>'Data &amp; hypothesis Children'!L142</f>
        <v>0</v>
      </c>
      <c r="N295" s="1175">
        <f>'Data &amp; hypothesis Children'!M142</f>
        <v>0</v>
      </c>
      <c r="O295" s="1175" t="str">
        <f>'Data &amp; hypothesis Children'!N142</f>
        <v>X</v>
      </c>
      <c r="P295" s="1175">
        <f>'Data &amp; hypothesis Children'!O142</f>
        <v>0</v>
      </c>
      <c r="Q295" s="1175">
        <f>'Data &amp; hypothesis Children'!P142</f>
        <v>0</v>
      </c>
      <c r="R295" s="1175">
        <f>'Data &amp; hypothesis Children'!Q142</f>
        <v>0</v>
      </c>
      <c r="S295" s="1175">
        <f>'Data &amp; hypothesis Children'!R142</f>
        <v>0</v>
      </c>
      <c r="T295" s="1175">
        <f>'Data &amp; hypothesis Children'!S142</f>
        <v>0</v>
      </c>
      <c r="U295" s="1175">
        <f>'Data &amp; hypothesis Children'!T142</f>
        <v>0</v>
      </c>
      <c r="V295" s="1175">
        <f>'Data &amp; hypothesis Children'!U142</f>
        <v>0</v>
      </c>
      <c r="W295" s="1175">
        <f>'Data &amp; hypothesis Children'!V142</f>
        <v>0</v>
      </c>
      <c r="X295" s="1175">
        <f>'Data &amp; hypothesis Children'!W142</f>
        <v>0</v>
      </c>
      <c r="Y295" s="1175">
        <f>'Data &amp; hypothesis Children'!X142</f>
        <v>0</v>
      </c>
      <c r="Z295" s="1175">
        <f>'Data &amp; hypothesis Children'!Y142</f>
        <v>0</v>
      </c>
      <c r="AA295" s="1175">
        <f>'Data &amp; hypothesis Children'!Z142</f>
        <v>0</v>
      </c>
      <c r="AB295" s="1175">
        <f>'Data &amp; hypothesis Children'!AA142</f>
        <v>0</v>
      </c>
      <c r="AC295" s="1175">
        <f>'Data &amp; hypothesis Children'!AB142</f>
        <v>0</v>
      </c>
      <c r="AD295" s="1175">
        <f>'Data &amp; hypothesis Children'!AC142</f>
        <v>0</v>
      </c>
      <c r="AE295" s="1175">
        <f>'Data &amp; hypothesis Children'!AD142</f>
        <v>0</v>
      </c>
      <c r="AF295" s="1175">
        <f>'Data &amp; hypothesis Children'!AE142</f>
        <v>0</v>
      </c>
      <c r="AG295" s="1175">
        <f>'Data &amp; hypothesis Children'!AF142</f>
        <v>0</v>
      </c>
      <c r="AH295" s="1415" t="str">
        <f>'Data &amp; hypothesis Children'!AG142</f>
        <v>X</v>
      </c>
      <c r="AI295" s="1339" t="e">
        <f t="shared" si="75"/>
        <v>#DIV/0!</v>
      </c>
      <c r="AJ295" s="1340" t="e">
        <f t="shared" si="76"/>
        <v>#DIV/0!</v>
      </c>
    </row>
    <row r="296" spans="1:36" s="1279" customFormat="1" x14ac:dyDescent="0.2">
      <c r="A296" s="1282"/>
      <c r="C296" s="1296" t="str">
        <f>'TRAD-Children YEAR(1)'!$B$117</f>
        <v>Deuxièmes lignes</v>
      </c>
      <c r="D296" s="1410"/>
      <c r="E296" s="1410"/>
      <c r="F296" s="1410"/>
      <c r="G296" s="1410"/>
      <c r="H296" s="1410"/>
      <c r="I296" s="1410"/>
      <c r="J296" s="1410"/>
      <c r="K296" s="1411"/>
      <c r="L296" s="1412"/>
      <c r="M296" s="1410"/>
      <c r="N296" s="1410"/>
      <c r="O296" s="1410"/>
      <c r="P296" s="1410"/>
      <c r="Q296" s="1410"/>
      <c r="R296" s="1410"/>
      <c r="S296" s="1410"/>
      <c r="T296" s="1410"/>
      <c r="U296" s="1410"/>
      <c r="V296" s="1410"/>
      <c r="W296" s="1410"/>
      <c r="X296" s="1410"/>
      <c r="Y296" s="1410"/>
      <c r="Z296" s="1410"/>
      <c r="AA296" s="1410"/>
      <c r="AB296" s="1410"/>
      <c r="AC296" s="1410"/>
      <c r="AD296" s="1410"/>
      <c r="AE296" s="1410"/>
      <c r="AF296" s="1410"/>
      <c r="AG296" s="1410"/>
      <c r="AH296" s="1416"/>
      <c r="AI296" s="1339"/>
      <c r="AJ296" s="1340"/>
    </row>
    <row r="297" spans="1:36" s="1279" customFormat="1" ht="15" x14ac:dyDescent="0.25">
      <c r="A297" s="1282"/>
      <c r="C297" s="1301" t="str">
        <f t="array" ref="C297:C300">'Data &amp; hypothesis Children'!$C$32:$C$35</f>
        <v>ABC+3TC+EFV</v>
      </c>
      <c r="D297" s="1175">
        <f>'Data &amp; hypothesis Children'!C144</f>
        <v>0</v>
      </c>
      <c r="E297" s="1175">
        <f>'Data &amp; hypothesis Children'!D144</f>
        <v>0</v>
      </c>
      <c r="F297" s="1175">
        <f>'Data &amp; hypothesis Children'!E144</f>
        <v>0</v>
      </c>
      <c r="G297" s="1175">
        <f>'Data &amp; hypothesis Children'!F144</f>
        <v>0</v>
      </c>
      <c r="H297" s="1175">
        <f>'Data &amp; hypothesis Children'!G144</f>
        <v>0</v>
      </c>
      <c r="I297" s="1175">
        <f>'Data &amp; hypothesis Children'!H144</f>
        <v>0</v>
      </c>
      <c r="J297" s="1175" t="str">
        <f>'Data &amp; hypothesis Children'!I144</f>
        <v>X</v>
      </c>
      <c r="K297" s="1413">
        <f>'Data &amp; hypothesis Children'!J144</f>
        <v>0</v>
      </c>
      <c r="L297" s="1414">
        <f>'Data &amp; hypothesis Children'!K144</f>
        <v>0</v>
      </c>
      <c r="M297" s="1175">
        <f>'Data &amp; hypothesis Children'!L144</f>
        <v>0</v>
      </c>
      <c r="N297" s="1175">
        <f>'Data &amp; hypothesis Children'!M144</f>
        <v>0</v>
      </c>
      <c r="O297" s="1175">
        <f>'Data &amp; hypothesis Children'!N144</f>
        <v>0</v>
      </c>
      <c r="P297" s="1175">
        <f>'Data &amp; hypothesis Children'!O144</f>
        <v>0</v>
      </c>
      <c r="Q297" s="1175">
        <f>'Data &amp; hypothesis Children'!P144</f>
        <v>0</v>
      </c>
      <c r="R297" s="1175">
        <f>'Data &amp; hypothesis Children'!Q144</f>
        <v>0</v>
      </c>
      <c r="S297" s="1175">
        <f>'Data &amp; hypothesis Children'!R144</f>
        <v>0</v>
      </c>
      <c r="T297" s="1175">
        <f>'Data &amp; hypothesis Children'!S144</f>
        <v>0</v>
      </c>
      <c r="U297" s="1175">
        <f>'Data &amp; hypothesis Children'!T144</f>
        <v>0</v>
      </c>
      <c r="V297" s="1175" t="str">
        <f>'Data &amp; hypothesis Children'!U144</f>
        <v>X</v>
      </c>
      <c r="W297" s="1175">
        <f>'Data &amp; hypothesis Children'!V144</f>
        <v>0</v>
      </c>
      <c r="X297" s="1175">
        <f>'Data &amp; hypothesis Children'!W144</f>
        <v>0</v>
      </c>
      <c r="Y297" s="1175">
        <f>'Data &amp; hypothesis Children'!X144</f>
        <v>0</v>
      </c>
      <c r="Z297" s="1175">
        <f>'Data &amp; hypothesis Children'!Y144</f>
        <v>0</v>
      </c>
      <c r="AA297" s="1175">
        <f>'Data &amp; hypothesis Children'!Z144</f>
        <v>0</v>
      </c>
      <c r="AB297" s="1175">
        <f>'Data &amp; hypothesis Children'!AA144</f>
        <v>0</v>
      </c>
      <c r="AC297" s="1175">
        <f>'Data &amp; hypothesis Children'!AB144</f>
        <v>0</v>
      </c>
      <c r="AD297" s="1175">
        <f>'Data &amp; hypothesis Children'!AC144</f>
        <v>0</v>
      </c>
      <c r="AE297" s="1175">
        <f>'Data &amp; hypothesis Children'!AD144</f>
        <v>0</v>
      </c>
      <c r="AF297" s="1175">
        <f>'Data &amp; hypothesis Children'!AE144</f>
        <v>0</v>
      </c>
      <c r="AG297" s="1175">
        <f>'Data &amp; hypothesis Children'!AF144</f>
        <v>0</v>
      </c>
      <c r="AH297" s="1415" t="str">
        <f>'Data &amp; hypothesis Children'!AG144</f>
        <v>X</v>
      </c>
      <c r="AI297" s="1339" t="e">
        <f>G75</f>
        <v>#DIV/0!</v>
      </c>
      <c r="AJ297" s="1340" t="e">
        <f>G91</f>
        <v>#DIV/0!</v>
      </c>
    </row>
    <row r="298" spans="1:36" s="1279" customFormat="1" ht="15" x14ac:dyDescent="0.25">
      <c r="A298" s="1282"/>
      <c r="C298" s="1301" t="str">
        <v>TDF+3TC+LPV/r</v>
      </c>
      <c r="D298" s="1175">
        <f>'Data &amp; hypothesis Children'!C145</f>
        <v>0</v>
      </c>
      <c r="E298" s="1175">
        <f>'Data &amp; hypothesis Children'!D145</f>
        <v>0</v>
      </c>
      <c r="F298" s="1175">
        <f>'Data &amp; hypothesis Children'!E145</f>
        <v>0</v>
      </c>
      <c r="G298" s="1175">
        <f>'Data &amp; hypothesis Children'!F145</f>
        <v>0</v>
      </c>
      <c r="H298" s="1175">
        <f>'Data &amp; hypothesis Children'!G145</f>
        <v>0</v>
      </c>
      <c r="I298" s="1175">
        <f>'Data &amp; hypothesis Children'!H145</f>
        <v>0</v>
      </c>
      <c r="J298" s="1175">
        <f>'Data &amp; hypothesis Children'!I145</f>
        <v>0</v>
      </c>
      <c r="K298" s="1413">
        <f>'Data &amp; hypothesis Children'!J145</f>
        <v>0</v>
      </c>
      <c r="L298" s="1414">
        <f>'Data &amp; hypothesis Children'!K145</f>
        <v>0</v>
      </c>
      <c r="M298" s="1175">
        <f>'Data &amp; hypothesis Children'!L145</f>
        <v>0</v>
      </c>
      <c r="N298" s="1175">
        <f>'Data &amp; hypothesis Children'!M145</f>
        <v>0</v>
      </c>
      <c r="O298" s="1175">
        <f>'Data &amp; hypothesis Children'!N145</f>
        <v>0</v>
      </c>
      <c r="P298" s="1175">
        <f>'Data &amp; hypothesis Children'!O145</f>
        <v>0</v>
      </c>
      <c r="Q298" s="1175">
        <f>'Data &amp; hypothesis Children'!P145</f>
        <v>0</v>
      </c>
      <c r="R298" s="1175">
        <f>'Data &amp; hypothesis Children'!Q145</f>
        <v>0</v>
      </c>
      <c r="S298" s="1175">
        <f>'Data &amp; hypothesis Children'!R145</f>
        <v>0</v>
      </c>
      <c r="T298" s="1175">
        <f>'Data &amp; hypothesis Children'!S145</f>
        <v>0</v>
      </c>
      <c r="U298" s="1175">
        <f>'Data &amp; hypothesis Children'!T145</f>
        <v>0</v>
      </c>
      <c r="V298" s="1175">
        <f>'Data &amp; hypothesis Children'!U145</f>
        <v>0</v>
      </c>
      <c r="W298" s="1175">
        <f>'Data &amp; hypothesis Children'!V145</f>
        <v>0</v>
      </c>
      <c r="X298" s="1175">
        <f>'Data &amp; hypothesis Children'!W145</f>
        <v>0</v>
      </c>
      <c r="Y298" s="1175">
        <f>'Data &amp; hypothesis Children'!X145</f>
        <v>0</v>
      </c>
      <c r="Z298" s="1175">
        <f>'Data &amp; hypothesis Children'!Y145</f>
        <v>0</v>
      </c>
      <c r="AA298" s="1175">
        <f>'Data &amp; hypothesis Children'!Z145</f>
        <v>0</v>
      </c>
      <c r="AB298" s="1175">
        <f>'Data &amp; hypothesis Children'!AA145</f>
        <v>0</v>
      </c>
      <c r="AC298" s="1175">
        <f>'Data &amp; hypothesis Children'!AB145</f>
        <v>0</v>
      </c>
      <c r="AD298" s="1175">
        <f>'Data &amp; hypothesis Children'!AC145</f>
        <v>0</v>
      </c>
      <c r="AE298" s="1175">
        <f>'Data &amp; hypothesis Children'!AD145</f>
        <v>0</v>
      </c>
      <c r="AF298" s="1175">
        <f>'Data &amp; hypothesis Children'!AE145</f>
        <v>0</v>
      </c>
      <c r="AG298" s="1175">
        <f>'Data &amp; hypothesis Children'!AF145</f>
        <v>0</v>
      </c>
      <c r="AH298" s="1415" t="str">
        <f>'Data &amp; hypothesis Children'!AG145</f>
        <v>X</v>
      </c>
      <c r="AI298" s="1339" t="e">
        <f t="shared" ref="AI298:AI299" si="77">G76</f>
        <v>#DIV/0!</v>
      </c>
      <c r="AJ298" s="1340" t="e">
        <f t="shared" ref="AJ298:AJ299" si="78">G92</f>
        <v>#DIV/0!</v>
      </c>
    </row>
    <row r="299" spans="1:36" s="1279" customFormat="1" ht="15" x14ac:dyDescent="0.25">
      <c r="A299" s="1282"/>
      <c r="C299" s="1301" t="str">
        <v>AZT+3TC+EFV</v>
      </c>
      <c r="D299" s="1175">
        <f>'Data &amp; hypothesis Children'!C146</f>
        <v>0</v>
      </c>
      <c r="E299" s="1175">
        <f>'Data &amp; hypothesis Children'!D146</f>
        <v>0</v>
      </c>
      <c r="F299" s="1175">
        <f>'Data &amp; hypothesis Children'!E146</f>
        <v>0</v>
      </c>
      <c r="G299" s="1175">
        <f>'Data &amp; hypothesis Children'!F146</f>
        <v>0</v>
      </c>
      <c r="H299" s="1175">
        <f>'Data &amp; hypothesis Children'!G146</f>
        <v>0</v>
      </c>
      <c r="I299" s="1175">
        <f>'Data &amp; hypothesis Children'!H146</f>
        <v>0</v>
      </c>
      <c r="J299" s="1175">
        <f>'Data &amp; hypothesis Children'!I146</f>
        <v>0</v>
      </c>
      <c r="K299" s="1413">
        <f>'Data &amp; hypothesis Children'!J146</f>
        <v>0</v>
      </c>
      <c r="L299" s="1414">
        <f>'Data &amp; hypothesis Children'!K146</f>
        <v>0</v>
      </c>
      <c r="M299" s="1175">
        <f>'Data &amp; hypothesis Children'!L146</f>
        <v>0</v>
      </c>
      <c r="N299" s="1175">
        <f>'Data &amp; hypothesis Children'!M146</f>
        <v>0</v>
      </c>
      <c r="O299" s="1175">
        <f>'Data &amp; hypothesis Children'!N146</f>
        <v>0</v>
      </c>
      <c r="P299" s="1175">
        <f>'Data &amp; hypothesis Children'!O146</f>
        <v>0</v>
      </c>
      <c r="Q299" s="1175">
        <f>'Data &amp; hypothesis Children'!P146</f>
        <v>0</v>
      </c>
      <c r="R299" s="1175">
        <f>'Data &amp; hypothesis Children'!Q146</f>
        <v>0</v>
      </c>
      <c r="S299" s="1175">
        <f>'Data &amp; hypothesis Children'!R146</f>
        <v>0</v>
      </c>
      <c r="T299" s="1175">
        <f>'Data &amp; hypothesis Children'!S146</f>
        <v>0</v>
      </c>
      <c r="U299" s="1175">
        <f>'Data &amp; hypothesis Children'!T146</f>
        <v>0</v>
      </c>
      <c r="V299" s="1175">
        <f>'Data &amp; hypothesis Children'!U146</f>
        <v>0</v>
      </c>
      <c r="W299" s="1175">
        <f>'Data &amp; hypothesis Children'!V146</f>
        <v>0</v>
      </c>
      <c r="X299" s="1175">
        <f>'Data &amp; hypothesis Children'!W146</f>
        <v>0</v>
      </c>
      <c r="Y299" s="1175">
        <f>'Data &amp; hypothesis Children'!X146</f>
        <v>0</v>
      </c>
      <c r="Z299" s="1175">
        <f>'Data &amp; hypothesis Children'!Y146</f>
        <v>0</v>
      </c>
      <c r="AA299" s="1175">
        <f>'Data &amp; hypothesis Children'!Z146</f>
        <v>0</v>
      </c>
      <c r="AB299" s="1175">
        <f>'Data &amp; hypothesis Children'!AA146</f>
        <v>0</v>
      </c>
      <c r="AC299" s="1175">
        <f>'Data &amp; hypothesis Children'!AB146</f>
        <v>0</v>
      </c>
      <c r="AD299" s="1175">
        <f>'Data &amp; hypothesis Children'!AC146</f>
        <v>0</v>
      </c>
      <c r="AE299" s="1175">
        <f>'Data &amp; hypothesis Children'!AD146</f>
        <v>0</v>
      </c>
      <c r="AF299" s="1175">
        <f>'Data &amp; hypothesis Children'!AE146</f>
        <v>0</v>
      </c>
      <c r="AG299" s="1175">
        <f>'Data &amp; hypothesis Children'!AF146</f>
        <v>0</v>
      </c>
      <c r="AH299" s="1415">
        <f>'Data &amp; hypothesis Children'!AG146</f>
        <v>0</v>
      </c>
      <c r="AI299" s="1339" t="e">
        <f t="shared" si="77"/>
        <v>#DIV/0!</v>
      </c>
      <c r="AJ299" s="1340" t="e">
        <f t="shared" si="78"/>
        <v>#DIV/0!</v>
      </c>
    </row>
    <row r="300" spans="1:36" s="1279" customFormat="1" ht="15.75" thickBot="1" x14ac:dyDescent="0.3">
      <c r="A300" s="1282"/>
      <c r="C300" s="1301">
        <v>0</v>
      </c>
      <c r="D300" s="1175">
        <f>'Data &amp; hypothesis Children'!C147</f>
        <v>0</v>
      </c>
      <c r="E300" s="1175">
        <f>'Data &amp; hypothesis Children'!D147</f>
        <v>0</v>
      </c>
      <c r="F300" s="1175">
        <f>'Data &amp; hypothesis Children'!E147</f>
        <v>0</v>
      </c>
      <c r="G300" s="1175">
        <f>'Data &amp; hypothesis Children'!F147</f>
        <v>0</v>
      </c>
      <c r="H300" s="1175">
        <f>'Data &amp; hypothesis Children'!G147</f>
        <v>0</v>
      </c>
      <c r="I300" s="1175">
        <f>'Data &amp; hypothesis Children'!H147</f>
        <v>0</v>
      </c>
      <c r="J300" s="1175">
        <f>'Data &amp; hypothesis Children'!I147</f>
        <v>0</v>
      </c>
      <c r="K300" s="1413">
        <f>'Data &amp; hypothesis Children'!J147</f>
        <v>0</v>
      </c>
      <c r="L300" s="1417">
        <f>'Data &amp; hypothesis Children'!K147</f>
        <v>0</v>
      </c>
      <c r="M300" s="1418">
        <f>'Data &amp; hypothesis Children'!L147</f>
        <v>0</v>
      </c>
      <c r="N300" s="1418">
        <f>'Data &amp; hypothesis Children'!M147</f>
        <v>0</v>
      </c>
      <c r="O300" s="1418">
        <f>'Data &amp; hypothesis Children'!N147</f>
        <v>0</v>
      </c>
      <c r="P300" s="1418">
        <f>'Data &amp; hypothesis Children'!O147</f>
        <v>0</v>
      </c>
      <c r="Q300" s="1418">
        <f>'Data &amp; hypothesis Children'!P147</f>
        <v>0</v>
      </c>
      <c r="R300" s="1418">
        <f>'Data &amp; hypothesis Children'!Q147</f>
        <v>0</v>
      </c>
      <c r="S300" s="1418">
        <f>'Data &amp; hypothesis Children'!R147</f>
        <v>0</v>
      </c>
      <c r="T300" s="1418">
        <f>'Data &amp; hypothesis Children'!S147</f>
        <v>0</v>
      </c>
      <c r="U300" s="1418">
        <f>'Data &amp; hypothesis Children'!T147</f>
        <v>0</v>
      </c>
      <c r="V300" s="1418">
        <f>'Data &amp; hypothesis Children'!U147</f>
        <v>0</v>
      </c>
      <c r="W300" s="1418">
        <f>'Data &amp; hypothesis Children'!V147</f>
        <v>0</v>
      </c>
      <c r="X300" s="1418">
        <f>'Data &amp; hypothesis Children'!W147</f>
        <v>0</v>
      </c>
      <c r="Y300" s="1418">
        <f>'Data &amp; hypothesis Children'!X147</f>
        <v>0</v>
      </c>
      <c r="Z300" s="1418">
        <f>'Data &amp; hypothesis Children'!Y147</f>
        <v>0</v>
      </c>
      <c r="AA300" s="1418">
        <f>'Data &amp; hypothesis Children'!Z147</f>
        <v>0</v>
      </c>
      <c r="AB300" s="1418">
        <f>'Data &amp; hypothesis Children'!AA147</f>
        <v>0</v>
      </c>
      <c r="AC300" s="1418">
        <f>'Data &amp; hypothesis Children'!AB147</f>
        <v>0</v>
      </c>
      <c r="AD300" s="1418">
        <f>'Data &amp; hypothesis Children'!AC147</f>
        <v>0</v>
      </c>
      <c r="AE300" s="1418">
        <f>'Data &amp; hypothesis Children'!AD147</f>
        <v>0</v>
      </c>
      <c r="AF300" s="1418">
        <f>'Data &amp; hypothesis Children'!AE147</f>
        <v>0</v>
      </c>
      <c r="AG300" s="1418">
        <f>'Data &amp; hypothesis Children'!AF147</f>
        <v>0</v>
      </c>
      <c r="AH300" s="1419">
        <f>'Data &amp; hypothesis Children'!AG147</f>
        <v>0</v>
      </c>
      <c r="AI300" s="1339" t="e">
        <f>G78</f>
        <v>#DIV/0!</v>
      </c>
      <c r="AJ300" s="1340" t="e">
        <f>G94</f>
        <v>#DIV/0!</v>
      </c>
    </row>
    <row r="301" spans="1:36" s="1304" customFormat="1" ht="26.25" thickBot="1" x14ac:dyDescent="0.25">
      <c r="A301" s="1303"/>
      <c r="C301" s="1305" t="str">
        <f>'TRAD-Children YEAR(1)'!B118</f>
        <v>Nb de patients-mois / produit - SANS SS</v>
      </c>
      <c r="D301" s="1306">
        <f t="shared" ref="D301:AE301" si="79">SUMIF(D290:D300, "X", $AI290:$AI300)</f>
        <v>0</v>
      </c>
      <c r="E301" s="1306">
        <f t="shared" si="79"/>
        <v>0</v>
      </c>
      <c r="F301" s="1306">
        <f t="shared" si="79"/>
        <v>0</v>
      </c>
      <c r="G301" s="1306">
        <f t="shared" si="79"/>
        <v>0</v>
      </c>
      <c r="H301" s="1306">
        <f t="shared" si="79"/>
        <v>0</v>
      </c>
      <c r="I301" s="1306" t="e">
        <f t="shared" si="79"/>
        <v>#DIV/0!</v>
      </c>
      <c r="J301" s="1306" t="e">
        <f t="shared" si="79"/>
        <v>#DIV/0!</v>
      </c>
      <c r="K301" s="1307" t="e">
        <f t="shared" si="79"/>
        <v>#DIV/0!</v>
      </c>
      <c r="L301" s="1308">
        <f t="shared" si="79"/>
        <v>0</v>
      </c>
      <c r="M301" s="1306" t="e">
        <f t="shared" si="79"/>
        <v>#DIV/0!</v>
      </c>
      <c r="N301" s="1306">
        <f t="shared" si="79"/>
        <v>0</v>
      </c>
      <c r="O301" s="1306" t="e">
        <f t="shared" si="79"/>
        <v>#DIV/0!</v>
      </c>
      <c r="P301" s="1306">
        <f t="shared" si="79"/>
        <v>0</v>
      </c>
      <c r="Q301" s="1306">
        <f t="shared" si="79"/>
        <v>0</v>
      </c>
      <c r="R301" s="1306">
        <f t="shared" si="79"/>
        <v>0</v>
      </c>
      <c r="S301" s="1306">
        <f t="shared" si="79"/>
        <v>0</v>
      </c>
      <c r="T301" s="1306">
        <f t="shared" si="79"/>
        <v>0</v>
      </c>
      <c r="U301" s="1306" t="e">
        <f t="shared" si="79"/>
        <v>#DIV/0!</v>
      </c>
      <c r="V301" s="1306" t="e">
        <f t="shared" si="79"/>
        <v>#DIV/0!</v>
      </c>
      <c r="W301" s="1306">
        <f t="shared" si="79"/>
        <v>0</v>
      </c>
      <c r="X301" s="1306">
        <f t="shared" si="79"/>
        <v>0</v>
      </c>
      <c r="Y301" s="1306">
        <f t="shared" si="79"/>
        <v>0</v>
      </c>
      <c r="Z301" s="1306">
        <f t="shared" si="79"/>
        <v>0</v>
      </c>
      <c r="AA301" s="1306">
        <f t="shared" si="79"/>
        <v>0</v>
      </c>
      <c r="AB301" s="1306">
        <f t="shared" si="79"/>
        <v>0</v>
      </c>
      <c r="AC301" s="1306">
        <f t="shared" si="79"/>
        <v>0</v>
      </c>
      <c r="AD301" s="1306">
        <f t="shared" si="79"/>
        <v>0</v>
      </c>
      <c r="AE301" s="1306" t="e">
        <f t="shared" si="79"/>
        <v>#DIV/0!</v>
      </c>
      <c r="AF301" s="1306" t="e">
        <f t="shared" ref="AF301" si="80">SUMIF(AF290:AF300, "X", $AI290:$AI300)</f>
        <v>#DIV/0!</v>
      </c>
      <c r="AG301" s="1306">
        <f t="shared" ref="AG301" si="81">SUMIF(AG290:AG300, "X", $AI290:$AI300)</f>
        <v>0</v>
      </c>
      <c r="AH301" s="1306" t="e">
        <f t="shared" ref="AH301" si="82">SUMIF(AH290:AH300, "X", $AI290:$AI300)</f>
        <v>#DIV/0!</v>
      </c>
    </row>
    <row r="302" spans="1:36" s="1304" customFormat="1" ht="26.25" thickBot="1" x14ac:dyDescent="0.25">
      <c r="A302" s="1303"/>
      <c r="C302" s="1305" t="str">
        <f>'TRAD-Children YEAR(1)'!B119</f>
        <v>Nb de patients-mois / produit - AVEC SS</v>
      </c>
      <c r="D302" s="1309">
        <f t="shared" ref="D302:AH302" si="83">SUMIF(D290:D300, "X", $AJ290:$AJ300)</f>
        <v>0</v>
      </c>
      <c r="E302" s="1309">
        <f t="shared" si="83"/>
        <v>0</v>
      </c>
      <c r="F302" s="1309">
        <f t="shared" si="83"/>
        <v>0</v>
      </c>
      <c r="G302" s="1309">
        <f t="shared" si="83"/>
        <v>0</v>
      </c>
      <c r="H302" s="1309">
        <f t="shared" si="83"/>
        <v>0</v>
      </c>
      <c r="I302" s="1309" t="e">
        <f t="shared" si="83"/>
        <v>#DIV/0!</v>
      </c>
      <c r="J302" s="1309" t="e">
        <f t="shared" si="83"/>
        <v>#DIV/0!</v>
      </c>
      <c r="K302" s="1310" t="e">
        <f t="shared" si="83"/>
        <v>#DIV/0!</v>
      </c>
      <c r="L302" s="1311">
        <f t="shared" si="83"/>
        <v>0</v>
      </c>
      <c r="M302" s="1309" t="e">
        <f t="shared" si="83"/>
        <v>#DIV/0!</v>
      </c>
      <c r="N302" s="1309">
        <f t="shared" si="83"/>
        <v>0</v>
      </c>
      <c r="O302" s="1309" t="e">
        <f t="shared" si="83"/>
        <v>#DIV/0!</v>
      </c>
      <c r="P302" s="1309">
        <f t="shared" si="83"/>
        <v>0</v>
      </c>
      <c r="Q302" s="1309">
        <f t="shared" si="83"/>
        <v>0</v>
      </c>
      <c r="R302" s="1309">
        <f t="shared" si="83"/>
        <v>0</v>
      </c>
      <c r="S302" s="1309">
        <f t="shared" si="83"/>
        <v>0</v>
      </c>
      <c r="T302" s="1309">
        <f t="shared" si="83"/>
        <v>0</v>
      </c>
      <c r="U302" s="1309" t="e">
        <f t="shared" si="83"/>
        <v>#DIV/0!</v>
      </c>
      <c r="V302" s="1309" t="e">
        <f t="shared" si="83"/>
        <v>#DIV/0!</v>
      </c>
      <c r="W302" s="1309">
        <f t="shared" si="83"/>
        <v>0</v>
      </c>
      <c r="X302" s="1309">
        <f t="shared" si="83"/>
        <v>0</v>
      </c>
      <c r="Y302" s="1309">
        <f t="shared" si="83"/>
        <v>0</v>
      </c>
      <c r="Z302" s="1309">
        <f t="shared" si="83"/>
        <v>0</v>
      </c>
      <c r="AA302" s="1309">
        <f t="shared" si="83"/>
        <v>0</v>
      </c>
      <c r="AB302" s="1309">
        <f t="shared" si="83"/>
        <v>0</v>
      </c>
      <c r="AC302" s="1309">
        <f t="shared" si="83"/>
        <v>0</v>
      </c>
      <c r="AD302" s="1309">
        <f t="shared" si="83"/>
        <v>0</v>
      </c>
      <c r="AE302" s="1309" t="e">
        <f t="shared" si="83"/>
        <v>#DIV/0!</v>
      </c>
      <c r="AF302" s="1309" t="e">
        <f t="shared" si="83"/>
        <v>#DIV/0!</v>
      </c>
      <c r="AG302" s="1309">
        <f t="shared" si="83"/>
        <v>0</v>
      </c>
      <c r="AH302" s="1309" t="e">
        <f t="shared" si="83"/>
        <v>#DIV/0!</v>
      </c>
    </row>
    <row r="303" spans="1:36" s="1304" customFormat="1" ht="26.25" thickBot="1" x14ac:dyDescent="0.25">
      <c r="A303" s="1303"/>
      <c r="C303" s="1305" t="str">
        <f>'TRAD-Children YEAR(1)'!B120</f>
        <v>Nb de cdt - Estimation période SANS SS</v>
      </c>
      <c r="D303" s="1312">
        <f t="shared" ref="D303:U303" si="84">D301*D288</f>
        <v>0</v>
      </c>
      <c r="E303" s="1312">
        <f t="shared" si="84"/>
        <v>0</v>
      </c>
      <c r="F303" s="1312">
        <f t="shared" si="84"/>
        <v>0</v>
      </c>
      <c r="G303" s="1312">
        <f t="shared" si="84"/>
        <v>0</v>
      </c>
      <c r="H303" s="1312">
        <f t="shared" si="84"/>
        <v>0</v>
      </c>
      <c r="I303" s="1312" t="e">
        <f t="shared" si="84"/>
        <v>#DIV/0!</v>
      </c>
      <c r="J303" s="1312" t="e">
        <f t="shared" si="84"/>
        <v>#DIV/0!</v>
      </c>
      <c r="K303" s="1313" t="e">
        <f t="shared" si="84"/>
        <v>#DIV/0!</v>
      </c>
      <c r="L303" s="1314">
        <f t="shared" si="84"/>
        <v>0</v>
      </c>
      <c r="M303" s="1312" t="e">
        <f t="shared" si="84"/>
        <v>#DIV/0!</v>
      </c>
      <c r="N303" s="1312">
        <f t="shared" si="84"/>
        <v>0</v>
      </c>
      <c r="O303" s="1312" t="e">
        <f t="shared" si="84"/>
        <v>#DIV/0!</v>
      </c>
      <c r="P303" s="1312">
        <f t="shared" si="84"/>
        <v>0</v>
      </c>
      <c r="Q303" s="1312">
        <f t="shared" si="84"/>
        <v>0</v>
      </c>
      <c r="R303" s="1312">
        <f t="shared" ref="R303" si="85">R301*R288</f>
        <v>0</v>
      </c>
      <c r="S303" s="1312">
        <f t="shared" si="84"/>
        <v>0</v>
      </c>
      <c r="T303" s="1312">
        <f t="shared" si="84"/>
        <v>0</v>
      </c>
      <c r="U303" s="1312" t="e">
        <f t="shared" si="84"/>
        <v>#DIV/0!</v>
      </c>
      <c r="V303" s="1312" t="e">
        <f t="shared" ref="V303:AH303" si="86">V301*V288</f>
        <v>#DIV/0!</v>
      </c>
      <c r="W303" s="1312">
        <f t="shared" ref="W303:Y303" si="87">W301*W288</f>
        <v>0</v>
      </c>
      <c r="X303" s="1312">
        <f t="shared" ref="X303" si="88">X301*X288</f>
        <v>0</v>
      </c>
      <c r="Y303" s="1312">
        <f t="shared" si="87"/>
        <v>0</v>
      </c>
      <c r="Z303" s="1312">
        <f t="shared" si="86"/>
        <v>0</v>
      </c>
      <c r="AA303" s="1312">
        <f t="shared" si="86"/>
        <v>0</v>
      </c>
      <c r="AB303" s="1312">
        <f t="shared" si="86"/>
        <v>0</v>
      </c>
      <c r="AC303" s="1312">
        <f t="shared" si="86"/>
        <v>0</v>
      </c>
      <c r="AD303" s="1312">
        <f t="shared" si="86"/>
        <v>0</v>
      </c>
      <c r="AE303" s="1312" t="e">
        <f t="shared" ref="AE303" si="89">AE301*AE288</f>
        <v>#DIV/0!</v>
      </c>
      <c r="AF303" s="1312" t="e">
        <f t="shared" si="86"/>
        <v>#DIV/0!</v>
      </c>
      <c r="AG303" s="1312">
        <f t="shared" si="86"/>
        <v>0</v>
      </c>
      <c r="AH303" s="1312" t="e">
        <f t="shared" si="86"/>
        <v>#DIV/0!</v>
      </c>
    </row>
    <row r="304" spans="1:36" s="1304" customFormat="1" ht="26.25" thickBot="1" x14ac:dyDescent="0.25">
      <c r="A304" s="1303"/>
      <c r="C304" s="1305" t="str">
        <f>'TRAD-Children YEAR(1)'!B121</f>
        <v>Nb de cdt - Estimation période AVEC SS</v>
      </c>
      <c r="D304" s="1315">
        <f t="shared" ref="D304:U304" si="90">D302*D288</f>
        <v>0</v>
      </c>
      <c r="E304" s="1315">
        <f t="shared" si="90"/>
        <v>0</v>
      </c>
      <c r="F304" s="1315">
        <f t="shared" si="90"/>
        <v>0</v>
      </c>
      <c r="G304" s="1315">
        <f t="shared" si="90"/>
        <v>0</v>
      </c>
      <c r="H304" s="1315">
        <f t="shared" si="90"/>
        <v>0</v>
      </c>
      <c r="I304" s="1315" t="e">
        <f t="shared" si="90"/>
        <v>#DIV/0!</v>
      </c>
      <c r="J304" s="1315" t="e">
        <f t="shared" si="90"/>
        <v>#DIV/0!</v>
      </c>
      <c r="K304" s="1316" t="e">
        <f t="shared" si="90"/>
        <v>#DIV/0!</v>
      </c>
      <c r="L304" s="1317">
        <f t="shared" si="90"/>
        <v>0</v>
      </c>
      <c r="M304" s="1315" t="e">
        <f t="shared" si="90"/>
        <v>#DIV/0!</v>
      </c>
      <c r="N304" s="1315">
        <f t="shared" si="90"/>
        <v>0</v>
      </c>
      <c r="O304" s="1315" t="e">
        <f t="shared" si="90"/>
        <v>#DIV/0!</v>
      </c>
      <c r="P304" s="1315">
        <f t="shared" si="90"/>
        <v>0</v>
      </c>
      <c r="Q304" s="1315">
        <f t="shared" si="90"/>
        <v>0</v>
      </c>
      <c r="R304" s="1315">
        <f t="shared" ref="R304" si="91">R302*R288</f>
        <v>0</v>
      </c>
      <c r="S304" s="1315">
        <f t="shared" si="90"/>
        <v>0</v>
      </c>
      <c r="T304" s="1315">
        <f t="shared" si="90"/>
        <v>0</v>
      </c>
      <c r="U304" s="1315" t="e">
        <f t="shared" si="90"/>
        <v>#DIV/0!</v>
      </c>
      <c r="V304" s="1315" t="e">
        <f t="shared" ref="V304:AH304" si="92">V302*V288</f>
        <v>#DIV/0!</v>
      </c>
      <c r="W304" s="1315">
        <f t="shared" ref="W304:Y304" si="93">W302*W288</f>
        <v>0</v>
      </c>
      <c r="X304" s="1315">
        <f t="shared" ref="X304" si="94">X302*X288</f>
        <v>0</v>
      </c>
      <c r="Y304" s="1315">
        <f t="shared" si="93"/>
        <v>0</v>
      </c>
      <c r="Z304" s="1315">
        <f t="shared" si="92"/>
        <v>0</v>
      </c>
      <c r="AA304" s="1315">
        <f t="shared" si="92"/>
        <v>0</v>
      </c>
      <c r="AB304" s="1315">
        <f t="shared" si="92"/>
        <v>0</v>
      </c>
      <c r="AC304" s="1315">
        <f t="shared" si="92"/>
        <v>0</v>
      </c>
      <c r="AD304" s="1315">
        <f t="shared" si="92"/>
        <v>0</v>
      </c>
      <c r="AE304" s="1315" t="e">
        <f t="shared" ref="AE304" si="95">AE302*AE288</f>
        <v>#DIV/0!</v>
      </c>
      <c r="AF304" s="1315" t="e">
        <f t="shared" si="92"/>
        <v>#DIV/0!</v>
      </c>
      <c r="AG304" s="1315">
        <f t="shared" si="92"/>
        <v>0</v>
      </c>
      <c r="AH304" s="1315" t="e">
        <f t="shared" si="92"/>
        <v>#DIV/0!</v>
      </c>
    </row>
    <row r="305" spans="1:36" s="1279" customFormat="1" x14ac:dyDescent="0.2">
      <c r="A305" s="1282"/>
    </row>
    <row r="306" spans="1:36" s="1279" customFormat="1" ht="13.5" thickBot="1" x14ac:dyDescent="0.25">
      <c r="A306" s="1282"/>
    </row>
    <row r="307" spans="1:36" s="1279" customFormat="1" ht="13.5" thickBot="1" x14ac:dyDescent="0.25">
      <c r="A307" s="1282"/>
      <c r="B307" s="1283" t="str">
        <f>'TRAD-Children YEAR(1)'!B125</f>
        <v>Tranche 15 -19,9 kg</v>
      </c>
      <c r="C307" s="1284"/>
      <c r="D307" s="1285"/>
      <c r="E307" s="1285"/>
      <c r="F307" s="1285"/>
      <c r="G307" s="1285"/>
      <c r="H307" s="1285"/>
      <c r="I307" s="1286"/>
    </row>
    <row r="308" spans="1:36" s="1279" customFormat="1" ht="13.5" thickBot="1" x14ac:dyDescent="0.25">
      <c r="A308" s="1282"/>
      <c r="B308" s="1323"/>
      <c r="C308" s="1324"/>
      <c r="D308" s="1325"/>
      <c r="E308" s="1325"/>
      <c r="F308" s="1325"/>
      <c r="G308" s="1325"/>
      <c r="H308" s="1325"/>
      <c r="I308" s="1325"/>
    </row>
    <row r="309" spans="1:36" s="1279" customFormat="1" ht="26.25" thickBot="1" x14ac:dyDescent="0.25">
      <c r="A309" s="1282"/>
      <c r="D309" s="1287" t="str">
        <f>'TRAD-Children YEAR(1)'!B90</f>
        <v>Solutions buvables</v>
      </c>
      <c r="E309" s="1288"/>
      <c r="F309" s="1288"/>
      <c r="G309" s="1288"/>
      <c r="H309" s="1288"/>
      <c r="I309" s="1288"/>
      <c r="J309" s="1284"/>
      <c r="K309" s="1284"/>
      <c r="L309" s="1289" t="str">
        <f>'TRAD-Children YEAR(1)'!B91</f>
        <v>Comprimés</v>
      </c>
      <c r="M309" s="1284"/>
      <c r="N309" s="1284"/>
      <c r="O309" s="1284"/>
      <c r="P309" s="1284"/>
      <c r="Q309" s="1284"/>
      <c r="R309" s="1284"/>
      <c r="S309" s="1284"/>
      <c r="T309" s="1284"/>
      <c r="U309" s="1284"/>
      <c r="V309" s="1284"/>
      <c r="W309" s="1945"/>
      <c r="X309" s="1945"/>
      <c r="Y309" s="1945"/>
      <c r="Z309" s="1284"/>
      <c r="AA309" s="1284"/>
      <c r="AB309" s="1284"/>
      <c r="AC309" s="1284"/>
      <c r="AD309" s="1284"/>
      <c r="AE309" s="1284"/>
      <c r="AF309" s="1284"/>
      <c r="AG309" s="1284"/>
      <c r="AH309" s="1284"/>
    </row>
    <row r="310" spans="1:36" s="1292" customFormat="1" ht="25.5" x14ac:dyDescent="0.2">
      <c r="A310" s="1291"/>
      <c r="C310" s="1332" t="str">
        <f>'TRAD-Children YEAR(1)'!B113</f>
        <v>Nb de boites / mois pour l'ensemble des patients</v>
      </c>
      <c r="D310" s="1329" t="s">
        <v>39</v>
      </c>
      <c r="E310" s="1329" t="s">
        <v>61</v>
      </c>
      <c r="F310" s="1329" t="s">
        <v>15</v>
      </c>
      <c r="G310" s="1329" t="s">
        <v>25</v>
      </c>
      <c r="H310" s="1329" t="s">
        <v>28</v>
      </c>
      <c r="I310" s="1329" t="s">
        <v>19</v>
      </c>
      <c r="J310" s="1329" t="s">
        <v>17</v>
      </c>
      <c r="K310" s="1333" t="s">
        <v>33</v>
      </c>
      <c r="L310" s="1334" t="s">
        <v>7</v>
      </c>
      <c r="M310" s="1330" t="s">
        <v>386</v>
      </c>
      <c r="N310" s="1330" t="s">
        <v>11</v>
      </c>
      <c r="O310" s="1330" t="s">
        <v>387</v>
      </c>
      <c r="P310" s="1330" t="s">
        <v>50</v>
      </c>
      <c r="Q310" s="1330" t="s">
        <v>392</v>
      </c>
      <c r="R310" s="1330" t="s">
        <v>81</v>
      </c>
      <c r="S310" s="1330" t="s">
        <v>140</v>
      </c>
      <c r="T310" s="1330" t="s">
        <v>635</v>
      </c>
      <c r="U310" s="1330" t="s">
        <v>586</v>
      </c>
      <c r="V310" s="1330" t="s">
        <v>575</v>
      </c>
      <c r="W310" s="1946"/>
      <c r="X310" s="1946"/>
      <c r="Y310" s="1946"/>
      <c r="Z310" s="1422" t="s">
        <v>15</v>
      </c>
      <c r="AA310" s="1330" t="s">
        <v>25</v>
      </c>
      <c r="AB310" s="1330" t="s">
        <v>648</v>
      </c>
      <c r="AC310" s="1330" t="s">
        <v>28</v>
      </c>
      <c r="AD310" s="1422" t="s">
        <v>19</v>
      </c>
      <c r="AE310" s="1586" t="s">
        <v>19</v>
      </c>
      <c r="AF310" s="1422" t="s">
        <v>17</v>
      </c>
      <c r="AG310" s="1330" t="s">
        <v>33</v>
      </c>
      <c r="AH310" s="1335" t="s">
        <v>638</v>
      </c>
    </row>
    <row r="311" spans="1:36" s="1292" customFormat="1" ht="77.25" thickBot="1" x14ac:dyDescent="0.25">
      <c r="A311" s="1291"/>
      <c r="C311" s="1332" t="str">
        <f>'TRAD-Children YEAR(1)'!B114</f>
        <v>Dosage</v>
      </c>
      <c r="D311" s="1329" t="s">
        <v>41</v>
      </c>
      <c r="E311" s="1329" t="s">
        <v>41</v>
      </c>
      <c r="F311" s="1329" t="s">
        <v>41</v>
      </c>
      <c r="G311" s="1329" t="s">
        <v>44</v>
      </c>
      <c r="H311" s="1329" t="s">
        <v>46</v>
      </c>
      <c r="I311" s="1329" t="s">
        <v>41</v>
      </c>
      <c r="J311" s="1329" t="s">
        <v>259</v>
      </c>
      <c r="K311" s="1333" t="s">
        <v>47</v>
      </c>
      <c r="L311" s="1336" t="s">
        <v>9</v>
      </c>
      <c r="M311" s="1331" t="s">
        <v>384</v>
      </c>
      <c r="N311" s="1331" t="s">
        <v>12</v>
      </c>
      <c r="O311" s="1331" t="s">
        <v>382</v>
      </c>
      <c r="P311" s="1331" t="s">
        <v>80</v>
      </c>
      <c r="Q311" s="1331" t="s">
        <v>131</v>
      </c>
      <c r="R311" s="1331" t="s">
        <v>733</v>
      </c>
      <c r="S311" s="1331" t="s">
        <v>334</v>
      </c>
      <c r="T311" s="1331" t="s">
        <v>636</v>
      </c>
      <c r="U311" s="1331" t="s">
        <v>649</v>
      </c>
      <c r="V311" s="1331" t="s">
        <v>636</v>
      </c>
      <c r="W311" s="1331"/>
      <c r="X311" s="1331"/>
      <c r="Y311" s="1331"/>
      <c r="Z311" s="1424" t="s">
        <v>16</v>
      </c>
      <c r="AA311" s="1331" t="s">
        <v>23</v>
      </c>
      <c r="AB311" s="1331" t="s">
        <v>639</v>
      </c>
      <c r="AC311" s="1331" t="s">
        <v>29</v>
      </c>
      <c r="AD311" s="1424" t="s">
        <v>20</v>
      </c>
      <c r="AE311" s="1424" t="s">
        <v>248</v>
      </c>
      <c r="AF311" s="1424" t="s">
        <v>20</v>
      </c>
      <c r="AG311" s="1331" t="s">
        <v>34</v>
      </c>
      <c r="AH311" s="1337" t="s">
        <v>637</v>
      </c>
      <c r="AI311" s="1320" t="str">
        <f>'TRAD-Children YEAR(1)'!B126</f>
        <v>Répartition des patients mois / tranches de poids</v>
      </c>
    </row>
    <row r="312" spans="1:36" s="1279" customFormat="1" ht="26.25" thickBot="1" x14ac:dyDescent="0.25">
      <c r="A312" s="1282"/>
      <c r="C312" s="1332" t="str">
        <f>'TRAD-Children YEAR(1)'!B115</f>
        <v>Nb de cdt/mois pour la tranche</v>
      </c>
      <c r="D312" s="1404">
        <f t="array" ref="D312:AH312">TRANSPOSE($F$224:$F$254)</f>
        <v>3.75</v>
      </c>
      <c r="E312" s="1404">
        <v>3.75</v>
      </c>
      <c r="F312" s="1404">
        <v>1.875</v>
      </c>
      <c r="G312" s="1404">
        <v>1.875</v>
      </c>
      <c r="H312" s="1404">
        <v>3</v>
      </c>
      <c r="I312" s="1404">
        <v>3</v>
      </c>
      <c r="J312" s="1404">
        <v>2.1666666666666665</v>
      </c>
      <c r="K312" s="1405">
        <v>2.5</v>
      </c>
      <c r="L312" s="1406">
        <v>1</v>
      </c>
      <c r="M312" s="1407">
        <v>2.5</v>
      </c>
      <c r="N312" s="1407">
        <v>1</v>
      </c>
      <c r="O312" s="1407">
        <v>2.5</v>
      </c>
      <c r="P312" s="1407">
        <v>1</v>
      </c>
      <c r="Q312" s="1407">
        <v>2.5</v>
      </c>
      <c r="R312" s="1407">
        <v>2.5</v>
      </c>
      <c r="S312" s="1407">
        <v>1</v>
      </c>
      <c r="T312" s="1407">
        <v>2.5</v>
      </c>
      <c r="U312" s="1407">
        <v>1</v>
      </c>
      <c r="V312" s="1407">
        <v>2.5</v>
      </c>
      <c r="W312" s="1407">
        <v>0</v>
      </c>
      <c r="X312" s="1407">
        <v>0</v>
      </c>
      <c r="Y312" s="1407">
        <v>0</v>
      </c>
      <c r="Z312" s="1407">
        <v>0.5</v>
      </c>
      <c r="AA312" s="1407">
        <v>0.5</v>
      </c>
      <c r="AB312" s="1407">
        <v>2.5</v>
      </c>
      <c r="AC312" s="1407">
        <v>0</v>
      </c>
      <c r="AD312" s="1407">
        <v>0.75</v>
      </c>
      <c r="AE312" s="1407">
        <v>2.5</v>
      </c>
      <c r="AF312" s="1407">
        <v>1.5</v>
      </c>
      <c r="AG312" s="1407">
        <v>0.5</v>
      </c>
      <c r="AH312" s="1407">
        <v>2</v>
      </c>
      <c r="AI312" s="1338" t="s">
        <v>659</v>
      </c>
      <c r="AJ312" s="1281"/>
    </row>
    <row r="313" spans="1:36" s="1279" customFormat="1" ht="63.75" x14ac:dyDescent="0.2">
      <c r="A313" s="1282"/>
      <c r="B313" s="1293" t="str">
        <f>'TRAD-Children YEAR(1)'!B6</f>
        <v>Schéma thérapeutique</v>
      </c>
      <c r="C313" s="1332" t="str">
        <f>'TRAD-Children YEAR(1)'!B116</f>
        <v>Premières lignes</v>
      </c>
      <c r="D313" s="1297"/>
      <c r="E313" s="1297"/>
      <c r="F313" s="1297"/>
      <c r="G313" s="1297"/>
      <c r="H313" s="1297"/>
      <c r="I313" s="1297"/>
      <c r="J313" s="1297"/>
      <c r="K313" s="1298"/>
      <c r="L313" s="1299"/>
      <c r="M313" s="1297"/>
      <c r="N313" s="1297"/>
      <c r="O313" s="1297"/>
      <c r="P313" s="1297"/>
      <c r="Q313" s="1297"/>
      <c r="R313" s="1297"/>
      <c r="S313" s="1297"/>
      <c r="T313" s="1297"/>
      <c r="U313" s="1297"/>
      <c r="V313" s="1297"/>
      <c r="W313" s="1297"/>
      <c r="X313" s="1297"/>
      <c r="Y313" s="1297"/>
      <c r="Z313" s="1297"/>
      <c r="AA313" s="1297"/>
      <c r="AB313" s="1297"/>
      <c r="AC313" s="1297"/>
      <c r="AD313" s="1297"/>
      <c r="AE313" s="1297"/>
      <c r="AF313" s="1297"/>
      <c r="AG313" s="1297"/>
      <c r="AH313" s="1297"/>
      <c r="AI313" s="1318" t="str">
        <f>'TRAD-Children YEAR(1)'!B122</f>
        <v>nb de patients mois période quantifiée</v>
      </c>
      <c r="AJ313" s="1318" t="str">
        <f>'TRAD-Children YEAR(1)'!B123</f>
        <v>nb de patients mois avec période de sécurité</v>
      </c>
    </row>
    <row r="314" spans="1:36" s="1279" customFormat="1" ht="15" x14ac:dyDescent="0.25">
      <c r="A314" s="1282"/>
      <c r="C314" s="1319" t="str">
        <f t="array" ref="C314:C319">'Data &amp; hypothesis Children'!$C$26:$C$31</f>
        <v>D4T+3TC+NVP</v>
      </c>
      <c r="D314" s="1175">
        <f>'Data &amp; hypothesis Children'!C155</f>
        <v>0</v>
      </c>
      <c r="E314" s="1175">
        <f>'Data &amp; hypothesis Children'!D155</f>
        <v>0</v>
      </c>
      <c r="F314" s="1175">
        <f>'Data &amp; hypothesis Children'!E155</f>
        <v>0</v>
      </c>
      <c r="G314" s="1175">
        <f>'Data &amp; hypothesis Children'!F155</f>
        <v>0</v>
      </c>
      <c r="H314" s="1175">
        <f>'Data &amp; hypothesis Children'!G155</f>
        <v>0</v>
      </c>
      <c r="I314" s="1175">
        <f>'Data &amp; hypothesis Children'!H155</f>
        <v>0</v>
      </c>
      <c r="J314" s="1175">
        <f>'Data &amp; hypothesis Children'!I155</f>
        <v>0</v>
      </c>
      <c r="K314" s="1413">
        <f>'Data &amp; hypothesis Children'!J155</f>
        <v>0</v>
      </c>
      <c r="L314" s="1414">
        <f>'Data &amp; hypothesis Children'!K155</f>
        <v>0</v>
      </c>
      <c r="M314" s="1175">
        <f>'Data &amp; hypothesis Children'!L155</f>
        <v>0</v>
      </c>
      <c r="N314" s="1175">
        <f>'Data &amp; hypothesis Children'!M155</f>
        <v>0</v>
      </c>
      <c r="O314" s="1175">
        <f>'Data &amp; hypothesis Children'!N155</f>
        <v>0</v>
      </c>
      <c r="P314" s="1175">
        <f>'Data &amp; hypothesis Children'!O155</f>
        <v>0</v>
      </c>
      <c r="Q314" s="1175" t="str">
        <f>'Data &amp; hypothesis Children'!P155</f>
        <v>X</v>
      </c>
      <c r="R314" s="1175">
        <f>'Data &amp; hypothesis Children'!Q155</f>
        <v>0</v>
      </c>
      <c r="S314" s="1175">
        <f>'Data &amp; hypothesis Children'!R155</f>
        <v>0</v>
      </c>
      <c r="T314" s="1175">
        <f>'Data &amp; hypothesis Children'!S155</f>
        <v>0</v>
      </c>
      <c r="U314" s="1175">
        <f>'Data &amp; hypothesis Children'!T155</f>
        <v>0</v>
      </c>
      <c r="V314" s="1175">
        <f>'Data &amp; hypothesis Children'!U155</f>
        <v>0</v>
      </c>
      <c r="W314" s="1175">
        <f>'Data &amp; hypothesis Children'!V155</f>
        <v>0</v>
      </c>
      <c r="X314" s="1175">
        <f>'Data &amp; hypothesis Children'!W155</f>
        <v>0</v>
      </c>
      <c r="Y314" s="1175">
        <f>'Data &amp; hypothesis Children'!X155</f>
        <v>0</v>
      </c>
      <c r="Z314" s="1175">
        <f>'Data &amp; hypothesis Children'!Y155</f>
        <v>0</v>
      </c>
      <c r="AA314" s="1175">
        <f>'Data &amp; hypothesis Children'!Z155</f>
        <v>0</v>
      </c>
      <c r="AB314" s="1175">
        <f>'Data &amp; hypothesis Children'!AA155</f>
        <v>0</v>
      </c>
      <c r="AC314" s="1175">
        <f>'Data &amp; hypothesis Children'!AB155</f>
        <v>0</v>
      </c>
      <c r="AD314" s="1175">
        <f>'Data &amp; hypothesis Children'!AC155</f>
        <v>0</v>
      </c>
      <c r="AE314" s="1175">
        <f>'Data &amp; hypothesis Children'!AD155</f>
        <v>0</v>
      </c>
      <c r="AF314" s="1175">
        <f>'Data &amp; hypothesis Children'!AE155</f>
        <v>0</v>
      </c>
      <c r="AG314" s="1175">
        <f>'Data &amp; hypothesis Children'!AF155</f>
        <v>0</v>
      </c>
      <c r="AH314" s="1415">
        <f>'Data &amp; hypothesis Children'!AG155</f>
        <v>0</v>
      </c>
      <c r="AI314" s="1339" t="e">
        <f t="shared" ref="AI314:AI319" si="96">H69</f>
        <v>#DIV/0!</v>
      </c>
      <c r="AJ314" s="1340" t="e">
        <f t="shared" ref="AJ314:AJ319" si="97">H85</f>
        <v>#DIV/0!</v>
      </c>
    </row>
    <row r="315" spans="1:36" s="1279" customFormat="1" ht="15" x14ac:dyDescent="0.25">
      <c r="A315" s="1282"/>
      <c r="C315" s="1319" t="str">
        <v>AZT+3TC+NVP</v>
      </c>
      <c r="D315" s="1175">
        <f>'Data &amp; hypothesis Children'!C156</f>
        <v>0</v>
      </c>
      <c r="E315" s="1175">
        <f>'Data &amp; hypothesis Children'!D156</f>
        <v>0</v>
      </c>
      <c r="F315" s="1175">
        <f>'Data &amp; hypothesis Children'!E156</f>
        <v>0</v>
      </c>
      <c r="G315" s="1175">
        <f>'Data &amp; hypothesis Children'!F156</f>
        <v>0</v>
      </c>
      <c r="H315" s="1175">
        <f>'Data &amp; hypothesis Children'!G156</f>
        <v>0</v>
      </c>
      <c r="I315" s="1175">
        <f>'Data &amp; hypothesis Children'!H156</f>
        <v>0</v>
      </c>
      <c r="J315" s="1175">
        <f>'Data &amp; hypothesis Children'!I156</f>
        <v>0</v>
      </c>
      <c r="K315" s="1413">
        <f>'Data &amp; hypothesis Children'!J156</f>
        <v>0</v>
      </c>
      <c r="L315" s="1414">
        <f>'Data &amp; hypothesis Children'!K156</f>
        <v>0</v>
      </c>
      <c r="M315" s="1175" t="str">
        <f>'Data &amp; hypothesis Children'!L156</f>
        <v>X</v>
      </c>
      <c r="N315" s="1175">
        <f>'Data &amp; hypothesis Children'!M156</f>
        <v>0</v>
      </c>
      <c r="O315" s="1175">
        <f>'Data &amp; hypothesis Children'!N156</f>
        <v>0</v>
      </c>
      <c r="P315" s="1175">
        <f>'Data &amp; hypothesis Children'!O156</f>
        <v>0</v>
      </c>
      <c r="Q315" s="1175">
        <f>'Data &amp; hypothesis Children'!P156</f>
        <v>0</v>
      </c>
      <c r="R315" s="1175">
        <f>'Data &amp; hypothesis Children'!Q156</f>
        <v>0</v>
      </c>
      <c r="S315" s="1175">
        <f>'Data &amp; hypothesis Children'!R156</f>
        <v>0</v>
      </c>
      <c r="T315" s="1175">
        <f>'Data &amp; hypothesis Children'!S156</f>
        <v>0</v>
      </c>
      <c r="U315" s="1175">
        <f>'Data &amp; hypothesis Children'!T156</f>
        <v>0</v>
      </c>
      <c r="V315" s="1175">
        <f>'Data &amp; hypothesis Children'!U156</f>
        <v>0</v>
      </c>
      <c r="W315" s="1175">
        <f>'Data &amp; hypothesis Children'!V156</f>
        <v>0</v>
      </c>
      <c r="X315" s="1175">
        <f>'Data &amp; hypothesis Children'!W156</f>
        <v>0</v>
      </c>
      <c r="Y315" s="1175">
        <f>'Data &amp; hypothesis Children'!X156</f>
        <v>0</v>
      </c>
      <c r="Z315" s="1175">
        <f>'Data &amp; hypothesis Children'!Y156</f>
        <v>0</v>
      </c>
      <c r="AA315" s="1175">
        <f>'Data &amp; hypothesis Children'!Z156</f>
        <v>0</v>
      </c>
      <c r="AB315" s="1175">
        <f>'Data &amp; hypothesis Children'!AA156</f>
        <v>0</v>
      </c>
      <c r="AC315" s="1175">
        <f>'Data &amp; hypothesis Children'!AB156</f>
        <v>0</v>
      </c>
      <c r="AD315" s="1175">
        <f>'Data &amp; hypothesis Children'!AC156</f>
        <v>0</v>
      </c>
      <c r="AE315" s="1175">
        <f>'Data &amp; hypothesis Children'!AD156</f>
        <v>0</v>
      </c>
      <c r="AF315" s="1175">
        <f>'Data &amp; hypothesis Children'!AE156</f>
        <v>0</v>
      </c>
      <c r="AG315" s="1175">
        <f>'Data &amp; hypothesis Children'!AF156</f>
        <v>0</v>
      </c>
      <c r="AH315" s="1415">
        <f>'Data &amp; hypothesis Children'!AG156</f>
        <v>0</v>
      </c>
      <c r="AI315" s="1339" t="e">
        <f t="shared" si="96"/>
        <v>#DIV/0!</v>
      </c>
      <c r="AJ315" s="1340" t="e">
        <f t="shared" si="97"/>
        <v>#DIV/0!</v>
      </c>
    </row>
    <row r="316" spans="1:36" s="1279" customFormat="1" ht="15" x14ac:dyDescent="0.25">
      <c r="A316" s="1282"/>
      <c r="C316" s="1319" t="str">
        <v>AZT+3TC+EFV</v>
      </c>
      <c r="D316" s="1175">
        <f>'Data &amp; hypothesis Children'!C157</f>
        <v>0</v>
      </c>
      <c r="E316" s="1175">
        <f>'Data &amp; hypothesis Children'!D157</f>
        <v>0</v>
      </c>
      <c r="F316" s="1175">
        <f>'Data &amp; hypothesis Children'!E157</f>
        <v>0</v>
      </c>
      <c r="G316" s="1175">
        <f>'Data &amp; hypothesis Children'!F157</f>
        <v>0</v>
      </c>
      <c r="H316" s="1175">
        <f>'Data &amp; hypothesis Children'!G157</f>
        <v>0</v>
      </c>
      <c r="I316" s="1175">
        <f>'Data &amp; hypothesis Children'!H157</f>
        <v>0</v>
      </c>
      <c r="J316" s="1175">
        <f>'Data &amp; hypothesis Children'!I157</f>
        <v>0</v>
      </c>
      <c r="K316" s="1413">
        <f>'Data &amp; hypothesis Children'!J157</f>
        <v>0</v>
      </c>
      <c r="L316" s="1414">
        <f>'Data &amp; hypothesis Children'!K157</f>
        <v>0</v>
      </c>
      <c r="M316" s="1175">
        <f>'Data &amp; hypothesis Children'!L157</f>
        <v>0</v>
      </c>
      <c r="N316" s="1175">
        <f>'Data &amp; hypothesis Children'!M157</f>
        <v>0</v>
      </c>
      <c r="O316" s="1175" t="str">
        <f>'Data &amp; hypothesis Children'!N157</f>
        <v>X</v>
      </c>
      <c r="P316" s="1175">
        <f>'Data &amp; hypothesis Children'!O157</f>
        <v>0</v>
      </c>
      <c r="Q316" s="1175">
        <f>'Data &amp; hypothesis Children'!P157</f>
        <v>0</v>
      </c>
      <c r="R316" s="1175">
        <f>'Data &amp; hypothesis Children'!Q157</f>
        <v>0</v>
      </c>
      <c r="S316" s="1175">
        <f>'Data &amp; hypothesis Children'!R157</f>
        <v>0</v>
      </c>
      <c r="T316" s="1175">
        <f>'Data &amp; hypothesis Children'!S157</f>
        <v>0</v>
      </c>
      <c r="U316" s="1175">
        <f>'Data &amp; hypothesis Children'!T157</f>
        <v>0</v>
      </c>
      <c r="V316" s="1175">
        <f>'Data &amp; hypothesis Children'!U157</f>
        <v>0</v>
      </c>
      <c r="W316" s="1175">
        <f>'Data &amp; hypothesis Children'!V157</f>
        <v>0</v>
      </c>
      <c r="X316" s="1175">
        <f>'Data &amp; hypothesis Children'!W157</f>
        <v>0</v>
      </c>
      <c r="Y316" s="1175">
        <f>'Data &amp; hypothesis Children'!X157</f>
        <v>0</v>
      </c>
      <c r="Z316" s="1175">
        <f>'Data &amp; hypothesis Children'!Y157</f>
        <v>0</v>
      </c>
      <c r="AA316" s="1175">
        <f>'Data &amp; hypothesis Children'!Z157</f>
        <v>0</v>
      </c>
      <c r="AB316" s="1175">
        <f>'Data &amp; hypothesis Children'!AA157</f>
        <v>0</v>
      </c>
      <c r="AC316" s="1175">
        <f>'Data &amp; hypothesis Children'!AB157</f>
        <v>0</v>
      </c>
      <c r="AD316" s="1175">
        <f>'Data &amp; hypothesis Children'!AC157</f>
        <v>0</v>
      </c>
      <c r="AE316" s="1175">
        <f>'Data &amp; hypothesis Children'!AD157</f>
        <v>0</v>
      </c>
      <c r="AF316" s="1175" t="str">
        <f>'Data &amp; hypothesis Children'!AE157</f>
        <v>X</v>
      </c>
      <c r="AG316" s="1175">
        <f>'Data &amp; hypothesis Children'!AF157</f>
        <v>0</v>
      </c>
      <c r="AH316" s="1415">
        <f>'Data &amp; hypothesis Children'!AG157</f>
        <v>0</v>
      </c>
      <c r="AI316" s="1339" t="e">
        <f t="shared" si="96"/>
        <v>#DIV/0!</v>
      </c>
      <c r="AJ316" s="1340" t="e">
        <f t="shared" si="97"/>
        <v>#DIV/0!</v>
      </c>
    </row>
    <row r="317" spans="1:36" s="1279" customFormat="1" ht="15" x14ac:dyDescent="0.25">
      <c r="A317" s="1282"/>
      <c r="C317" s="1319" t="str">
        <v>LPV/r+3TC+ABC</v>
      </c>
      <c r="D317" s="1175">
        <f>'Data &amp; hypothesis Children'!C158</f>
        <v>0</v>
      </c>
      <c r="E317" s="1175">
        <f>'Data &amp; hypothesis Children'!D158</f>
        <v>0</v>
      </c>
      <c r="F317" s="1175">
        <f>'Data &amp; hypothesis Children'!E158</f>
        <v>0</v>
      </c>
      <c r="G317" s="1175">
        <f>'Data &amp; hypothesis Children'!F158</f>
        <v>0</v>
      </c>
      <c r="H317" s="1175">
        <f>'Data &amp; hypothesis Children'!G158</f>
        <v>0</v>
      </c>
      <c r="I317" s="1175">
        <f>'Data &amp; hypothesis Children'!H158</f>
        <v>0</v>
      </c>
      <c r="J317" s="1175">
        <f>'Data &amp; hypothesis Children'!I158</f>
        <v>0</v>
      </c>
      <c r="K317" s="1413">
        <f>'Data &amp; hypothesis Children'!J158</f>
        <v>0</v>
      </c>
      <c r="L317" s="1414">
        <f>'Data &amp; hypothesis Children'!K158</f>
        <v>0</v>
      </c>
      <c r="M317" s="1175">
        <f>'Data &amp; hypothesis Children'!L158</f>
        <v>0</v>
      </c>
      <c r="N317" s="1175">
        <f>'Data &amp; hypothesis Children'!M158</f>
        <v>0</v>
      </c>
      <c r="O317" s="1175">
        <f>'Data &amp; hypothesis Children'!N158</f>
        <v>0</v>
      </c>
      <c r="P317" s="1175">
        <f>'Data &amp; hypothesis Children'!O158</f>
        <v>0</v>
      </c>
      <c r="Q317" s="1175">
        <f>'Data &amp; hypothesis Children'!P158</f>
        <v>0</v>
      </c>
      <c r="R317" s="1175">
        <f>'Data &amp; hypothesis Children'!Q158</f>
        <v>0</v>
      </c>
      <c r="S317" s="1175">
        <f>'Data &amp; hypothesis Children'!R158</f>
        <v>0</v>
      </c>
      <c r="T317" s="1175">
        <f>'Data &amp; hypothesis Children'!S158</f>
        <v>0</v>
      </c>
      <c r="U317" s="1175">
        <f>'Data &amp; hypothesis Children'!T158</f>
        <v>0</v>
      </c>
      <c r="V317" s="1175">
        <f>'Data &amp; hypothesis Children'!U158</f>
        <v>0</v>
      </c>
      <c r="W317" s="1175">
        <f>'Data &amp; hypothesis Children'!V158</f>
        <v>0</v>
      </c>
      <c r="X317" s="1175">
        <f>'Data &amp; hypothesis Children'!W158</f>
        <v>0</v>
      </c>
      <c r="Y317" s="1175">
        <f>'Data &amp; hypothesis Children'!X158</f>
        <v>0</v>
      </c>
      <c r="Z317" s="1175">
        <f>'Data &amp; hypothesis Children'!Y158</f>
        <v>0</v>
      </c>
      <c r="AA317" s="1175">
        <f>'Data &amp; hypothesis Children'!Z158</f>
        <v>0</v>
      </c>
      <c r="AB317" s="1175">
        <f>'Data &amp; hypothesis Children'!AA158</f>
        <v>0</v>
      </c>
      <c r="AC317" s="1175">
        <f>'Data &amp; hypothesis Children'!AB158</f>
        <v>0</v>
      </c>
      <c r="AD317" s="1175">
        <f>'Data &amp; hypothesis Children'!AC158</f>
        <v>0</v>
      </c>
      <c r="AE317" s="1175">
        <f>'Data &amp; hypothesis Children'!AD158</f>
        <v>0</v>
      </c>
      <c r="AF317" s="1175">
        <f>'Data &amp; hypothesis Children'!AE158</f>
        <v>0</v>
      </c>
      <c r="AG317" s="1175">
        <f>'Data &amp; hypothesis Children'!AF158</f>
        <v>0</v>
      </c>
      <c r="AH317" s="1415">
        <f>'Data &amp; hypothesis Children'!AG158</f>
        <v>0</v>
      </c>
      <c r="AI317" s="1339" t="e">
        <f t="shared" si="96"/>
        <v>#DIV/0!</v>
      </c>
      <c r="AJ317" s="1340" t="e">
        <f t="shared" si="97"/>
        <v>#DIV/0!</v>
      </c>
    </row>
    <row r="318" spans="1:36" s="1279" customFormat="1" ht="15" x14ac:dyDescent="0.25">
      <c r="A318" s="1282"/>
      <c r="C318" s="1319" t="str">
        <v>ABC+3TC+NVP</v>
      </c>
      <c r="D318" s="1175">
        <f>'Data &amp; hypothesis Children'!C159</f>
        <v>0</v>
      </c>
      <c r="E318" s="1175">
        <f>'Data &amp; hypothesis Children'!D159</f>
        <v>0</v>
      </c>
      <c r="F318" s="1175">
        <f>'Data &amp; hypothesis Children'!E159</f>
        <v>0</v>
      </c>
      <c r="G318" s="1175">
        <f>'Data &amp; hypothesis Children'!F159</f>
        <v>0</v>
      </c>
      <c r="H318" s="1175">
        <f>'Data &amp; hypothesis Children'!G159</f>
        <v>0</v>
      </c>
      <c r="I318" s="1175">
        <f>'Data &amp; hypothesis Children'!H159</f>
        <v>0</v>
      </c>
      <c r="J318" s="1175">
        <f>'Data &amp; hypothesis Children'!I159</f>
        <v>0</v>
      </c>
      <c r="K318" s="1413">
        <f>'Data &amp; hypothesis Children'!J159</f>
        <v>0</v>
      </c>
      <c r="L318" s="1414">
        <f>'Data &amp; hypothesis Children'!K159</f>
        <v>0</v>
      </c>
      <c r="M318" s="1175">
        <f>'Data &amp; hypothesis Children'!L159</f>
        <v>0</v>
      </c>
      <c r="N318" s="1175">
        <f>'Data &amp; hypothesis Children'!M159</f>
        <v>0</v>
      </c>
      <c r="O318" s="1175">
        <f>'Data &amp; hypothesis Children'!N159</f>
        <v>0</v>
      </c>
      <c r="P318" s="1175">
        <f>'Data &amp; hypothesis Children'!O159</f>
        <v>0</v>
      </c>
      <c r="Q318" s="1175">
        <f>'Data &amp; hypothesis Children'!P159</f>
        <v>0</v>
      </c>
      <c r="R318" s="1175">
        <f>'Data &amp; hypothesis Children'!Q159</f>
        <v>0</v>
      </c>
      <c r="S318" s="1175">
        <f>'Data &amp; hypothesis Children'!R159</f>
        <v>0</v>
      </c>
      <c r="T318" s="1175">
        <f>'Data &amp; hypothesis Children'!S159</f>
        <v>0</v>
      </c>
      <c r="U318" s="1175">
        <f>'Data &amp; hypothesis Children'!T159</f>
        <v>0</v>
      </c>
      <c r="V318" s="1175" t="str">
        <f>'Data &amp; hypothesis Children'!U159</f>
        <v>X</v>
      </c>
      <c r="W318" s="1175">
        <f>'Data &amp; hypothesis Children'!V159</f>
        <v>0</v>
      </c>
      <c r="X318" s="1175">
        <f>'Data &amp; hypothesis Children'!W159</f>
        <v>0</v>
      </c>
      <c r="Y318" s="1175">
        <f>'Data &amp; hypothesis Children'!X159</f>
        <v>0</v>
      </c>
      <c r="Z318" s="1175">
        <f>'Data &amp; hypothesis Children'!Y159</f>
        <v>0</v>
      </c>
      <c r="AA318" s="1175">
        <f>'Data &amp; hypothesis Children'!Z159</f>
        <v>0</v>
      </c>
      <c r="AB318" s="1175">
        <f>'Data &amp; hypothesis Children'!AA159</f>
        <v>0</v>
      </c>
      <c r="AC318" s="1175">
        <f>'Data &amp; hypothesis Children'!AB159</f>
        <v>0</v>
      </c>
      <c r="AD318" s="1175">
        <f>'Data &amp; hypothesis Children'!AC159</f>
        <v>0</v>
      </c>
      <c r="AE318" s="1175" t="str">
        <f>'Data &amp; hypothesis Children'!AD159</f>
        <v>X</v>
      </c>
      <c r="AF318" s="1175">
        <f>'Data &amp; hypothesis Children'!AE159</f>
        <v>0</v>
      </c>
      <c r="AG318" s="1175">
        <f>'Data &amp; hypothesis Children'!AF159</f>
        <v>0</v>
      </c>
      <c r="AH318" s="1415">
        <f>'Data &amp; hypothesis Children'!AG159</f>
        <v>0</v>
      </c>
      <c r="AI318" s="1339" t="e">
        <f t="shared" si="96"/>
        <v>#DIV/0!</v>
      </c>
      <c r="AJ318" s="1340" t="e">
        <f t="shared" si="97"/>
        <v>#DIV/0!</v>
      </c>
    </row>
    <row r="319" spans="1:36" s="1279" customFormat="1" ht="15" x14ac:dyDescent="0.25">
      <c r="A319" s="1282"/>
      <c r="C319" s="1319" t="str">
        <v>AZT+3TC+LPV/r</v>
      </c>
      <c r="D319" s="1175">
        <f>'Data &amp; hypothesis Children'!C160</f>
        <v>0</v>
      </c>
      <c r="E319" s="1175">
        <f>'Data &amp; hypothesis Children'!D160</f>
        <v>0</v>
      </c>
      <c r="F319" s="1175">
        <f>'Data &amp; hypothesis Children'!E160</f>
        <v>0</v>
      </c>
      <c r="G319" s="1175">
        <f>'Data &amp; hypothesis Children'!F160</f>
        <v>0</v>
      </c>
      <c r="H319" s="1175">
        <f>'Data &amp; hypothesis Children'!G160</f>
        <v>0</v>
      </c>
      <c r="I319" s="1175">
        <f>'Data &amp; hypothesis Children'!H160</f>
        <v>0</v>
      </c>
      <c r="J319" s="1175">
        <f>'Data &amp; hypothesis Children'!I160</f>
        <v>0</v>
      </c>
      <c r="K319" s="1413">
        <f>'Data &amp; hypothesis Children'!J160</f>
        <v>0</v>
      </c>
      <c r="L319" s="1414">
        <f>'Data &amp; hypothesis Children'!K160</f>
        <v>0</v>
      </c>
      <c r="M319" s="1175">
        <f>'Data &amp; hypothesis Children'!L160</f>
        <v>0</v>
      </c>
      <c r="N319" s="1175">
        <f>'Data &amp; hypothesis Children'!M160</f>
        <v>0</v>
      </c>
      <c r="O319" s="1175" t="str">
        <f>'Data &amp; hypothesis Children'!N160</f>
        <v>X</v>
      </c>
      <c r="P319" s="1175">
        <f>'Data &amp; hypothesis Children'!O160</f>
        <v>0</v>
      </c>
      <c r="Q319" s="1175">
        <f>'Data &amp; hypothesis Children'!P160</f>
        <v>0</v>
      </c>
      <c r="R319" s="1175">
        <f>'Data &amp; hypothesis Children'!Q160</f>
        <v>0</v>
      </c>
      <c r="S319" s="1175">
        <f>'Data &amp; hypothesis Children'!R160</f>
        <v>0</v>
      </c>
      <c r="T319" s="1175">
        <f>'Data &amp; hypothesis Children'!S160</f>
        <v>0</v>
      </c>
      <c r="U319" s="1175">
        <f>'Data &amp; hypothesis Children'!T160</f>
        <v>0</v>
      </c>
      <c r="V319" s="1175">
        <f>'Data &amp; hypothesis Children'!U160</f>
        <v>0</v>
      </c>
      <c r="W319" s="1175">
        <f>'Data &amp; hypothesis Children'!V160</f>
        <v>0</v>
      </c>
      <c r="X319" s="1175">
        <f>'Data &amp; hypothesis Children'!W160</f>
        <v>0</v>
      </c>
      <c r="Y319" s="1175">
        <f>'Data &amp; hypothesis Children'!X160</f>
        <v>0</v>
      </c>
      <c r="Z319" s="1175">
        <f>'Data &amp; hypothesis Children'!Y160</f>
        <v>0</v>
      </c>
      <c r="AA319" s="1175">
        <f>'Data &amp; hypothesis Children'!Z160</f>
        <v>0</v>
      </c>
      <c r="AB319" s="1175">
        <f>'Data &amp; hypothesis Children'!AA160</f>
        <v>0</v>
      </c>
      <c r="AC319" s="1175">
        <f>'Data &amp; hypothesis Children'!AB160</f>
        <v>0</v>
      </c>
      <c r="AD319" s="1175">
        <f>'Data &amp; hypothesis Children'!AC160</f>
        <v>0</v>
      </c>
      <c r="AE319" s="1175">
        <f>'Data &amp; hypothesis Children'!AD160</f>
        <v>0</v>
      </c>
      <c r="AF319" s="1175">
        <f>'Data &amp; hypothesis Children'!AE160</f>
        <v>0</v>
      </c>
      <c r="AG319" s="1175">
        <f>'Data &amp; hypothesis Children'!AF160</f>
        <v>0</v>
      </c>
      <c r="AH319" s="1415" t="str">
        <f>'Data &amp; hypothesis Children'!AG160</f>
        <v>X</v>
      </c>
      <c r="AI319" s="1339" t="e">
        <f t="shared" si="96"/>
        <v>#DIV/0!</v>
      </c>
      <c r="AJ319" s="1340" t="e">
        <f t="shared" si="97"/>
        <v>#DIV/0!</v>
      </c>
    </row>
    <row r="320" spans="1:36" s="1279" customFormat="1" x14ac:dyDescent="0.2">
      <c r="A320" s="1282"/>
      <c r="C320" s="1296" t="str">
        <f>'TRAD-Children YEAR(1)'!$B$117</f>
        <v>Deuxièmes lignes</v>
      </c>
      <c r="D320" s="1410"/>
      <c r="E320" s="1410"/>
      <c r="F320" s="1410"/>
      <c r="G320" s="1410"/>
      <c r="H320" s="1410"/>
      <c r="I320" s="1410"/>
      <c r="J320" s="1410"/>
      <c r="K320" s="1411"/>
      <c r="L320" s="1412"/>
      <c r="M320" s="1410"/>
      <c r="N320" s="1410"/>
      <c r="O320" s="1410"/>
      <c r="P320" s="1410"/>
      <c r="Q320" s="1410"/>
      <c r="R320" s="1410"/>
      <c r="S320" s="1410"/>
      <c r="T320" s="1410"/>
      <c r="U320" s="1410"/>
      <c r="V320" s="1410"/>
      <c r="W320" s="1410"/>
      <c r="X320" s="1410"/>
      <c r="Y320" s="1410"/>
      <c r="Z320" s="1410"/>
      <c r="AA320" s="1410"/>
      <c r="AB320" s="1410"/>
      <c r="AC320" s="1410"/>
      <c r="AD320" s="1410"/>
      <c r="AE320" s="1410"/>
      <c r="AF320" s="1410"/>
      <c r="AG320" s="1410"/>
      <c r="AH320" s="1416"/>
      <c r="AI320" s="1339"/>
      <c r="AJ320" s="1340"/>
    </row>
    <row r="321" spans="1:36" s="1279" customFormat="1" ht="15" x14ac:dyDescent="0.25">
      <c r="A321" s="1282"/>
      <c r="C321" s="1301" t="str">
        <f t="array" ref="C321:C324">'Data &amp; hypothesis Children'!$C$32:$C$35</f>
        <v>ABC+3TC+EFV</v>
      </c>
      <c r="D321" s="1175">
        <f>'Data &amp; hypothesis Children'!C162</f>
        <v>0</v>
      </c>
      <c r="E321" s="1175">
        <f>'Data &amp; hypothesis Children'!D162</f>
        <v>0</v>
      </c>
      <c r="F321" s="1175">
        <f>'Data &amp; hypothesis Children'!E162</f>
        <v>0</v>
      </c>
      <c r="G321" s="1175">
        <f>'Data &amp; hypothesis Children'!F162</f>
        <v>0</v>
      </c>
      <c r="H321" s="1175">
        <f>'Data &amp; hypothesis Children'!G162</f>
        <v>0</v>
      </c>
      <c r="I321" s="1175">
        <f>'Data &amp; hypothesis Children'!H162</f>
        <v>0</v>
      </c>
      <c r="J321" s="1175" t="str">
        <f>'Data &amp; hypothesis Children'!I162</f>
        <v>X</v>
      </c>
      <c r="K321" s="1413">
        <f>'Data &amp; hypothesis Children'!J162</f>
        <v>0</v>
      </c>
      <c r="L321" s="1414">
        <f>'Data &amp; hypothesis Children'!K162</f>
        <v>0</v>
      </c>
      <c r="M321" s="1175">
        <f>'Data &amp; hypothesis Children'!L162</f>
        <v>0</v>
      </c>
      <c r="N321" s="1175">
        <f>'Data &amp; hypothesis Children'!M162</f>
        <v>0</v>
      </c>
      <c r="O321" s="1175">
        <f>'Data &amp; hypothesis Children'!N162</f>
        <v>0</v>
      </c>
      <c r="P321" s="1175">
        <f>'Data &amp; hypothesis Children'!O162</f>
        <v>0</v>
      </c>
      <c r="Q321" s="1175">
        <f>'Data &amp; hypothesis Children'!P162</f>
        <v>0</v>
      </c>
      <c r="R321" s="1175">
        <f>'Data &amp; hypothesis Children'!Q162</f>
        <v>0</v>
      </c>
      <c r="S321" s="1175">
        <f>'Data &amp; hypothesis Children'!R162</f>
        <v>0</v>
      </c>
      <c r="T321" s="1175">
        <f>'Data &amp; hypothesis Children'!S162</f>
        <v>0</v>
      </c>
      <c r="U321" s="1175">
        <f>'Data &amp; hypothesis Children'!T162</f>
        <v>0</v>
      </c>
      <c r="V321" s="1175" t="str">
        <f>'Data &amp; hypothesis Children'!U162</f>
        <v>X</v>
      </c>
      <c r="W321" s="1175">
        <f>'Data &amp; hypothesis Children'!V162</f>
        <v>0</v>
      </c>
      <c r="X321" s="1175">
        <f>'Data &amp; hypothesis Children'!W162</f>
        <v>0</v>
      </c>
      <c r="Y321" s="1175">
        <f>'Data &amp; hypothesis Children'!X162</f>
        <v>0</v>
      </c>
      <c r="Z321" s="1175">
        <f>'Data &amp; hypothesis Children'!Y162</f>
        <v>0</v>
      </c>
      <c r="AA321" s="1175">
        <f>'Data &amp; hypothesis Children'!Z162</f>
        <v>0</v>
      </c>
      <c r="AB321" s="1175">
        <f>'Data &amp; hypothesis Children'!AA162</f>
        <v>0</v>
      </c>
      <c r="AC321" s="1175">
        <f>'Data &amp; hypothesis Children'!AB162</f>
        <v>0</v>
      </c>
      <c r="AD321" s="1175">
        <f>'Data &amp; hypothesis Children'!AC162</f>
        <v>0</v>
      </c>
      <c r="AE321" s="1175">
        <f>'Data &amp; hypothesis Children'!AD162</f>
        <v>0</v>
      </c>
      <c r="AF321" s="1175" t="str">
        <f>'Data &amp; hypothesis Children'!AE162</f>
        <v>X</v>
      </c>
      <c r="AG321" s="1175">
        <f>'Data &amp; hypothesis Children'!AF162</f>
        <v>0</v>
      </c>
      <c r="AH321" s="1415">
        <f>'Data &amp; hypothesis Children'!AG162</f>
        <v>0</v>
      </c>
      <c r="AI321" s="1339" t="e">
        <f>H75</f>
        <v>#DIV/0!</v>
      </c>
      <c r="AJ321" s="1340" t="e">
        <f>H91</f>
        <v>#DIV/0!</v>
      </c>
    </row>
    <row r="322" spans="1:36" s="1279" customFormat="1" ht="15" x14ac:dyDescent="0.25">
      <c r="A322" s="1282"/>
      <c r="C322" s="1301" t="str">
        <v>TDF+3TC+LPV/r</v>
      </c>
      <c r="D322" s="1175">
        <f>'Data &amp; hypothesis Children'!C163</f>
        <v>0</v>
      </c>
      <c r="E322" s="1175">
        <f>'Data &amp; hypothesis Children'!D163</f>
        <v>0</v>
      </c>
      <c r="F322" s="1175">
        <f>'Data &amp; hypothesis Children'!E163</f>
        <v>0</v>
      </c>
      <c r="G322" s="1175">
        <f>'Data &amp; hypothesis Children'!F163</f>
        <v>0</v>
      </c>
      <c r="H322" s="1175">
        <f>'Data &amp; hypothesis Children'!G163</f>
        <v>0</v>
      </c>
      <c r="I322" s="1175">
        <f>'Data &amp; hypothesis Children'!H163</f>
        <v>0</v>
      </c>
      <c r="J322" s="1175" t="str">
        <f>'Data &amp; hypothesis Children'!I163</f>
        <v>X</v>
      </c>
      <c r="K322" s="1413">
        <f>'Data &amp; hypothesis Children'!J163</f>
        <v>0</v>
      </c>
      <c r="L322" s="1414">
        <f>'Data &amp; hypothesis Children'!K163</f>
        <v>0</v>
      </c>
      <c r="M322" s="1175">
        <f>'Data &amp; hypothesis Children'!L163</f>
        <v>0</v>
      </c>
      <c r="N322" s="1175">
        <f>'Data &amp; hypothesis Children'!M163</f>
        <v>0</v>
      </c>
      <c r="O322" s="1175" t="str">
        <f>'Data &amp; hypothesis Children'!N163</f>
        <v>X</v>
      </c>
      <c r="P322" s="1175">
        <f>'Data &amp; hypothesis Children'!O163</f>
        <v>0</v>
      </c>
      <c r="Q322" s="1175">
        <f>'Data &amp; hypothesis Children'!P163</f>
        <v>0</v>
      </c>
      <c r="R322" s="1175">
        <f>'Data &amp; hypothesis Children'!Q163</f>
        <v>0</v>
      </c>
      <c r="S322" s="1175">
        <f>'Data &amp; hypothesis Children'!R163</f>
        <v>0</v>
      </c>
      <c r="T322" s="1175">
        <f>'Data &amp; hypothesis Children'!S163</f>
        <v>0</v>
      </c>
      <c r="U322" s="1175">
        <f>'Data &amp; hypothesis Children'!T163</f>
        <v>0</v>
      </c>
      <c r="V322" s="1175">
        <f>'Data &amp; hypothesis Children'!U163</f>
        <v>0</v>
      </c>
      <c r="W322" s="1175">
        <f>'Data &amp; hypothesis Children'!V163</f>
        <v>0</v>
      </c>
      <c r="X322" s="1175">
        <f>'Data &amp; hypothesis Children'!W163</f>
        <v>0</v>
      </c>
      <c r="Y322" s="1175">
        <f>'Data &amp; hypothesis Children'!X163</f>
        <v>0</v>
      </c>
      <c r="Z322" s="1175">
        <f>'Data &amp; hypothesis Children'!Y163</f>
        <v>0</v>
      </c>
      <c r="AA322" s="1175">
        <f>'Data &amp; hypothesis Children'!Z163</f>
        <v>0</v>
      </c>
      <c r="AB322" s="1175">
        <f>'Data &amp; hypothesis Children'!AA163</f>
        <v>0</v>
      </c>
      <c r="AC322" s="1175">
        <f>'Data &amp; hypothesis Children'!AB163</f>
        <v>0</v>
      </c>
      <c r="AD322" s="1175">
        <f>'Data &amp; hypothesis Children'!AC163</f>
        <v>0</v>
      </c>
      <c r="AE322" s="1175">
        <f>'Data &amp; hypothesis Children'!AD163</f>
        <v>0</v>
      </c>
      <c r="AF322" s="1175">
        <f>'Data &amp; hypothesis Children'!AE163</f>
        <v>0</v>
      </c>
      <c r="AG322" s="1175">
        <f>'Data &amp; hypothesis Children'!AF163</f>
        <v>0</v>
      </c>
      <c r="AH322" s="1415" t="str">
        <f>'Data &amp; hypothesis Children'!AG163</f>
        <v>X</v>
      </c>
      <c r="AI322" s="1339" t="e">
        <f t="shared" ref="AI322:AI323" si="98">H76</f>
        <v>#DIV/0!</v>
      </c>
      <c r="AJ322" s="1340" t="e">
        <f t="shared" ref="AJ322:AJ323" si="99">H92</f>
        <v>#DIV/0!</v>
      </c>
    </row>
    <row r="323" spans="1:36" s="1279" customFormat="1" ht="15" x14ac:dyDescent="0.25">
      <c r="A323" s="1282"/>
      <c r="C323" s="1301" t="str">
        <v>AZT+3TC+EFV</v>
      </c>
      <c r="D323" s="1175">
        <f>'Data &amp; hypothesis Children'!C164</f>
        <v>0</v>
      </c>
      <c r="E323" s="1175">
        <f>'Data &amp; hypothesis Children'!D164</f>
        <v>0</v>
      </c>
      <c r="F323" s="1175">
        <f>'Data &amp; hypothesis Children'!E164</f>
        <v>0</v>
      </c>
      <c r="G323" s="1175">
        <f>'Data &amp; hypothesis Children'!F164</f>
        <v>0</v>
      </c>
      <c r="H323" s="1175">
        <f>'Data &amp; hypothesis Children'!G164</f>
        <v>0</v>
      </c>
      <c r="I323" s="1175">
        <f>'Data &amp; hypothesis Children'!H164</f>
        <v>0</v>
      </c>
      <c r="J323" s="1175">
        <f>'Data &amp; hypothesis Children'!I164</f>
        <v>0</v>
      </c>
      <c r="K323" s="1413">
        <f>'Data &amp; hypothesis Children'!J164</f>
        <v>0</v>
      </c>
      <c r="L323" s="1414">
        <f>'Data &amp; hypothesis Children'!K164</f>
        <v>0</v>
      </c>
      <c r="M323" s="1175">
        <f>'Data &amp; hypothesis Children'!L164</f>
        <v>0</v>
      </c>
      <c r="N323" s="1175">
        <f>'Data &amp; hypothesis Children'!M164</f>
        <v>0</v>
      </c>
      <c r="O323" s="1175">
        <f>'Data &amp; hypothesis Children'!N164</f>
        <v>0</v>
      </c>
      <c r="P323" s="1175">
        <f>'Data &amp; hypothesis Children'!O164</f>
        <v>0</v>
      </c>
      <c r="Q323" s="1175">
        <f>'Data &amp; hypothesis Children'!P164</f>
        <v>0</v>
      </c>
      <c r="R323" s="1175">
        <f>'Data &amp; hypothesis Children'!Q164</f>
        <v>0</v>
      </c>
      <c r="S323" s="1175">
        <f>'Data &amp; hypothesis Children'!R164</f>
        <v>0</v>
      </c>
      <c r="T323" s="1175">
        <f>'Data &amp; hypothesis Children'!S164</f>
        <v>0</v>
      </c>
      <c r="U323" s="1175">
        <f>'Data &amp; hypothesis Children'!T164</f>
        <v>0</v>
      </c>
      <c r="V323" s="1175">
        <f>'Data &amp; hypothesis Children'!U164</f>
        <v>0</v>
      </c>
      <c r="W323" s="1175">
        <f>'Data &amp; hypothesis Children'!V164</f>
        <v>0</v>
      </c>
      <c r="X323" s="1175">
        <f>'Data &amp; hypothesis Children'!W164</f>
        <v>0</v>
      </c>
      <c r="Y323" s="1175">
        <f>'Data &amp; hypothesis Children'!X164</f>
        <v>0</v>
      </c>
      <c r="Z323" s="1175">
        <f>'Data &amp; hypothesis Children'!Y164</f>
        <v>0</v>
      </c>
      <c r="AA323" s="1175">
        <f>'Data &amp; hypothesis Children'!Z164</f>
        <v>0</v>
      </c>
      <c r="AB323" s="1175">
        <f>'Data &amp; hypothesis Children'!AA164</f>
        <v>0</v>
      </c>
      <c r="AC323" s="1175">
        <f>'Data &amp; hypothesis Children'!AB164</f>
        <v>0</v>
      </c>
      <c r="AD323" s="1175">
        <f>'Data &amp; hypothesis Children'!AC164</f>
        <v>0</v>
      </c>
      <c r="AE323" s="1175">
        <f>'Data &amp; hypothesis Children'!AD164</f>
        <v>0</v>
      </c>
      <c r="AF323" s="1175">
        <f>'Data &amp; hypothesis Children'!AE164</f>
        <v>0</v>
      </c>
      <c r="AG323" s="1175">
        <f>'Data &amp; hypothesis Children'!AF164</f>
        <v>0</v>
      </c>
      <c r="AH323" s="1415">
        <f>'Data &amp; hypothesis Children'!AG164</f>
        <v>0</v>
      </c>
      <c r="AI323" s="1339" t="e">
        <f t="shared" si="98"/>
        <v>#DIV/0!</v>
      </c>
      <c r="AJ323" s="1340" t="e">
        <f t="shared" si="99"/>
        <v>#DIV/0!</v>
      </c>
    </row>
    <row r="324" spans="1:36" s="1279" customFormat="1" ht="15.75" thickBot="1" x14ac:dyDescent="0.3">
      <c r="A324" s="1282"/>
      <c r="C324" s="1301">
        <v>0</v>
      </c>
      <c r="D324" s="1175">
        <f>'Data &amp; hypothesis Children'!C165</f>
        <v>0</v>
      </c>
      <c r="E324" s="1175">
        <f>'Data &amp; hypothesis Children'!D165</f>
        <v>0</v>
      </c>
      <c r="F324" s="1175">
        <f>'Data &amp; hypothesis Children'!E165</f>
        <v>0</v>
      </c>
      <c r="G324" s="1175">
        <f>'Data &amp; hypothesis Children'!F165</f>
        <v>0</v>
      </c>
      <c r="H324" s="1175">
        <f>'Data &amp; hypothesis Children'!G165</f>
        <v>0</v>
      </c>
      <c r="I324" s="1175">
        <f>'Data &amp; hypothesis Children'!H165</f>
        <v>0</v>
      </c>
      <c r="J324" s="1175">
        <f>'Data &amp; hypothesis Children'!I165</f>
        <v>0</v>
      </c>
      <c r="K324" s="1413">
        <f>'Data &amp; hypothesis Children'!J165</f>
        <v>0</v>
      </c>
      <c r="L324" s="1417">
        <f>'Data &amp; hypothesis Children'!K165</f>
        <v>0</v>
      </c>
      <c r="M324" s="1418">
        <f>'Data &amp; hypothesis Children'!L165</f>
        <v>0</v>
      </c>
      <c r="N324" s="1418">
        <f>'Data &amp; hypothesis Children'!M165</f>
        <v>0</v>
      </c>
      <c r="O324" s="1418">
        <f>'Data &amp; hypothesis Children'!N165</f>
        <v>0</v>
      </c>
      <c r="P324" s="1418">
        <f>'Data &amp; hypothesis Children'!O165</f>
        <v>0</v>
      </c>
      <c r="Q324" s="1418">
        <f>'Data &amp; hypothesis Children'!P165</f>
        <v>0</v>
      </c>
      <c r="R324" s="1418">
        <f>'Data &amp; hypothesis Children'!Q165</f>
        <v>0</v>
      </c>
      <c r="S324" s="1418">
        <f>'Data &amp; hypothesis Children'!R165</f>
        <v>0</v>
      </c>
      <c r="T324" s="1418">
        <f>'Data &amp; hypothesis Children'!S165</f>
        <v>0</v>
      </c>
      <c r="U324" s="1418">
        <f>'Data &amp; hypothesis Children'!T165</f>
        <v>0</v>
      </c>
      <c r="V324" s="1418">
        <f>'Data &amp; hypothesis Children'!U165</f>
        <v>0</v>
      </c>
      <c r="W324" s="1418">
        <f>'Data &amp; hypothesis Children'!V165</f>
        <v>0</v>
      </c>
      <c r="X324" s="1418">
        <f>'Data &amp; hypothesis Children'!W165</f>
        <v>0</v>
      </c>
      <c r="Y324" s="1418">
        <f>'Data &amp; hypothesis Children'!X165</f>
        <v>0</v>
      </c>
      <c r="Z324" s="1418">
        <f>'Data &amp; hypothesis Children'!Y165</f>
        <v>0</v>
      </c>
      <c r="AA324" s="1418">
        <f>'Data &amp; hypothesis Children'!Z165</f>
        <v>0</v>
      </c>
      <c r="AB324" s="1418">
        <f>'Data &amp; hypothesis Children'!AA165</f>
        <v>0</v>
      </c>
      <c r="AC324" s="1418">
        <f>'Data &amp; hypothesis Children'!AB165</f>
        <v>0</v>
      </c>
      <c r="AD324" s="1418">
        <f>'Data &amp; hypothesis Children'!AC165</f>
        <v>0</v>
      </c>
      <c r="AE324" s="1418">
        <f>'Data &amp; hypothesis Children'!AD165</f>
        <v>0</v>
      </c>
      <c r="AF324" s="1418">
        <f>'Data &amp; hypothesis Children'!AE165</f>
        <v>0</v>
      </c>
      <c r="AG324" s="1418">
        <f>'Data &amp; hypothesis Children'!AF165</f>
        <v>0</v>
      </c>
      <c r="AH324" s="1419">
        <f>'Data &amp; hypothesis Children'!AG165</f>
        <v>0</v>
      </c>
      <c r="AI324" s="1339" t="e">
        <f>H78</f>
        <v>#DIV/0!</v>
      </c>
      <c r="AJ324" s="1340" t="e">
        <f>H94</f>
        <v>#DIV/0!</v>
      </c>
    </row>
    <row r="325" spans="1:36" s="1304" customFormat="1" ht="26.25" thickBot="1" x14ac:dyDescent="0.25">
      <c r="A325" s="1303"/>
      <c r="C325" s="1305" t="str">
        <f>'TRAD-Children YEAR(1)'!B118</f>
        <v>Nb de patients-mois / produit - SANS SS</v>
      </c>
      <c r="D325" s="1306">
        <f t="shared" ref="D325:AE325" si="100">SUMIF(D314:D324, "X", $AI314:$AI324)</f>
        <v>0</v>
      </c>
      <c r="E325" s="1306">
        <f t="shared" si="100"/>
        <v>0</v>
      </c>
      <c r="F325" s="1306">
        <f t="shared" si="100"/>
        <v>0</v>
      </c>
      <c r="G325" s="1306">
        <f t="shared" si="100"/>
        <v>0</v>
      </c>
      <c r="H325" s="1306">
        <f t="shared" si="100"/>
        <v>0</v>
      </c>
      <c r="I325" s="1306">
        <f t="shared" si="100"/>
        <v>0</v>
      </c>
      <c r="J325" s="1306" t="e">
        <f t="shared" si="100"/>
        <v>#DIV/0!</v>
      </c>
      <c r="K325" s="1307">
        <f t="shared" si="100"/>
        <v>0</v>
      </c>
      <c r="L325" s="1308">
        <f t="shared" si="100"/>
        <v>0</v>
      </c>
      <c r="M325" s="1306" t="e">
        <f t="shared" si="100"/>
        <v>#DIV/0!</v>
      </c>
      <c r="N325" s="1306">
        <f t="shared" si="100"/>
        <v>0</v>
      </c>
      <c r="O325" s="1306" t="e">
        <f t="shared" si="100"/>
        <v>#DIV/0!</v>
      </c>
      <c r="P325" s="1306">
        <f t="shared" si="100"/>
        <v>0</v>
      </c>
      <c r="Q325" s="1306" t="e">
        <f t="shared" si="100"/>
        <v>#DIV/0!</v>
      </c>
      <c r="R325" s="1306">
        <f t="shared" si="100"/>
        <v>0</v>
      </c>
      <c r="S325" s="1306">
        <f t="shared" si="100"/>
        <v>0</v>
      </c>
      <c r="T325" s="1306">
        <f t="shared" si="100"/>
        <v>0</v>
      </c>
      <c r="U325" s="1306">
        <f t="shared" si="100"/>
        <v>0</v>
      </c>
      <c r="V325" s="1306" t="e">
        <f t="shared" si="100"/>
        <v>#DIV/0!</v>
      </c>
      <c r="W325" s="1306">
        <f t="shared" si="100"/>
        <v>0</v>
      </c>
      <c r="X325" s="1306">
        <f t="shared" si="100"/>
        <v>0</v>
      </c>
      <c r="Y325" s="1306">
        <f t="shared" si="100"/>
        <v>0</v>
      </c>
      <c r="Z325" s="1306">
        <f t="shared" si="100"/>
        <v>0</v>
      </c>
      <c r="AA325" s="1306">
        <f t="shared" si="100"/>
        <v>0</v>
      </c>
      <c r="AB325" s="1306">
        <f t="shared" si="100"/>
        <v>0</v>
      </c>
      <c r="AC325" s="1306">
        <f t="shared" si="100"/>
        <v>0</v>
      </c>
      <c r="AD325" s="1306">
        <f t="shared" si="100"/>
        <v>0</v>
      </c>
      <c r="AE325" s="1306" t="e">
        <f t="shared" si="100"/>
        <v>#DIV/0!</v>
      </c>
      <c r="AF325" s="1306" t="e">
        <f t="shared" ref="AF325" si="101">SUMIF(AF314:AF324, "X", $AI314:$AI324)</f>
        <v>#DIV/0!</v>
      </c>
      <c r="AG325" s="1306">
        <f>SUMIF(AG314:AG324, "X", $AI314:$AI324)</f>
        <v>0</v>
      </c>
      <c r="AH325" s="1306" t="e">
        <f>SUMIF(AH314:$AH$324, "X", $AI314:$AI324)</f>
        <v>#DIV/0!</v>
      </c>
    </row>
    <row r="326" spans="1:36" s="1304" customFormat="1" ht="26.25" thickBot="1" x14ac:dyDescent="0.25">
      <c r="A326" s="1303"/>
      <c r="C326" s="1305" t="str">
        <f>'TRAD-Children YEAR(1)'!B119</f>
        <v>Nb de patients-mois / produit - AVEC SS</v>
      </c>
      <c r="D326" s="1309">
        <f t="shared" ref="D326:AG326" si="102">SUMIF(D314:D324, "X", $AJ314:$AJ324)</f>
        <v>0</v>
      </c>
      <c r="E326" s="1309">
        <f t="shared" si="102"/>
        <v>0</v>
      </c>
      <c r="F326" s="1309">
        <f t="shared" si="102"/>
        <v>0</v>
      </c>
      <c r="G326" s="1309">
        <f t="shared" si="102"/>
        <v>0</v>
      </c>
      <c r="H326" s="1309">
        <f t="shared" si="102"/>
        <v>0</v>
      </c>
      <c r="I326" s="1309">
        <f t="shared" si="102"/>
        <v>0</v>
      </c>
      <c r="J326" s="1309" t="e">
        <f t="shared" si="102"/>
        <v>#DIV/0!</v>
      </c>
      <c r="K326" s="1310">
        <f t="shared" si="102"/>
        <v>0</v>
      </c>
      <c r="L326" s="1311">
        <f t="shared" si="102"/>
        <v>0</v>
      </c>
      <c r="M326" s="1309" t="e">
        <f t="shared" si="102"/>
        <v>#DIV/0!</v>
      </c>
      <c r="N326" s="1309">
        <f t="shared" si="102"/>
        <v>0</v>
      </c>
      <c r="O326" s="1309" t="e">
        <f t="shared" si="102"/>
        <v>#DIV/0!</v>
      </c>
      <c r="P326" s="1309">
        <f t="shared" si="102"/>
        <v>0</v>
      </c>
      <c r="Q326" s="1309" t="e">
        <f t="shared" si="102"/>
        <v>#DIV/0!</v>
      </c>
      <c r="R326" s="1309">
        <f t="shared" si="102"/>
        <v>0</v>
      </c>
      <c r="S326" s="1309">
        <f t="shared" si="102"/>
        <v>0</v>
      </c>
      <c r="T326" s="1309">
        <f t="shared" si="102"/>
        <v>0</v>
      </c>
      <c r="U326" s="1309">
        <f t="shared" si="102"/>
        <v>0</v>
      </c>
      <c r="V326" s="1309" t="e">
        <f t="shared" si="102"/>
        <v>#DIV/0!</v>
      </c>
      <c r="W326" s="1309">
        <f t="shared" si="102"/>
        <v>0</v>
      </c>
      <c r="X326" s="1309">
        <f t="shared" si="102"/>
        <v>0</v>
      </c>
      <c r="Y326" s="1309">
        <f t="shared" si="102"/>
        <v>0</v>
      </c>
      <c r="Z326" s="1309">
        <f t="shared" si="102"/>
        <v>0</v>
      </c>
      <c r="AA326" s="1309">
        <f t="shared" si="102"/>
        <v>0</v>
      </c>
      <c r="AB326" s="1309">
        <f t="shared" si="102"/>
        <v>0</v>
      </c>
      <c r="AC326" s="1309">
        <f t="shared" si="102"/>
        <v>0</v>
      </c>
      <c r="AD326" s="1309">
        <f t="shared" si="102"/>
        <v>0</v>
      </c>
      <c r="AE326" s="1309" t="e">
        <f t="shared" si="102"/>
        <v>#DIV/0!</v>
      </c>
      <c r="AF326" s="1309" t="e">
        <f t="shared" si="102"/>
        <v>#DIV/0!</v>
      </c>
      <c r="AG326" s="1309">
        <f t="shared" si="102"/>
        <v>0</v>
      </c>
      <c r="AH326" s="1309" t="e">
        <f>SUMIF(AH314:$AH$324, "X", $AJ314:$AJ324)</f>
        <v>#DIV/0!</v>
      </c>
    </row>
    <row r="327" spans="1:36" s="1304" customFormat="1" ht="26.25" thickBot="1" x14ac:dyDescent="0.25">
      <c r="A327" s="1303"/>
      <c r="C327" s="1305" t="str">
        <f>'TRAD-Children YEAR(1)'!B120</f>
        <v>Nb de cdt - Estimation période SANS SS</v>
      </c>
      <c r="D327" s="1312">
        <f t="shared" ref="D327:AH327" si="103">D325*D312</f>
        <v>0</v>
      </c>
      <c r="E327" s="1312">
        <f t="shared" si="103"/>
        <v>0</v>
      </c>
      <c r="F327" s="1312">
        <f t="shared" si="103"/>
        <v>0</v>
      </c>
      <c r="G327" s="1312">
        <f t="shared" si="103"/>
        <v>0</v>
      </c>
      <c r="H327" s="1312">
        <f t="shared" si="103"/>
        <v>0</v>
      </c>
      <c r="I327" s="1312">
        <f t="shared" si="103"/>
        <v>0</v>
      </c>
      <c r="J327" s="1312" t="e">
        <f t="shared" si="103"/>
        <v>#DIV/0!</v>
      </c>
      <c r="K327" s="1313">
        <f t="shared" si="103"/>
        <v>0</v>
      </c>
      <c r="L327" s="1314">
        <f t="shared" si="103"/>
        <v>0</v>
      </c>
      <c r="M327" s="1312" t="e">
        <f t="shared" si="103"/>
        <v>#DIV/0!</v>
      </c>
      <c r="N327" s="1312">
        <f t="shared" si="103"/>
        <v>0</v>
      </c>
      <c r="O327" s="1312" t="e">
        <f t="shared" si="103"/>
        <v>#DIV/0!</v>
      </c>
      <c r="P327" s="1312">
        <f t="shared" si="103"/>
        <v>0</v>
      </c>
      <c r="Q327" s="1312" t="e">
        <f t="shared" si="103"/>
        <v>#DIV/0!</v>
      </c>
      <c r="R327" s="1312">
        <f t="shared" ref="R327" si="104">R325*R312</f>
        <v>0</v>
      </c>
      <c r="S327" s="1312">
        <f t="shared" si="103"/>
        <v>0</v>
      </c>
      <c r="T327" s="1312">
        <f t="shared" si="103"/>
        <v>0</v>
      </c>
      <c r="U327" s="1312">
        <f t="shared" si="103"/>
        <v>0</v>
      </c>
      <c r="V327" s="1312" t="e">
        <f t="shared" si="103"/>
        <v>#DIV/0!</v>
      </c>
      <c r="W327" s="1312">
        <f t="shared" ref="W327:Y327" si="105">W325*W312</f>
        <v>0</v>
      </c>
      <c r="X327" s="1312">
        <f t="shared" ref="X327" si="106">X325*X312</f>
        <v>0</v>
      </c>
      <c r="Y327" s="1312">
        <f t="shared" si="105"/>
        <v>0</v>
      </c>
      <c r="Z327" s="1312">
        <f t="shared" ref="Z327:AF327" si="107">Z325*Z312</f>
        <v>0</v>
      </c>
      <c r="AA327" s="1312">
        <f t="shared" si="107"/>
        <v>0</v>
      </c>
      <c r="AB327" s="1312">
        <f t="shared" si="107"/>
        <v>0</v>
      </c>
      <c r="AC327" s="1312">
        <f t="shared" si="107"/>
        <v>0</v>
      </c>
      <c r="AD327" s="1312">
        <f t="shared" si="107"/>
        <v>0</v>
      </c>
      <c r="AE327" s="1312" t="e">
        <f t="shared" ref="AE327" si="108">AE325*AE312</f>
        <v>#DIV/0!</v>
      </c>
      <c r="AF327" s="1312" t="e">
        <f t="shared" si="107"/>
        <v>#DIV/0!</v>
      </c>
      <c r="AG327" s="1312">
        <f t="shared" si="103"/>
        <v>0</v>
      </c>
      <c r="AH327" s="1312" t="e">
        <f t="shared" si="103"/>
        <v>#DIV/0!</v>
      </c>
    </row>
    <row r="328" spans="1:36" s="1304" customFormat="1" ht="26.25" thickBot="1" x14ac:dyDescent="0.25">
      <c r="A328" s="1303"/>
      <c r="C328" s="1305" t="str">
        <f>'TRAD-Children YEAR(1)'!B121</f>
        <v>Nb de cdt - Estimation période AVEC SS</v>
      </c>
      <c r="D328" s="1315">
        <f t="shared" ref="D328:AH328" si="109">D326*D312</f>
        <v>0</v>
      </c>
      <c r="E328" s="1315">
        <f t="shared" si="109"/>
        <v>0</v>
      </c>
      <c r="F328" s="1315">
        <f t="shared" si="109"/>
        <v>0</v>
      </c>
      <c r="G328" s="1315">
        <f t="shared" si="109"/>
        <v>0</v>
      </c>
      <c r="H328" s="1315">
        <f t="shared" si="109"/>
        <v>0</v>
      </c>
      <c r="I328" s="1315">
        <f t="shared" si="109"/>
        <v>0</v>
      </c>
      <c r="J328" s="1315" t="e">
        <f t="shared" si="109"/>
        <v>#DIV/0!</v>
      </c>
      <c r="K328" s="1316">
        <f t="shared" si="109"/>
        <v>0</v>
      </c>
      <c r="L328" s="1317">
        <f t="shared" si="109"/>
        <v>0</v>
      </c>
      <c r="M328" s="1315" t="e">
        <f t="shared" si="109"/>
        <v>#DIV/0!</v>
      </c>
      <c r="N328" s="1315">
        <f t="shared" si="109"/>
        <v>0</v>
      </c>
      <c r="O328" s="1315" t="e">
        <f t="shared" si="109"/>
        <v>#DIV/0!</v>
      </c>
      <c r="P328" s="1315">
        <f t="shared" si="109"/>
        <v>0</v>
      </c>
      <c r="Q328" s="1315" t="e">
        <f t="shared" si="109"/>
        <v>#DIV/0!</v>
      </c>
      <c r="R328" s="1315">
        <f t="shared" ref="R328" si="110">R326*R312</f>
        <v>0</v>
      </c>
      <c r="S328" s="1315">
        <f t="shared" si="109"/>
        <v>0</v>
      </c>
      <c r="T328" s="1315">
        <f t="shared" si="109"/>
        <v>0</v>
      </c>
      <c r="U328" s="1315">
        <f t="shared" si="109"/>
        <v>0</v>
      </c>
      <c r="V328" s="1315" t="e">
        <f t="shared" si="109"/>
        <v>#DIV/0!</v>
      </c>
      <c r="W328" s="1315">
        <f t="shared" ref="W328:Y328" si="111">W326*W312</f>
        <v>0</v>
      </c>
      <c r="X328" s="1315">
        <f t="shared" ref="X328" si="112">X326*X312</f>
        <v>0</v>
      </c>
      <c r="Y328" s="1315">
        <f t="shared" si="111"/>
        <v>0</v>
      </c>
      <c r="Z328" s="1315">
        <f t="shared" ref="Z328:AF328" si="113">Z326*Z312</f>
        <v>0</v>
      </c>
      <c r="AA328" s="1315">
        <f t="shared" si="113"/>
        <v>0</v>
      </c>
      <c r="AB328" s="1315">
        <f t="shared" si="113"/>
        <v>0</v>
      </c>
      <c r="AC328" s="1315">
        <f t="shared" si="113"/>
        <v>0</v>
      </c>
      <c r="AD328" s="1315">
        <f t="shared" si="113"/>
        <v>0</v>
      </c>
      <c r="AE328" s="1315" t="e">
        <f t="shared" ref="AE328" si="114">AE326*AE312</f>
        <v>#DIV/0!</v>
      </c>
      <c r="AF328" s="1315" t="e">
        <f t="shared" si="113"/>
        <v>#DIV/0!</v>
      </c>
      <c r="AG328" s="1315">
        <f t="shared" si="109"/>
        <v>0</v>
      </c>
      <c r="AH328" s="1315" t="e">
        <f t="shared" si="109"/>
        <v>#DIV/0!</v>
      </c>
    </row>
    <row r="329" spans="1:36" s="1279" customFormat="1" x14ac:dyDescent="0.2">
      <c r="A329" s="1282"/>
    </row>
    <row r="330" spans="1:36" s="1279" customFormat="1" ht="13.5" thickBot="1" x14ac:dyDescent="0.25">
      <c r="A330" s="1282"/>
    </row>
    <row r="331" spans="1:36" s="1279" customFormat="1" ht="13.5" thickBot="1" x14ac:dyDescent="0.25">
      <c r="A331" s="1282"/>
      <c r="B331" s="1283" t="str">
        <f>'TRAD-Children YEAR(1)'!B127</f>
        <v>Tranche 20 - 24,9 kg</v>
      </c>
      <c r="C331" s="1284"/>
      <c r="D331" s="1285"/>
      <c r="E331" s="1285"/>
      <c r="F331" s="1285"/>
      <c r="G331" s="1285"/>
      <c r="H331" s="1285"/>
      <c r="I331" s="1286"/>
    </row>
    <row r="332" spans="1:36" s="1279" customFormat="1" ht="13.5" thickBot="1" x14ac:dyDescent="0.25">
      <c r="A332" s="1282"/>
      <c r="B332" s="1323"/>
      <c r="C332" s="1324"/>
      <c r="D332" s="1325"/>
      <c r="E332" s="1325"/>
      <c r="F332" s="1325"/>
      <c r="G332" s="1325"/>
      <c r="H332" s="1325"/>
      <c r="I332" s="1325"/>
    </row>
    <row r="333" spans="1:36" s="1279" customFormat="1" ht="26.25" thickBot="1" x14ac:dyDescent="0.25">
      <c r="A333" s="1282"/>
      <c r="D333" s="1287" t="str">
        <f>'TRAD-Children YEAR(1)'!B90</f>
        <v>Solutions buvables</v>
      </c>
      <c r="E333" s="1288"/>
      <c r="F333" s="1288"/>
      <c r="G333" s="1288"/>
      <c r="H333" s="1288"/>
      <c r="I333" s="1288"/>
      <c r="J333" s="1284"/>
      <c r="K333" s="1284"/>
      <c r="L333" s="1289" t="str">
        <f>'TRAD-Children YEAR(1)'!B91</f>
        <v>Comprimés</v>
      </c>
      <c r="M333" s="1284"/>
      <c r="N333" s="1284"/>
      <c r="O333" s="1284"/>
      <c r="P333" s="1284"/>
      <c r="Q333" s="1284"/>
      <c r="R333" s="1284"/>
      <c r="S333" s="1284"/>
      <c r="T333" s="1284"/>
      <c r="U333" s="1284"/>
      <c r="V333" s="1284"/>
      <c r="W333" s="1945"/>
      <c r="X333" s="1945"/>
      <c r="Y333" s="1945"/>
      <c r="Z333" s="1284"/>
      <c r="AA333" s="1284"/>
      <c r="AB333" s="1284"/>
      <c r="AC333" s="1284"/>
      <c r="AD333" s="1284"/>
      <c r="AE333" s="1284"/>
      <c r="AF333" s="1284"/>
      <c r="AG333" s="1284"/>
      <c r="AH333" s="1284"/>
    </row>
    <row r="334" spans="1:36" s="1292" customFormat="1" ht="25.5" x14ac:dyDescent="0.2">
      <c r="A334" s="1291"/>
      <c r="C334" s="1332" t="str">
        <f>'TRAD-Children YEAR(1)'!B113</f>
        <v>Nb de boites / mois pour l'ensemble des patients</v>
      </c>
      <c r="D334" s="1329" t="s">
        <v>39</v>
      </c>
      <c r="E334" s="1329" t="s">
        <v>61</v>
      </c>
      <c r="F334" s="1329" t="s">
        <v>15</v>
      </c>
      <c r="G334" s="1329" t="s">
        <v>25</v>
      </c>
      <c r="H334" s="1329" t="s">
        <v>28</v>
      </c>
      <c r="I334" s="1329" t="s">
        <v>19</v>
      </c>
      <c r="J334" s="1329" t="s">
        <v>17</v>
      </c>
      <c r="K334" s="1333" t="s">
        <v>33</v>
      </c>
      <c r="L334" s="1334" t="s">
        <v>7</v>
      </c>
      <c r="M334" s="1330" t="s">
        <v>386</v>
      </c>
      <c r="N334" s="1330" t="s">
        <v>11</v>
      </c>
      <c r="O334" s="1330" t="s">
        <v>387</v>
      </c>
      <c r="P334" s="1330" t="s">
        <v>50</v>
      </c>
      <c r="Q334" s="1330" t="s">
        <v>392</v>
      </c>
      <c r="R334" s="1330" t="s">
        <v>81</v>
      </c>
      <c r="S334" s="1330" t="s">
        <v>140</v>
      </c>
      <c r="T334" s="1330" t="s">
        <v>635</v>
      </c>
      <c r="U334" s="1330" t="s">
        <v>586</v>
      </c>
      <c r="V334" s="1330" t="s">
        <v>575</v>
      </c>
      <c r="W334" s="1946"/>
      <c r="X334" s="1946"/>
      <c r="Y334" s="1946"/>
      <c r="Z334" s="1422" t="s">
        <v>15</v>
      </c>
      <c r="AA334" s="1330" t="s">
        <v>25</v>
      </c>
      <c r="AB334" s="1330" t="s">
        <v>648</v>
      </c>
      <c r="AC334" s="1330" t="s">
        <v>28</v>
      </c>
      <c r="AD334" s="1422" t="s">
        <v>19</v>
      </c>
      <c r="AE334" s="1586" t="s">
        <v>19</v>
      </c>
      <c r="AF334" s="1422" t="s">
        <v>17</v>
      </c>
      <c r="AG334" s="1330" t="s">
        <v>33</v>
      </c>
      <c r="AH334" s="1335" t="s">
        <v>638</v>
      </c>
    </row>
    <row r="335" spans="1:36" s="1292" customFormat="1" ht="77.25" thickBot="1" x14ac:dyDescent="0.25">
      <c r="A335" s="1291"/>
      <c r="C335" s="1332" t="str">
        <f>'TRAD-Children YEAR(1)'!B114</f>
        <v>Dosage</v>
      </c>
      <c r="D335" s="1329" t="s">
        <v>41</v>
      </c>
      <c r="E335" s="1329" t="s">
        <v>41</v>
      </c>
      <c r="F335" s="1329" t="s">
        <v>41</v>
      </c>
      <c r="G335" s="1329" t="s">
        <v>44</v>
      </c>
      <c r="H335" s="1329" t="s">
        <v>46</v>
      </c>
      <c r="I335" s="1329" t="s">
        <v>41</v>
      </c>
      <c r="J335" s="1329" t="s">
        <v>259</v>
      </c>
      <c r="K335" s="1333" t="s">
        <v>47</v>
      </c>
      <c r="L335" s="1336" t="s">
        <v>9</v>
      </c>
      <c r="M335" s="1331" t="s">
        <v>384</v>
      </c>
      <c r="N335" s="1331" t="s">
        <v>12</v>
      </c>
      <c r="O335" s="1331" t="s">
        <v>382</v>
      </c>
      <c r="P335" s="1331" t="s">
        <v>80</v>
      </c>
      <c r="Q335" s="1331" t="s">
        <v>131</v>
      </c>
      <c r="R335" s="1331" t="s">
        <v>733</v>
      </c>
      <c r="S335" s="1331" t="s">
        <v>334</v>
      </c>
      <c r="T335" s="1331" t="s">
        <v>636</v>
      </c>
      <c r="U335" s="1331" t="s">
        <v>649</v>
      </c>
      <c r="V335" s="1331" t="s">
        <v>636</v>
      </c>
      <c r="W335" s="1331"/>
      <c r="X335" s="1331"/>
      <c r="Y335" s="1331"/>
      <c r="Z335" s="1424" t="s">
        <v>16</v>
      </c>
      <c r="AA335" s="1331" t="s">
        <v>23</v>
      </c>
      <c r="AB335" s="1331" t="s">
        <v>639</v>
      </c>
      <c r="AC335" s="1331" t="s">
        <v>29</v>
      </c>
      <c r="AD335" s="1424" t="s">
        <v>20</v>
      </c>
      <c r="AE335" s="1424" t="s">
        <v>248</v>
      </c>
      <c r="AF335" s="1424" t="s">
        <v>20</v>
      </c>
      <c r="AG335" s="1331" t="s">
        <v>34</v>
      </c>
      <c r="AH335" s="1337" t="s">
        <v>637</v>
      </c>
      <c r="AI335" s="1320" t="str">
        <f>'TRAD-Children YEAR(1)'!B126</f>
        <v>Répartition des patients mois / tranches de poids</v>
      </c>
    </row>
    <row r="336" spans="1:36" s="1279" customFormat="1" ht="26.25" thickBot="1" x14ac:dyDescent="0.25">
      <c r="A336" s="1282"/>
      <c r="C336" s="1332" t="str">
        <f>'TRAD-Children YEAR(1)'!B115</f>
        <v>Nb de cdt/mois pour la tranche</v>
      </c>
      <c r="D336" s="1404">
        <f t="array" ref="D336:AH336">TRANSPOSE($G$224:$G$254)</f>
        <v>0</v>
      </c>
      <c r="E336" s="1404">
        <v>0</v>
      </c>
      <c r="F336" s="1404">
        <v>0</v>
      </c>
      <c r="G336" s="1404">
        <v>0</v>
      </c>
      <c r="H336" s="1404">
        <v>0</v>
      </c>
      <c r="I336" s="1404">
        <v>0</v>
      </c>
      <c r="J336" s="1404">
        <v>2.5</v>
      </c>
      <c r="K336" s="1405">
        <v>3</v>
      </c>
      <c r="L336" s="1406">
        <v>1</v>
      </c>
      <c r="M336" s="1407">
        <v>3</v>
      </c>
      <c r="N336" s="1407">
        <v>1</v>
      </c>
      <c r="O336" s="1407">
        <v>3</v>
      </c>
      <c r="P336" s="1407">
        <v>1</v>
      </c>
      <c r="Q336" s="1407">
        <v>3</v>
      </c>
      <c r="R336" s="1407">
        <v>3</v>
      </c>
      <c r="S336" s="1407">
        <v>1</v>
      </c>
      <c r="T336" s="1407">
        <v>3</v>
      </c>
      <c r="U336" s="1407">
        <v>1</v>
      </c>
      <c r="V336" s="1407">
        <v>3</v>
      </c>
      <c r="W336" s="1407">
        <v>1</v>
      </c>
      <c r="X336" s="1407">
        <v>1</v>
      </c>
      <c r="Y336" s="1407">
        <v>1</v>
      </c>
      <c r="Z336" s="1407">
        <v>1</v>
      </c>
      <c r="AA336" s="1407">
        <v>1</v>
      </c>
      <c r="AB336" s="1407">
        <v>3</v>
      </c>
      <c r="AC336" s="1407">
        <v>1</v>
      </c>
      <c r="AD336" s="1407">
        <v>1</v>
      </c>
      <c r="AE336" s="1407">
        <v>3</v>
      </c>
      <c r="AF336" s="1407">
        <v>1.5</v>
      </c>
      <c r="AG336" s="1407">
        <v>0.5</v>
      </c>
      <c r="AH336" s="1407">
        <v>2</v>
      </c>
      <c r="AI336" s="1338" t="s">
        <v>661</v>
      </c>
      <c r="AJ336" s="1281"/>
    </row>
    <row r="337" spans="1:36" s="1279" customFormat="1" ht="63.75" x14ac:dyDescent="0.2">
      <c r="A337" s="1282"/>
      <c r="B337" s="1293" t="str">
        <f>'TRAD-Children YEAR(1)'!B6</f>
        <v>Schéma thérapeutique</v>
      </c>
      <c r="C337" s="1332" t="str">
        <f>'TRAD-Children YEAR(1)'!B116</f>
        <v>Premières lignes</v>
      </c>
      <c r="D337" s="1297"/>
      <c r="E337" s="1297"/>
      <c r="F337" s="1297"/>
      <c r="G337" s="1297"/>
      <c r="H337" s="1297"/>
      <c r="I337" s="1297"/>
      <c r="J337" s="1297"/>
      <c r="K337" s="1298"/>
      <c r="L337" s="1299"/>
      <c r="M337" s="1297"/>
      <c r="N337" s="1297"/>
      <c r="O337" s="1297"/>
      <c r="P337" s="1297"/>
      <c r="Q337" s="1297"/>
      <c r="R337" s="1297"/>
      <c r="S337" s="1297"/>
      <c r="T337" s="1297"/>
      <c r="U337" s="1297"/>
      <c r="V337" s="1297"/>
      <c r="W337" s="1297"/>
      <c r="X337" s="1297"/>
      <c r="Y337" s="1297"/>
      <c r="Z337" s="1297"/>
      <c r="AA337" s="1297"/>
      <c r="AB337" s="1297"/>
      <c r="AC337" s="1297"/>
      <c r="AD337" s="1297"/>
      <c r="AE337" s="1297"/>
      <c r="AF337" s="1297"/>
      <c r="AG337" s="1297"/>
      <c r="AH337" s="1297"/>
      <c r="AI337" s="1318" t="str">
        <f>'TRAD-Children YEAR(1)'!B122</f>
        <v>nb de patients mois période quantifiée</v>
      </c>
      <c r="AJ337" s="1318" t="str">
        <f>'TRAD-Children YEAR(1)'!B123</f>
        <v>nb de patients mois avec période de sécurité</v>
      </c>
    </row>
    <row r="338" spans="1:36" s="1279" customFormat="1" ht="15" x14ac:dyDescent="0.25">
      <c r="A338" s="1282"/>
      <c r="C338" s="1319" t="str">
        <f t="array" ref="C338:C343">'Data &amp; hypothesis Children'!$C$26:$C$31</f>
        <v>D4T+3TC+NVP</v>
      </c>
      <c r="D338" s="1175">
        <f>'Data &amp; hypothesis Children'!C173</f>
        <v>0</v>
      </c>
      <c r="E338" s="1175">
        <f>'Data &amp; hypothesis Children'!D173</f>
        <v>0</v>
      </c>
      <c r="F338" s="1175">
        <f>'Data &amp; hypothesis Children'!E173</f>
        <v>0</v>
      </c>
      <c r="G338" s="1175">
        <f>'Data &amp; hypothesis Children'!F173</f>
        <v>0</v>
      </c>
      <c r="H338" s="1175">
        <f>'Data &amp; hypothesis Children'!G173</f>
        <v>0</v>
      </c>
      <c r="I338" s="1175">
        <f>'Data &amp; hypothesis Children'!H173</f>
        <v>0</v>
      </c>
      <c r="J338" s="1175">
        <f>'Data &amp; hypothesis Children'!I173</f>
        <v>0</v>
      </c>
      <c r="K338" s="1413">
        <f>'Data &amp; hypothesis Children'!J173</f>
        <v>0</v>
      </c>
      <c r="L338" s="1414">
        <f>'Data &amp; hypothesis Children'!K173</f>
        <v>0</v>
      </c>
      <c r="M338" s="1175">
        <f>'Data &amp; hypothesis Children'!L173</f>
        <v>0</v>
      </c>
      <c r="N338" s="1175">
        <f>'Data &amp; hypothesis Children'!M173</f>
        <v>0</v>
      </c>
      <c r="O338" s="1175">
        <f>'Data &amp; hypothesis Children'!N173</f>
        <v>0</v>
      </c>
      <c r="P338" s="1175">
        <f>'Data &amp; hypothesis Children'!O173</f>
        <v>0</v>
      </c>
      <c r="Q338" s="1175">
        <f>'Data &amp; hypothesis Children'!P173</f>
        <v>0</v>
      </c>
      <c r="R338" s="1175">
        <f>'Data &amp; hypothesis Children'!Q173</f>
        <v>0</v>
      </c>
      <c r="S338" s="1175">
        <f>'Data &amp; hypothesis Children'!R173</f>
        <v>0</v>
      </c>
      <c r="T338" s="1175">
        <f>'Data &amp; hypothesis Children'!S173</f>
        <v>0</v>
      </c>
      <c r="U338" s="1175">
        <f>'Data &amp; hypothesis Children'!T173</f>
        <v>0</v>
      </c>
      <c r="V338" s="1175">
        <f>'Data &amp; hypothesis Children'!U173</f>
        <v>0</v>
      </c>
      <c r="W338" s="1175">
        <f>'Data &amp; hypothesis Children'!V173</f>
        <v>0</v>
      </c>
      <c r="X338" s="1175">
        <f>'Data &amp; hypothesis Children'!W173</f>
        <v>0</v>
      </c>
      <c r="Y338" s="1175">
        <f>'Data &amp; hypothesis Children'!X173</f>
        <v>0</v>
      </c>
      <c r="Z338" s="1175">
        <f>'Data &amp; hypothesis Children'!Y173</f>
        <v>0</v>
      </c>
      <c r="AA338" s="1175">
        <f>'Data &amp; hypothesis Children'!Z173</f>
        <v>0</v>
      </c>
      <c r="AB338" s="1175">
        <f>'Data &amp; hypothesis Children'!AA173</f>
        <v>0</v>
      </c>
      <c r="AC338" s="1175">
        <f>'Data &amp; hypothesis Children'!AB173</f>
        <v>0</v>
      </c>
      <c r="AD338" s="1175">
        <f>'Data &amp; hypothesis Children'!AC173</f>
        <v>0</v>
      </c>
      <c r="AE338" s="1175">
        <f>'Data &amp; hypothesis Children'!AD173</f>
        <v>0</v>
      </c>
      <c r="AF338" s="1175">
        <f>'Data &amp; hypothesis Children'!AE173</f>
        <v>0</v>
      </c>
      <c r="AG338" s="1175">
        <f>'Data &amp; hypothesis Children'!AF173</f>
        <v>0</v>
      </c>
      <c r="AH338" s="1415">
        <f>'Data &amp; hypothesis Children'!AG173</f>
        <v>0</v>
      </c>
      <c r="AI338" s="1339" t="e">
        <f t="shared" ref="AI338:AI343" si="115">I69</f>
        <v>#DIV/0!</v>
      </c>
      <c r="AJ338" s="1340" t="e">
        <f t="shared" ref="AJ338:AJ343" si="116">I85</f>
        <v>#DIV/0!</v>
      </c>
    </row>
    <row r="339" spans="1:36" s="1279" customFormat="1" ht="15" x14ac:dyDescent="0.25">
      <c r="A339" s="1282"/>
      <c r="C339" s="1319" t="str">
        <v>AZT+3TC+NVP</v>
      </c>
      <c r="D339" s="1175">
        <f>'Data &amp; hypothesis Children'!C174</f>
        <v>0</v>
      </c>
      <c r="E339" s="1175">
        <f>'Data &amp; hypothesis Children'!D174</f>
        <v>0</v>
      </c>
      <c r="F339" s="1175">
        <f>'Data &amp; hypothesis Children'!E174</f>
        <v>0</v>
      </c>
      <c r="G339" s="1175">
        <f>'Data &amp; hypothesis Children'!F174</f>
        <v>0</v>
      </c>
      <c r="H339" s="1175">
        <f>'Data &amp; hypothesis Children'!G174</f>
        <v>0</v>
      </c>
      <c r="I339" s="1175">
        <f>'Data &amp; hypothesis Children'!H174</f>
        <v>0</v>
      </c>
      <c r="J339" s="1175">
        <f>'Data &amp; hypothesis Children'!I174</f>
        <v>0</v>
      </c>
      <c r="K339" s="1413">
        <f>'Data &amp; hypothesis Children'!J174</f>
        <v>0</v>
      </c>
      <c r="L339" s="1414">
        <f>'Data &amp; hypothesis Children'!K174</f>
        <v>0</v>
      </c>
      <c r="M339" s="1175" t="str">
        <f>'Data &amp; hypothesis Children'!L174</f>
        <v>X</v>
      </c>
      <c r="N339" s="1175">
        <f>'Data &amp; hypothesis Children'!M174</f>
        <v>0</v>
      </c>
      <c r="O339" s="1175">
        <f>'Data &amp; hypothesis Children'!N174</f>
        <v>0</v>
      </c>
      <c r="P339" s="1175">
        <f>'Data &amp; hypothesis Children'!O174</f>
        <v>0</v>
      </c>
      <c r="Q339" s="1175">
        <f>'Data &amp; hypothesis Children'!P174</f>
        <v>0</v>
      </c>
      <c r="R339" s="1175">
        <f>'Data &amp; hypothesis Children'!Q174</f>
        <v>0</v>
      </c>
      <c r="S339" s="1175">
        <f>'Data &amp; hypothesis Children'!R174</f>
        <v>0</v>
      </c>
      <c r="T339" s="1175">
        <f>'Data &amp; hypothesis Children'!S174</f>
        <v>0</v>
      </c>
      <c r="U339" s="1175">
        <f>'Data &amp; hypothesis Children'!T174</f>
        <v>0</v>
      </c>
      <c r="V339" s="1175">
        <f>'Data &amp; hypothesis Children'!U174</f>
        <v>0</v>
      </c>
      <c r="W339" s="1175">
        <f>'Data &amp; hypothesis Children'!V174</f>
        <v>0</v>
      </c>
      <c r="X339" s="1175">
        <f>'Data &amp; hypothesis Children'!W174</f>
        <v>0</v>
      </c>
      <c r="Y339" s="1175">
        <f>'Data &amp; hypothesis Children'!X174</f>
        <v>0</v>
      </c>
      <c r="Z339" s="1175">
        <f>'Data &amp; hypothesis Children'!Y174</f>
        <v>0</v>
      </c>
      <c r="AA339" s="1175">
        <f>'Data &amp; hypothesis Children'!Z174</f>
        <v>0</v>
      </c>
      <c r="AB339" s="1175">
        <f>'Data &amp; hypothesis Children'!AA174</f>
        <v>0</v>
      </c>
      <c r="AC339" s="1175">
        <f>'Data &amp; hypothesis Children'!AB174</f>
        <v>0</v>
      </c>
      <c r="AD339" s="1175">
        <f>'Data &amp; hypothesis Children'!AC174</f>
        <v>0</v>
      </c>
      <c r="AE339" s="1175">
        <f>'Data &amp; hypothesis Children'!AD174</f>
        <v>0</v>
      </c>
      <c r="AF339" s="1175">
        <f>'Data &amp; hypothesis Children'!AE174</f>
        <v>0</v>
      </c>
      <c r="AG339" s="1175">
        <f>'Data &amp; hypothesis Children'!AF174</f>
        <v>0</v>
      </c>
      <c r="AH339" s="1415">
        <f>'Data &amp; hypothesis Children'!AG174</f>
        <v>0</v>
      </c>
      <c r="AI339" s="1339" t="e">
        <f t="shared" si="115"/>
        <v>#DIV/0!</v>
      </c>
      <c r="AJ339" s="1340" t="e">
        <f t="shared" si="116"/>
        <v>#DIV/0!</v>
      </c>
    </row>
    <row r="340" spans="1:36" s="1279" customFormat="1" ht="15" x14ac:dyDescent="0.25">
      <c r="A340" s="1282"/>
      <c r="C340" s="1319" t="str">
        <v>AZT+3TC+EFV</v>
      </c>
      <c r="D340" s="1175">
        <f>'Data &amp; hypothesis Children'!C175</f>
        <v>0</v>
      </c>
      <c r="E340" s="1175">
        <f>'Data &amp; hypothesis Children'!D175</f>
        <v>0</v>
      </c>
      <c r="F340" s="1175">
        <f>'Data &amp; hypothesis Children'!E175</f>
        <v>0</v>
      </c>
      <c r="G340" s="1175">
        <f>'Data &amp; hypothesis Children'!F175</f>
        <v>0</v>
      </c>
      <c r="H340" s="1175">
        <f>'Data &amp; hypothesis Children'!G175</f>
        <v>0</v>
      </c>
      <c r="I340" s="1175">
        <f>'Data &amp; hypothesis Children'!H175</f>
        <v>0</v>
      </c>
      <c r="J340" s="1175">
        <f>'Data &amp; hypothesis Children'!I175</f>
        <v>0</v>
      </c>
      <c r="K340" s="1413">
        <f>'Data &amp; hypothesis Children'!J175</f>
        <v>0</v>
      </c>
      <c r="L340" s="1414">
        <f>'Data &amp; hypothesis Children'!K175</f>
        <v>0</v>
      </c>
      <c r="M340" s="1175">
        <f>'Data &amp; hypothesis Children'!L175</f>
        <v>0</v>
      </c>
      <c r="N340" s="1175">
        <f>'Data &amp; hypothesis Children'!M175</f>
        <v>0</v>
      </c>
      <c r="O340" s="1175" t="str">
        <f>'Data &amp; hypothesis Children'!N175</f>
        <v>X</v>
      </c>
      <c r="P340" s="1175">
        <f>'Data &amp; hypothesis Children'!O175</f>
        <v>0</v>
      </c>
      <c r="Q340" s="1175">
        <f>'Data &amp; hypothesis Children'!P175</f>
        <v>0</v>
      </c>
      <c r="R340" s="1175">
        <f>'Data &amp; hypothesis Children'!Q175</f>
        <v>0</v>
      </c>
      <c r="S340" s="1175">
        <f>'Data &amp; hypothesis Children'!R175</f>
        <v>0</v>
      </c>
      <c r="T340" s="1175">
        <f>'Data &amp; hypothesis Children'!S175</f>
        <v>0</v>
      </c>
      <c r="U340" s="1175">
        <f>'Data &amp; hypothesis Children'!T175</f>
        <v>0</v>
      </c>
      <c r="V340" s="1175">
        <f>'Data &amp; hypothesis Children'!U175</f>
        <v>0</v>
      </c>
      <c r="W340" s="1175">
        <f>'Data &amp; hypothesis Children'!V175</f>
        <v>0</v>
      </c>
      <c r="X340" s="1175">
        <f>'Data &amp; hypothesis Children'!W175</f>
        <v>0</v>
      </c>
      <c r="Y340" s="1175">
        <f>'Data &amp; hypothesis Children'!X175</f>
        <v>0</v>
      </c>
      <c r="Z340" s="1175">
        <f>'Data &amp; hypothesis Children'!Y175</f>
        <v>0</v>
      </c>
      <c r="AA340" s="1175">
        <f>'Data &amp; hypothesis Children'!Z175</f>
        <v>0</v>
      </c>
      <c r="AB340" s="1175">
        <f>'Data &amp; hypothesis Children'!AA175</f>
        <v>0</v>
      </c>
      <c r="AC340" s="1175">
        <f>'Data &amp; hypothesis Children'!AB175</f>
        <v>0</v>
      </c>
      <c r="AD340" s="1175">
        <f>'Data &amp; hypothesis Children'!AC175</f>
        <v>0</v>
      </c>
      <c r="AE340" s="1175">
        <f>'Data &amp; hypothesis Children'!AD175</f>
        <v>0</v>
      </c>
      <c r="AF340" s="1175" t="str">
        <f>'Data &amp; hypothesis Children'!AE175</f>
        <v>X</v>
      </c>
      <c r="AG340" s="1175">
        <f>'Data &amp; hypothesis Children'!AF175</f>
        <v>0</v>
      </c>
      <c r="AH340" s="1415">
        <f>'Data &amp; hypothesis Children'!AG175</f>
        <v>0</v>
      </c>
      <c r="AI340" s="1339" t="e">
        <f t="shared" si="115"/>
        <v>#DIV/0!</v>
      </c>
      <c r="AJ340" s="1340" t="e">
        <f t="shared" si="116"/>
        <v>#DIV/0!</v>
      </c>
    </row>
    <row r="341" spans="1:36" s="1279" customFormat="1" ht="15" x14ac:dyDescent="0.25">
      <c r="A341" s="1282"/>
      <c r="C341" s="1319" t="str">
        <v>LPV/r+3TC+ABC</v>
      </c>
      <c r="D341" s="1175">
        <f>'Data &amp; hypothesis Children'!C176</f>
        <v>0</v>
      </c>
      <c r="E341" s="1175">
        <f>'Data &amp; hypothesis Children'!D176</f>
        <v>0</v>
      </c>
      <c r="F341" s="1175">
        <f>'Data &amp; hypothesis Children'!E176</f>
        <v>0</v>
      </c>
      <c r="G341" s="1175">
        <f>'Data &amp; hypothesis Children'!F176</f>
        <v>0</v>
      </c>
      <c r="H341" s="1175">
        <f>'Data &amp; hypothesis Children'!G176</f>
        <v>0</v>
      </c>
      <c r="I341" s="1175">
        <f>'Data &amp; hypothesis Children'!H176</f>
        <v>0</v>
      </c>
      <c r="J341" s="1175">
        <f>'Data &amp; hypothesis Children'!I176</f>
        <v>0</v>
      </c>
      <c r="K341" s="1413">
        <f>'Data &amp; hypothesis Children'!J176</f>
        <v>0</v>
      </c>
      <c r="L341" s="1414">
        <f>'Data &amp; hypothesis Children'!K176</f>
        <v>0</v>
      </c>
      <c r="M341" s="1175">
        <f>'Data &amp; hypothesis Children'!L176</f>
        <v>0</v>
      </c>
      <c r="N341" s="1175">
        <f>'Data &amp; hypothesis Children'!M176</f>
        <v>0</v>
      </c>
      <c r="O341" s="1175">
        <f>'Data &amp; hypothesis Children'!N176</f>
        <v>0</v>
      </c>
      <c r="P341" s="1175">
        <f>'Data &amp; hypothesis Children'!O176</f>
        <v>0</v>
      </c>
      <c r="Q341" s="1175">
        <f>'Data &amp; hypothesis Children'!P176</f>
        <v>0</v>
      </c>
      <c r="R341" s="1175">
        <f>'Data &amp; hypothesis Children'!Q176</f>
        <v>0</v>
      </c>
      <c r="S341" s="1175">
        <f>'Data &amp; hypothesis Children'!R176</f>
        <v>0</v>
      </c>
      <c r="T341" s="1175">
        <f>'Data &amp; hypothesis Children'!S176</f>
        <v>0</v>
      </c>
      <c r="U341" s="1175">
        <f>'Data &amp; hypothesis Children'!T176</f>
        <v>0</v>
      </c>
      <c r="V341" s="1175">
        <f>'Data &amp; hypothesis Children'!U176</f>
        <v>0</v>
      </c>
      <c r="W341" s="1175">
        <f>'Data &amp; hypothesis Children'!V176</f>
        <v>0</v>
      </c>
      <c r="X341" s="1175">
        <f>'Data &amp; hypothesis Children'!W176</f>
        <v>0</v>
      </c>
      <c r="Y341" s="1175">
        <f>'Data &amp; hypothesis Children'!X176</f>
        <v>0</v>
      </c>
      <c r="Z341" s="1175">
        <f>'Data &amp; hypothesis Children'!Y176</f>
        <v>0</v>
      </c>
      <c r="AA341" s="1175">
        <f>'Data &amp; hypothesis Children'!Z176</f>
        <v>0</v>
      </c>
      <c r="AB341" s="1175">
        <f>'Data &amp; hypothesis Children'!AA176</f>
        <v>0</v>
      </c>
      <c r="AC341" s="1175">
        <f>'Data &amp; hypothesis Children'!AB176</f>
        <v>0</v>
      </c>
      <c r="AD341" s="1175">
        <f>'Data &amp; hypothesis Children'!AC176</f>
        <v>0</v>
      </c>
      <c r="AE341" s="1175">
        <f>'Data &amp; hypothesis Children'!AD176</f>
        <v>0</v>
      </c>
      <c r="AF341" s="1175">
        <f>'Data &amp; hypothesis Children'!AE176</f>
        <v>0</v>
      </c>
      <c r="AG341" s="1175">
        <f>'Data &amp; hypothesis Children'!AF176</f>
        <v>0</v>
      </c>
      <c r="AH341" s="1415">
        <f>'Data &amp; hypothesis Children'!AG176</f>
        <v>0</v>
      </c>
      <c r="AI341" s="1339" t="e">
        <f t="shared" si="115"/>
        <v>#DIV/0!</v>
      </c>
      <c r="AJ341" s="1340" t="e">
        <f t="shared" si="116"/>
        <v>#DIV/0!</v>
      </c>
    </row>
    <row r="342" spans="1:36" s="1279" customFormat="1" ht="15" x14ac:dyDescent="0.25">
      <c r="A342" s="1282"/>
      <c r="C342" s="1319" t="str">
        <v>ABC+3TC+NVP</v>
      </c>
      <c r="D342" s="1175">
        <f>'Data &amp; hypothesis Children'!C177</f>
        <v>0</v>
      </c>
      <c r="E342" s="1175">
        <f>'Data &amp; hypothesis Children'!D177</f>
        <v>0</v>
      </c>
      <c r="F342" s="1175">
        <f>'Data &amp; hypothesis Children'!E177</f>
        <v>0</v>
      </c>
      <c r="G342" s="1175">
        <f>'Data &amp; hypothesis Children'!F177</f>
        <v>0</v>
      </c>
      <c r="H342" s="1175">
        <f>'Data &amp; hypothesis Children'!G177</f>
        <v>0</v>
      </c>
      <c r="I342" s="1175">
        <f>'Data &amp; hypothesis Children'!H177</f>
        <v>0</v>
      </c>
      <c r="J342" s="1175">
        <f>'Data &amp; hypothesis Children'!I177</f>
        <v>0</v>
      </c>
      <c r="K342" s="1413">
        <f>'Data &amp; hypothesis Children'!J177</f>
        <v>0</v>
      </c>
      <c r="L342" s="1414">
        <f>'Data &amp; hypothesis Children'!K177</f>
        <v>0</v>
      </c>
      <c r="M342" s="1175">
        <f>'Data &amp; hypothesis Children'!L177</f>
        <v>0</v>
      </c>
      <c r="N342" s="1175">
        <f>'Data &amp; hypothesis Children'!M177</f>
        <v>0</v>
      </c>
      <c r="O342" s="1175">
        <f>'Data &amp; hypothesis Children'!N177</f>
        <v>0</v>
      </c>
      <c r="P342" s="1175">
        <f>'Data &amp; hypothesis Children'!O177</f>
        <v>0</v>
      </c>
      <c r="Q342" s="1175">
        <f>'Data &amp; hypothesis Children'!P177</f>
        <v>0</v>
      </c>
      <c r="R342" s="1175">
        <f>'Data &amp; hypothesis Children'!Q177</f>
        <v>0</v>
      </c>
      <c r="S342" s="1175">
        <f>'Data &amp; hypothesis Children'!R177</f>
        <v>0</v>
      </c>
      <c r="T342" s="1175">
        <f>'Data &amp; hypothesis Children'!S177</f>
        <v>0</v>
      </c>
      <c r="U342" s="1175">
        <f>'Data &amp; hypothesis Children'!T177</f>
        <v>0</v>
      </c>
      <c r="V342" s="1175" t="str">
        <f>'Data &amp; hypothesis Children'!U177</f>
        <v>X</v>
      </c>
      <c r="W342" s="1175">
        <f>'Data &amp; hypothesis Children'!V177</f>
        <v>0</v>
      </c>
      <c r="X342" s="1175">
        <f>'Data &amp; hypothesis Children'!W177</f>
        <v>0</v>
      </c>
      <c r="Y342" s="1175">
        <f>'Data &amp; hypothesis Children'!X177</f>
        <v>0</v>
      </c>
      <c r="Z342" s="1175">
        <f>'Data &amp; hypothesis Children'!Y177</f>
        <v>0</v>
      </c>
      <c r="AA342" s="1175">
        <f>'Data &amp; hypothesis Children'!Z177</f>
        <v>0</v>
      </c>
      <c r="AB342" s="1175">
        <f>'Data &amp; hypothesis Children'!AA177</f>
        <v>0</v>
      </c>
      <c r="AC342" s="1175">
        <f>'Data &amp; hypothesis Children'!AB177</f>
        <v>0</v>
      </c>
      <c r="AD342" s="1175">
        <f>'Data &amp; hypothesis Children'!AC177</f>
        <v>0</v>
      </c>
      <c r="AE342" s="1175" t="str">
        <f>'Data &amp; hypothesis Children'!AD177</f>
        <v>X</v>
      </c>
      <c r="AF342" s="1175">
        <f>'Data &amp; hypothesis Children'!AE177</f>
        <v>0</v>
      </c>
      <c r="AG342" s="1175">
        <f>'Data &amp; hypothesis Children'!AF177</f>
        <v>0</v>
      </c>
      <c r="AH342" s="1415">
        <f>'Data &amp; hypothesis Children'!AG177</f>
        <v>0</v>
      </c>
      <c r="AI342" s="1339" t="e">
        <f t="shared" si="115"/>
        <v>#DIV/0!</v>
      </c>
      <c r="AJ342" s="1340" t="e">
        <f t="shared" si="116"/>
        <v>#DIV/0!</v>
      </c>
    </row>
    <row r="343" spans="1:36" s="1279" customFormat="1" ht="15" x14ac:dyDescent="0.25">
      <c r="A343" s="1282"/>
      <c r="C343" s="1319" t="str">
        <v>AZT+3TC+LPV/r</v>
      </c>
      <c r="D343" s="1175">
        <f>'Data &amp; hypothesis Children'!C178</f>
        <v>0</v>
      </c>
      <c r="E343" s="1175">
        <f>'Data &amp; hypothesis Children'!D178</f>
        <v>0</v>
      </c>
      <c r="F343" s="1175">
        <f>'Data &amp; hypothesis Children'!E178</f>
        <v>0</v>
      </c>
      <c r="G343" s="1175">
        <f>'Data &amp; hypothesis Children'!F178</f>
        <v>0</v>
      </c>
      <c r="H343" s="1175">
        <f>'Data &amp; hypothesis Children'!G178</f>
        <v>0</v>
      </c>
      <c r="I343" s="1175">
        <f>'Data &amp; hypothesis Children'!H178</f>
        <v>0</v>
      </c>
      <c r="J343" s="1175">
        <f>'Data &amp; hypothesis Children'!I178</f>
        <v>0</v>
      </c>
      <c r="K343" s="1413">
        <f>'Data &amp; hypothesis Children'!J178</f>
        <v>0</v>
      </c>
      <c r="L343" s="1414">
        <f>'Data &amp; hypothesis Children'!K178</f>
        <v>0</v>
      </c>
      <c r="M343" s="1175">
        <f>'Data &amp; hypothesis Children'!L178</f>
        <v>0</v>
      </c>
      <c r="N343" s="1175">
        <f>'Data &amp; hypothesis Children'!M178</f>
        <v>0</v>
      </c>
      <c r="O343" s="1175" t="str">
        <f>'Data &amp; hypothesis Children'!N178</f>
        <v>X</v>
      </c>
      <c r="P343" s="1175">
        <f>'Data &amp; hypothesis Children'!O178</f>
        <v>0</v>
      </c>
      <c r="Q343" s="1175">
        <f>'Data &amp; hypothesis Children'!P178</f>
        <v>0</v>
      </c>
      <c r="R343" s="1175">
        <f>'Data &amp; hypothesis Children'!Q178</f>
        <v>0</v>
      </c>
      <c r="S343" s="1175">
        <f>'Data &amp; hypothesis Children'!R178</f>
        <v>0</v>
      </c>
      <c r="T343" s="1175">
        <f>'Data &amp; hypothesis Children'!S178</f>
        <v>0</v>
      </c>
      <c r="U343" s="1175">
        <f>'Data &amp; hypothesis Children'!T178</f>
        <v>0</v>
      </c>
      <c r="V343" s="1175">
        <f>'Data &amp; hypothesis Children'!U178</f>
        <v>0</v>
      </c>
      <c r="W343" s="1175">
        <f>'Data &amp; hypothesis Children'!V178</f>
        <v>0</v>
      </c>
      <c r="X343" s="1175">
        <f>'Data &amp; hypothesis Children'!W178</f>
        <v>0</v>
      </c>
      <c r="Y343" s="1175">
        <f>'Data &amp; hypothesis Children'!X178</f>
        <v>0</v>
      </c>
      <c r="Z343" s="1175">
        <f>'Data &amp; hypothesis Children'!Y178</f>
        <v>0</v>
      </c>
      <c r="AA343" s="1175">
        <f>'Data &amp; hypothesis Children'!Z178</f>
        <v>0</v>
      </c>
      <c r="AB343" s="1175">
        <f>'Data &amp; hypothesis Children'!AA178</f>
        <v>0</v>
      </c>
      <c r="AC343" s="1175">
        <f>'Data &amp; hypothesis Children'!AB178</f>
        <v>0</v>
      </c>
      <c r="AD343" s="1175">
        <f>'Data &amp; hypothesis Children'!AC178</f>
        <v>0</v>
      </c>
      <c r="AE343" s="1175">
        <f>'Data &amp; hypothesis Children'!AD178</f>
        <v>0</v>
      </c>
      <c r="AF343" s="1175">
        <f>'Data &amp; hypothesis Children'!AE178</f>
        <v>0</v>
      </c>
      <c r="AG343" s="1175">
        <f>'Data &amp; hypothesis Children'!AF178</f>
        <v>0</v>
      </c>
      <c r="AH343" s="1415" t="str">
        <f>'Data &amp; hypothesis Children'!AG178</f>
        <v>X</v>
      </c>
      <c r="AI343" s="1339" t="e">
        <f t="shared" si="115"/>
        <v>#DIV/0!</v>
      </c>
      <c r="AJ343" s="1340" t="e">
        <f t="shared" si="116"/>
        <v>#DIV/0!</v>
      </c>
    </row>
    <row r="344" spans="1:36" s="1279" customFormat="1" x14ac:dyDescent="0.2">
      <c r="A344" s="1282"/>
      <c r="C344" s="1296" t="str">
        <f>'TRAD-Children YEAR(1)'!$B$117</f>
        <v>Deuxièmes lignes</v>
      </c>
      <c r="D344" s="1410"/>
      <c r="E344" s="1410"/>
      <c r="F344" s="1410"/>
      <c r="G344" s="1410"/>
      <c r="H344" s="1410"/>
      <c r="I344" s="1410"/>
      <c r="J344" s="1410"/>
      <c r="K344" s="1411"/>
      <c r="L344" s="1412"/>
      <c r="M344" s="1410"/>
      <c r="N344" s="1410"/>
      <c r="O344" s="1410"/>
      <c r="P344" s="1410"/>
      <c r="Q344" s="1410"/>
      <c r="R344" s="1410"/>
      <c r="S344" s="1410"/>
      <c r="T344" s="1410"/>
      <c r="U344" s="1410"/>
      <c r="V344" s="1410"/>
      <c r="W344" s="1410"/>
      <c r="X344" s="1410"/>
      <c r="Y344" s="1410"/>
      <c r="Z344" s="1410"/>
      <c r="AA344" s="1410"/>
      <c r="AB344" s="1410"/>
      <c r="AC344" s="1410"/>
      <c r="AD344" s="1410"/>
      <c r="AE344" s="1410"/>
      <c r="AF344" s="1410"/>
      <c r="AG344" s="1410"/>
      <c r="AH344" s="1416"/>
      <c r="AI344" s="1339"/>
      <c r="AJ344" s="1340"/>
    </row>
    <row r="345" spans="1:36" s="1279" customFormat="1" ht="15" x14ac:dyDescent="0.25">
      <c r="A345" s="1282"/>
      <c r="C345" s="1301" t="str">
        <f t="array" ref="C345:C348">'Data &amp; hypothesis Children'!$C$32:$C$35</f>
        <v>ABC+3TC+EFV</v>
      </c>
      <c r="D345" s="1175">
        <f>'Data &amp; hypothesis Children'!C180</f>
        <v>0</v>
      </c>
      <c r="E345" s="1175">
        <f>'Data &amp; hypothesis Children'!D180</f>
        <v>0</v>
      </c>
      <c r="F345" s="1175">
        <f>'Data &amp; hypothesis Children'!E180</f>
        <v>0</v>
      </c>
      <c r="G345" s="1175">
        <f>'Data &amp; hypothesis Children'!F180</f>
        <v>0</v>
      </c>
      <c r="H345" s="1175">
        <f>'Data &amp; hypothesis Children'!G180</f>
        <v>0</v>
      </c>
      <c r="I345" s="1175">
        <f>'Data &amp; hypothesis Children'!H180</f>
        <v>0</v>
      </c>
      <c r="J345" s="1175">
        <f>'Data &amp; hypothesis Children'!I180</f>
        <v>0</v>
      </c>
      <c r="K345" s="1413">
        <f>'Data &amp; hypothesis Children'!J180</f>
        <v>0</v>
      </c>
      <c r="L345" s="1414">
        <f>'Data &amp; hypothesis Children'!K180</f>
        <v>0</v>
      </c>
      <c r="M345" s="1175">
        <f>'Data &amp; hypothesis Children'!L180</f>
        <v>0</v>
      </c>
      <c r="N345" s="1175">
        <f>'Data &amp; hypothesis Children'!M180</f>
        <v>0</v>
      </c>
      <c r="O345" s="1175">
        <f>'Data &amp; hypothesis Children'!N180</f>
        <v>0</v>
      </c>
      <c r="P345" s="1175">
        <f>'Data &amp; hypothesis Children'!O180</f>
        <v>0</v>
      </c>
      <c r="Q345" s="1175">
        <f>'Data &amp; hypothesis Children'!P180</f>
        <v>0</v>
      </c>
      <c r="R345" s="1175">
        <f>'Data &amp; hypothesis Children'!Q180</f>
        <v>0</v>
      </c>
      <c r="S345" s="1175">
        <f>'Data &amp; hypothesis Children'!R180</f>
        <v>0</v>
      </c>
      <c r="T345" s="1175">
        <f>'Data &amp; hypothesis Children'!S180</f>
        <v>0</v>
      </c>
      <c r="U345" s="1175">
        <f>'Data &amp; hypothesis Children'!T180</f>
        <v>0</v>
      </c>
      <c r="V345" s="1175" t="str">
        <f>'Data &amp; hypothesis Children'!U180</f>
        <v>X</v>
      </c>
      <c r="W345" s="1175">
        <f>'Data &amp; hypothesis Children'!V180</f>
        <v>0</v>
      </c>
      <c r="X345" s="1175">
        <f>'Data &amp; hypothesis Children'!W180</f>
        <v>0</v>
      </c>
      <c r="Y345" s="1175">
        <f>'Data &amp; hypothesis Children'!X180</f>
        <v>0</v>
      </c>
      <c r="Z345" s="1175">
        <f>'Data &amp; hypothesis Children'!Y180</f>
        <v>0</v>
      </c>
      <c r="AA345" s="1175">
        <f>'Data &amp; hypothesis Children'!Z180</f>
        <v>0</v>
      </c>
      <c r="AB345" s="1175">
        <f>'Data &amp; hypothesis Children'!AA180</f>
        <v>0</v>
      </c>
      <c r="AC345" s="1175">
        <f>'Data &amp; hypothesis Children'!AB180</f>
        <v>0</v>
      </c>
      <c r="AD345" s="1175">
        <f>'Data &amp; hypothesis Children'!AC180</f>
        <v>0</v>
      </c>
      <c r="AE345" s="1175">
        <f>'Data &amp; hypothesis Children'!AD180</f>
        <v>0</v>
      </c>
      <c r="AF345" s="1175" t="str">
        <f>'Data &amp; hypothesis Children'!AE180</f>
        <v>X</v>
      </c>
      <c r="AG345" s="1175">
        <f>'Data &amp; hypothesis Children'!AF180</f>
        <v>0</v>
      </c>
      <c r="AH345" s="1415">
        <f>'Data &amp; hypothesis Children'!AG180</f>
        <v>0</v>
      </c>
      <c r="AI345" s="1339" t="e">
        <f>I75</f>
        <v>#DIV/0!</v>
      </c>
      <c r="AJ345" s="1340" t="e">
        <f>I91</f>
        <v>#DIV/0!</v>
      </c>
    </row>
    <row r="346" spans="1:36" s="1279" customFormat="1" ht="15" x14ac:dyDescent="0.25">
      <c r="A346" s="1282"/>
      <c r="C346" s="1301" t="str">
        <v>TDF+3TC+LPV/r</v>
      </c>
      <c r="D346" s="1175">
        <f>'Data &amp; hypothesis Children'!C181</f>
        <v>0</v>
      </c>
      <c r="E346" s="1175">
        <f>'Data &amp; hypothesis Children'!D181</f>
        <v>0</v>
      </c>
      <c r="F346" s="1175">
        <f>'Data &amp; hypothesis Children'!E181</f>
        <v>0</v>
      </c>
      <c r="G346" s="1175">
        <f>'Data &amp; hypothesis Children'!F181</f>
        <v>0</v>
      </c>
      <c r="H346" s="1175">
        <f>'Data &amp; hypothesis Children'!G181</f>
        <v>0</v>
      </c>
      <c r="I346" s="1175">
        <f>'Data &amp; hypothesis Children'!H181</f>
        <v>0</v>
      </c>
      <c r="J346" s="1175">
        <f>'Data &amp; hypothesis Children'!I181</f>
        <v>0</v>
      </c>
      <c r="K346" s="1413">
        <f>'Data &amp; hypothesis Children'!J181</f>
        <v>0</v>
      </c>
      <c r="L346" s="1414">
        <f>'Data &amp; hypothesis Children'!K181</f>
        <v>0</v>
      </c>
      <c r="M346" s="1175">
        <f>'Data &amp; hypothesis Children'!L181</f>
        <v>0</v>
      </c>
      <c r="N346" s="1175">
        <f>'Data &amp; hypothesis Children'!M181</f>
        <v>0</v>
      </c>
      <c r="O346" s="1175">
        <f>'Data &amp; hypothesis Children'!N181</f>
        <v>0</v>
      </c>
      <c r="P346" s="1175">
        <f>'Data &amp; hypothesis Children'!O181</f>
        <v>0</v>
      </c>
      <c r="Q346" s="1175">
        <f>'Data &amp; hypothesis Children'!P181</f>
        <v>0</v>
      </c>
      <c r="R346" s="1175">
        <f>'Data &amp; hypothesis Children'!Q181</f>
        <v>0</v>
      </c>
      <c r="S346" s="1175">
        <f>'Data &amp; hypothesis Children'!R181</f>
        <v>0</v>
      </c>
      <c r="T346" s="1175">
        <f>'Data &amp; hypothesis Children'!S181</f>
        <v>0</v>
      </c>
      <c r="U346" s="1175">
        <f>'Data &amp; hypothesis Children'!T181</f>
        <v>0</v>
      </c>
      <c r="V346" s="1175">
        <f>'Data &amp; hypothesis Children'!U181</f>
        <v>0</v>
      </c>
      <c r="W346" s="1175">
        <f>'Data &amp; hypothesis Children'!V181</f>
        <v>0</v>
      </c>
      <c r="X346" s="1175" t="str">
        <f>'Data &amp; hypothesis Children'!W181</f>
        <v>X</v>
      </c>
      <c r="Y346" s="1175">
        <f>'Data &amp; hypothesis Children'!X181</f>
        <v>0</v>
      </c>
      <c r="Z346" s="1175">
        <f>'Data &amp; hypothesis Children'!Y181</f>
        <v>0</v>
      </c>
      <c r="AA346" s="1175">
        <f>'Data &amp; hypothesis Children'!Z181</f>
        <v>0</v>
      </c>
      <c r="AB346" s="1175">
        <f>'Data &amp; hypothesis Children'!AA181</f>
        <v>0</v>
      </c>
      <c r="AC346" s="1175">
        <f>'Data &amp; hypothesis Children'!AB181</f>
        <v>0</v>
      </c>
      <c r="AD346" s="1175">
        <f>'Data &amp; hypothesis Children'!AC181</f>
        <v>0</v>
      </c>
      <c r="AE346" s="1175">
        <f>'Data &amp; hypothesis Children'!AD181</f>
        <v>0</v>
      </c>
      <c r="AF346" s="1175">
        <f>'Data &amp; hypothesis Children'!AE181</f>
        <v>0</v>
      </c>
      <c r="AG346" s="1175">
        <f>'Data &amp; hypothesis Children'!AF181</f>
        <v>0</v>
      </c>
      <c r="AH346" s="1415" t="str">
        <f>'Data &amp; hypothesis Children'!AG181</f>
        <v>X</v>
      </c>
      <c r="AI346" s="1339" t="e">
        <f t="shared" ref="AI346:AI347" si="117">I76</f>
        <v>#DIV/0!</v>
      </c>
      <c r="AJ346" s="1340" t="e">
        <f t="shared" ref="AJ346:AJ347" si="118">I92</f>
        <v>#DIV/0!</v>
      </c>
    </row>
    <row r="347" spans="1:36" s="1279" customFormat="1" ht="15" x14ac:dyDescent="0.25">
      <c r="A347" s="1282"/>
      <c r="C347" s="1301" t="str">
        <v>AZT+3TC+EFV</v>
      </c>
      <c r="D347" s="1175">
        <f>'Data &amp; hypothesis Children'!C182</f>
        <v>0</v>
      </c>
      <c r="E347" s="1175">
        <f>'Data &amp; hypothesis Children'!D182</f>
        <v>0</v>
      </c>
      <c r="F347" s="1175">
        <f>'Data &amp; hypothesis Children'!E182</f>
        <v>0</v>
      </c>
      <c r="G347" s="1175">
        <f>'Data &amp; hypothesis Children'!F182</f>
        <v>0</v>
      </c>
      <c r="H347" s="1175">
        <f>'Data &amp; hypothesis Children'!G182</f>
        <v>0</v>
      </c>
      <c r="I347" s="1175">
        <f>'Data &amp; hypothesis Children'!H182</f>
        <v>0</v>
      </c>
      <c r="J347" s="1175">
        <f>'Data &amp; hypothesis Children'!I182</f>
        <v>0</v>
      </c>
      <c r="K347" s="1413">
        <f>'Data &amp; hypothesis Children'!J182</f>
        <v>0</v>
      </c>
      <c r="L347" s="1414">
        <f>'Data &amp; hypothesis Children'!K182</f>
        <v>0</v>
      </c>
      <c r="M347" s="1175">
        <f>'Data &amp; hypothesis Children'!L182</f>
        <v>0</v>
      </c>
      <c r="N347" s="1175">
        <f>'Data &amp; hypothesis Children'!M182</f>
        <v>0</v>
      </c>
      <c r="O347" s="1175">
        <f>'Data &amp; hypothesis Children'!N182</f>
        <v>0</v>
      </c>
      <c r="P347" s="1175">
        <f>'Data &amp; hypothesis Children'!O182</f>
        <v>0</v>
      </c>
      <c r="Q347" s="1175">
        <f>'Data &amp; hypothesis Children'!P182</f>
        <v>0</v>
      </c>
      <c r="R347" s="1175">
        <f>'Data &amp; hypothesis Children'!Q182</f>
        <v>0</v>
      </c>
      <c r="S347" s="1175">
        <f>'Data &amp; hypothesis Children'!R182</f>
        <v>0</v>
      </c>
      <c r="T347" s="1175">
        <f>'Data &amp; hypothesis Children'!S182</f>
        <v>0</v>
      </c>
      <c r="U347" s="1175">
        <f>'Data &amp; hypothesis Children'!T182</f>
        <v>0</v>
      </c>
      <c r="V347" s="1175">
        <f>'Data &amp; hypothesis Children'!U182</f>
        <v>0</v>
      </c>
      <c r="W347" s="1175">
        <f>'Data &amp; hypothesis Children'!V182</f>
        <v>0</v>
      </c>
      <c r="X347" s="1175">
        <f>'Data &amp; hypothesis Children'!W182</f>
        <v>0</v>
      </c>
      <c r="Y347" s="1175">
        <f>'Data &amp; hypothesis Children'!X182</f>
        <v>0</v>
      </c>
      <c r="Z347" s="1175">
        <f>'Data &amp; hypothesis Children'!Y182</f>
        <v>0</v>
      </c>
      <c r="AA347" s="1175">
        <f>'Data &amp; hypothesis Children'!Z182</f>
        <v>0</v>
      </c>
      <c r="AB347" s="1175">
        <f>'Data &amp; hypothesis Children'!AA182</f>
        <v>0</v>
      </c>
      <c r="AC347" s="1175">
        <f>'Data &amp; hypothesis Children'!AB182</f>
        <v>0</v>
      </c>
      <c r="AD347" s="1175">
        <f>'Data &amp; hypothesis Children'!AC182</f>
        <v>0</v>
      </c>
      <c r="AE347" s="1175">
        <f>'Data &amp; hypothesis Children'!AD182</f>
        <v>0</v>
      </c>
      <c r="AF347" s="1175">
        <f>'Data &amp; hypothesis Children'!AE182</f>
        <v>0</v>
      </c>
      <c r="AG347" s="1175">
        <f>'Data &amp; hypothesis Children'!AF182</f>
        <v>0</v>
      </c>
      <c r="AH347" s="1415">
        <f>'Data &amp; hypothesis Children'!AG182</f>
        <v>0</v>
      </c>
      <c r="AI347" s="1339" t="e">
        <f t="shared" si="117"/>
        <v>#DIV/0!</v>
      </c>
      <c r="AJ347" s="1340" t="e">
        <f t="shared" si="118"/>
        <v>#DIV/0!</v>
      </c>
    </row>
    <row r="348" spans="1:36" s="1279" customFormat="1" ht="15.75" thickBot="1" x14ac:dyDescent="0.3">
      <c r="A348" s="1282"/>
      <c r="C348" s="1301">
        <v>0</v>
      </c>
      <c r="D348" s="1175">
        <f>'Data &amp; hypothesis Children'!C183</f>
        <v>0</v>
      </c>
      <c r="E348" s="1175">
        <f>'Data &amp; hypothesis Children'!D183</f>
        <v>0</v>
      </c>
      <c r="F348" s="1175">
        <f>'Data &amp; hypothesis Children'!E183</f>
        <v>0</v>
      </c>
      <c r="G348" s="1175">
        <f>'Data &amp; hypothesis Children'!F183</f>
        <v>0</v>
      </c>
      <c r="H348" s="1175">
        <f>'Data &amp; hypothesis Children'!G183</f>
        <v>0</v>
      </c>
      <c r="I348" s="1175">
        <f>'Data &amp; hypothesis Children'!H183</f>
        <v>0</v>
      </c>
      <c r="J348" s="1175">
        <f>'Data &amp; hypothesis Children'!I183</f>
        <v>0</v>
      </c>
      <c r="K348" s="1413">
        <f>'Data &amp; hypothesis Children'!J183</f>
        <v>0</v>
      </c>
      <c r="L348" s="1417">
        <f>'Data &amp; hypothesis Children'!K183</f>
        <v>0</v>
      </c>
      <c r="M348" s="1418">
        <f>'Data &amp; hypothesis Children'!L183</f>
        <v>0</v>
      </c>
      <c r="N348" s="1418">
        <f>'Data &amp; hypothesis Children'!M183</f>
        <v>0</v>
      </c>
      <c r="O348" s="1418">
        <f>'Data &amp; hypothesis Children'!N183</f>
        <v>0</v>
      </c>
      <c r="P348" s="1418">
        <f>'Data &amp; hypothesis Children'!O183</f>
        <v>0</v>
      </c>
      <c r="Q348" s="1418">
        <f>'Data &amp; hypothesis Children'!P183</f>
        <v>0</v>
      </c>
      <c r="R348" s="1418">
        <f>'Data &amp; hypothesis Children'!Q183</f>
        <v>0</v>
      </c>
      <c r="S348" s="1418">
        <f>'Data &amp; hypothesis Children'!R183</f>
        <v>0</v>
      </c>
      <c r="T348" s="1418">
        <f>'Data &amp; hypothesis Children'!S183</f>
        <v>0</v>
      </c>
      <c r="U348" s="1418">
        <f>'Data &amp; hypothesis Children'!T183</f>
        <v>0</v>
      </c>
      <c r="V348" s="1418">
        <f>'Data &amp; hypothesis Children'!U183</f>
        <v>0</v>
      </c>
      <c r="W348" s="1418">
        <f>'Data &amp; hypothesis Children'!V183</f>
        <v>0</v>
      </c>
      <c r="X348" s="1418">
        <f>'Data &amp; hypothesis Children'!W183</f>
        <v>0</v>
      </c>
      <c r="Y348" s="1418">
        <f>'Data &amp; hypothesis Children'!X183</f>
        <v>0</v>
      </c>
      <c r="Z348" s="1418">
        <f>'Data &amp; hypothesis Children'!Y183</f>
        <v>0</v>
      </c>
      <c r="AA348" s="1418">
        <f>'Data &amp; hypothesis Children'!Z183</f>
        <v>0</v>
      </c>
      <c r="AB348" s="1418">
        <f>'Data &amp; hypothesis Children'!AA183</f>
        <v>0</v>
      </c>
      <c r="AC348" s="1418">
        <f>'Data &amp; hypothesis Children'!AB183</f>
        <v>0</v>
      </c>
      <c r="AD348" s="1418">
        <f>'Data &amp; hypothesis Children'!AC183</f>
        <v>0</v>
      </c>
      <c r="AE348" s="1418">
        <f>'Data &amp; hypothesis Children'!AD183</f>
        <v>0</v>
      </c>
      <c r="AF348" s="1418">
        <f>'Data &amp; hypothesis Children'!AE183</f>
        <v>0</v>
      </c>
      <c r="AG348" s="1418">
        <f>'Data &amp; hypothesis Children'!AF183</f>
        <v>0</v>
      </c>
      <c r="AH348" s="1419">
        <f>'Data &amp; hypothesis Children'!AG183</f>
        <v>0</v>
      </c>
      <c r="AI348" s="1339" t="e">
        <f>I78</f>
        <v>#DIV/0!</v>
      </c>
      <c r="AJ348" s="1340" t="e">
        <f>I94</f>
        <v>#DIV/0!</v>
      </c>
    </row>
    <row r="349" spans="1:36" s="1304" customFormat="1" ht="26.25" thickBot="1" x14ac:dyDescent="0.25">
      <c r="A349" s="1303"/>
      <c r="C349" s="1305" t="str">
        <f>'TRAD-Children YEAR(1)'!B118</f>
        <v>Nb de patients-mois / produit - SANS SS</v>
      </c>
      <c r="D349" s="1306">
        <f t="shared" ref="D349:AE349" si="119">SUMIF(D338:D348, "X", $AI338:$AI348)</f>
        <v>0</v>
      </c>
      <c r="E349" s="1306">
        <f t="shared" si="119"/>
        <v>0</v>
      </c>
      <c r="F349" s="1306">
        <f t="shared" si="119"/>
        <v>0</v>
      </c>
      <c r="G349" s="1306">
        <f t="shared" si="119"/>
        <v>0</v>
      </c>
      <c r="H349" s="1306">
        <f t="shared" si="119"/>
        <v>0</v>
      </c>
      <c r="I349" s="1306">
        <f t="shared" si="119"/>
        <v>0</v>
      </c>
      <c r="J349" s="1306">
        <f t="shared" si="119"/>
        <v>0</v>
      </c>
      <c r="K349" s="1307">
        <f t="shared" si="119"/>
        <v>0</v>
      </c>
      <c r="L349" s="1308">
        <f t="shared" si="119"/>
        <v>0</v>
      </c>
      <c r="M349" s="1306" t="e">
        <f t="shared" si="119"/>
        <v>#DIV/0!</v>
      </c>
      <c r="N349" s="1306">
        <f t="shared" si="119"/>
        <v>0</v>
      </c>
      <c r="O349" s="1306" t="e">
        <f t="shared" si="119"/>
        <v>#DIV/0!</v>
      </c>
      <c r="P349" s="1306">
        <f t="shared" si="119"/>
        <v>0</v>
      </c>
      <c r="Q349" s="1306">
        <f t="shared" si="119"/>
        <v>0</v>
      </c>
      <c r="R349" s="1306">
        <f t="shared" si="119"/>
        <v>0</v>
      </c>
      <c r="S349" s="1306">
        <f t="shared" si="119"/>
        <v>0</v>
      </c>
      <c r="T349" s="1306">
        <f t="shared" si="119"/>
        <v>0</v>
      </c>
      <c r="U349" s="1306">
        <f t="shared" si="119"/>
        <v>0</v>
      </c>
      <c r="V349" s="1306" t="e">
        <f t="shared" si="119"/>
        <v>#DIV/0!</v>
      </c>
      <c r="W349" s="1306">
        <f t="shared" si="119"/>
        <v>0</v>
      </c>
      <c r="X349" s="1306" t="e">
        <f t="shared" si="119"/>
        <v>#DIV/0!</v>
      </c>
      <c r="Y349" s="1306">
        <f t="shared" si="119"/>
        <v>0</v>
      </c>
      <c r="Z349" s="1306">
        <f t="shared" si="119"/>
        <v>0</v>
      </c>
      <c r="AA349" s="1306">
        <f t="shared" si="119"/>
        <v>0</v>
      </c>
      <c r="AB349" s="1306">
        <f t="shared" si="119"/>
        <v>0</v>
      </c>
      <c r="AC349" s="1306">
        <f t="shared" si="119"/>
        <v>0</v>
      </c>
      <c r="AD349" s="1306">
        <f t="shared" si="119"/>
        <v>0</v>
      </c>
      <c r="AE349" s="1306" t="e">
        <f t="shared" si="119"/>
        <v>#DIV/0!</v>
      </c>
      <c r="AF349" s="1306" t="e">
        <f t="shared" ref="AF349" si="120">SUMIF(AF338:AF348, "X", $AI338:$AI348)</f>
        <v>#DIV/0!</v>
      </c>
      <c r="AG349" s="1306">
        <f>SUMIF(AG338:AG348, "X", $AI338:$AI348)</f>
        <v>0</v>
      </c>
      <c r="AH349" s="1306" t="e">
        <f>SUMIF(AH338:$AH$348, "X", $AI338:$AI348)</f>
        <v>#DIV/0!</v>
      </c>
    </row>
    <row r="350" spans="1:36" s="1304" customFormat="1" ht="26.25" thickBot="1" x14ac:dyDescent="0.25">
      <c r="A350" s="1303"/>
      <c r="C350" s="1305" t="str">
        <f>'TRAD-Children YEAR(1)'!B119</f>
        <v>Nb de patients-mois / produit - AVEC SS</v>
      </c>
      <c r="D350" s="1309">
        <f t="shared" ref="D350:AG350" si="121">SUMIF(D338:D348, "X", $AJ338:$AJ348)</f>
        <v>0</v>
      </c>
      <c r="E350" s="1309">
        <f t="shared" si="121"/>
        <v>0</v>
      </c>
      <c r="F350" s="1309">
        <f t="shared" si="121"/>
        <v>0</v>
      </c>
      <c r="G350" s="1309">
        <f t="shared" si="121"/>
        <v>0</v>
      </c>
      <c r="H350" s="1309">
        <f t="shared" si="121"/>
        <v>0</v>
      </c>
      <c r="I350" s="1309">
        <f t="shared" si="121"/>
        <v>0</v>
      </c>
      <c r="J350" s="1309">
        <f t="shared" si="121"/>
        <v>0</v>
      </c>
      <c r="K350" s="1310">
        <f t="shared" si="121"/>
        <v>0</v>
      </c>
      <c r="L350" s="1311">
        <f t="shared" si="121"/>
        <v>0</v>
      </c>
      <c r="M350" s="1309" t="e">
        <f t="shared" si="121"/>
        <v>#DIV/0!</v>
      </c>
      <c r="N350" s="1309">
        <f t="shared" si="121"/>
        <v>0</v>
      </c>
      <c r="O350" s="1309" t="e">
        <f t="shared" si="121"/>
        <v>#DIV/0!</v>
      </c>
      <c r="P350" s="1309">
        <f t="shared" si="121"/>
        <v>0</v>
      </c>
      <c r="Q350" s="1309">
        <f t="shared" si="121"/>
        <v>0</v>
      </c>
      <c r="R350" s="1309">
        <f t="shared" si="121"/>
        <v>0</v>
      </c>
      <c r="S350" s="1309">
        <f t="shared" si="121"/>
        <v>0</v>
      </c>
      <c r="T350" s="1309">
        <f t="shared" si="121"/>
        <v>0</v>
      </c>
      <c r="U350" s="1309">
        <f t="shared" si="121"/>
        <v>0</v>
      </c>
      <c r="V350" s="1309" t="e">
        <f t="shared" si="121"/>
        <v>#DIV/0!</v>
      </c>
      <c r="W350" s="1309">
        <f t="shared" si="121"/>
        <v>0</v>
      </c>
      <c r="X350" s="1309" t="e">
        <f t="shared" si="121"/>
        <v>#DIV/0!</v>
      </c>
      <c r="Y350" s="1309">
        <f t="shared" si="121"/>
        <v>0</v>
      </c>
      <c r="Z350" s="1309">
        <f t="shared" si="121"/>
        <v>0</v>
      </c>
      <c r="AA350" s="1309">
        <f t="shared" si="121"/>
        <v>0</v>
      </c>
      <c r="AB350" s="1309">
        <f t="shared" si="121"/>
        <v>0</v>
      </c>
      <c r="AC350" s="1309">
        <f t="shared" si="121"/>
        <v>0</v>
      </c>
      <c r="AD350" s="1309">
        <f t="shared" si="121"/>
        <v>0</v>
      </c>
      <c r="AE350" s="1309" t="e">
        <f t="shared" si="121"/>
        <v>#DIV/0!</v>
      </c>
      <c r="AF350" s="1309" t="e">
        <f t="shared" si="121"/>
        <v>#DIV/0!</v>
      </c>
      <c r="AG350" s="1309">
        <f t="shared" si="121"/>
        <v>0</v>
      </c>
      <c r="AH350" s="1309" t="e">
        <f>SUMIF(AH338:$AH$348, "X", $AJ338:$AJ348)</f>
        <v>#DIV/0!</v>
      </c>
    </row>
    <row r="351" spans="1:36" s="1304" customFormat="1" ht="26.25" thickBot="1" x14ac:dyDescent="0.25">
      <c r="A351" s="1303"/>
      <c r="C351" s="1305" t="str">
        <f>'TRAD-Children YEAR(1)'!B120</f>
        <v>Nb de cdt - Estimation période SANS SS</v>
      </c>
      <c r="D351" s="1312">
        <f t="shared" ref="D351:AH351" si="122">D349*D336</f>
        <v>0</v>
      </c>
      <c r="E351" s="1312">
        <f t="shared" si="122"/>
        <v>0</v>
      </c>
      <c r="F351" s="1312">
        <f t="shared" si="122"/>
        <v>0</v>
      </c>
      <c r="G351" s="1312">
        <f t="shared" si="122"/>
        <v>0</v>
      </c>
      <c r="H351" s="1312">
        <f t="shared" si="122"/>
        <v>0</v>
      </c>
      <c r="I351" s="1312">
        <f t="shared" si="122"/>
        <v>0</v>
      </c>
      <c r="J351" s="1312">
        <f t="shared" si="122"/>
        <v>0</v>
      </c>
      <c r="K351" s="1313">
        <f t="shared" si="122"/>
        <v>0</v>
      </c>
      <c r="L351" s="1314">
        <f t="shared" si="122"/>
        <v>0</v>
      </c>
      <c r="M351" s="1312" t="e">
        <f t="shared" si="122"/>
        <v>#DIV/0!</v>
      </c>
      <c r="N351" s="1312">
        <f t="shared" si="122"/>
        <v>0</v>
      </c>
      <c r="O351" s="1312" t="e">
        <f t="shared" si="122"/>
        <v>#DIV/0!</v>
      </c>
      <c r="P351" s="1312">
        <f t="shared" si="122"/>
        <v>0</v>
      </c>
      <c r="Q351" s="1312">
        <f t="shared" si="122"/>
        <v>0</v>
      </c>
      <c r="R351" s="1312">
        <f t="shared" ref="R351" si="123">R349*R336</f>
        <v>0</v>
      </c>
      <c r="S351" s="1312">
        <f t="shared" si="122"/>
        <v>0</v>
      </c>
      <c r="T351" s="1312">
        <f t="shared" si="122"/>
        <v>0</v>
      </c>
      <c r="U351" s="1312">
        <f t="shared" si="122"/>
        <v>0</v>
      </c>
      <c r="V351" s="1312" t="e">
        <f t="shared" si="122"/>
        <v>#DIV/0!</v>
      </c>
      <c r="W351" s="1312">
        <f t="shared" ref="W351:Y351" si="124">W349*W336</f>
        <v>0</v>
      </c>
      <c r="X351" s="1312" t="e">
        <f t="shared" ref="X351" si="125">X349*X336</f>
        <v>#DIV/0!</v>
      </c>
      <c r="Y351" s="1312">
        <f t="shared" si="124"/>
        <v>0</v>
      </c>
      <c r="Z351" s="1312">
        <f t="shared" ref="Z351:AF351" si="126">Z349*Z336</f>
        <v>0</v>
      </c>
      <c r="AA351" s="1312">
        <f t="shared" si="126"/>
        <v>0</v>
      </c>
      <c r="AB351" s="1312">
        <f t="shared" si="126"/>
        <v>0</v>
      </c>
      <c r="AC351" s="1312">
        <f t="shared" si="126"/>
        <v>0</v>
      </c>
      <c r="AD351" s="1312">
        <f t="shared" si="126"/>
        <v>0</v>
      </c>
      <c r="AE351" s="1312" t="e">
        <f t="shared" ref="AE351" si="127">AE349*AE336</f>
        <v>#DIV/0!</v>
      </c>
      <c r="AF351" s="1312" t="e">
        <f t="shared" si="126"/>
        <v>#DIV/0!</v>
      </c>
      <c r="AG351" s="1312">
        <f t="shared" si="122"/>
        <v>0</v>
      </c>
      <c r="AH351" s="1312" t="e">
        <f t="shared" si="122"/>
        <v>#DIV/0!</v>
      </c>
    </row>
    <row r="352" spans="1:36" s="1304" customFormat="1" ht="26.25" thickBot="1" x14ac:dyDescent="0.25">
      <c r="A352" s="1303"/>
      <c r="C352" s="1305" t="str">
        <f>'TRAD-Children YEAR(1)'!B121</f>
        <v>Nb de cdt - Estimation période AVEC SS</v>
      </c>
      <c r="D352" s="1315">
        <f t="shared" ref="D352:AH352" si="128">D350*D336</f>
        <v>0</v>
      </c>
      <c r="E352" s="1315">
        <f t="shared" si="128"/>
        <v>0</v>
      </c>
      <c r="F352" s="1315">
        <f t="shared" si="128"/>
        <v>0</v>
      </c>
      <c r="G352" s="1315">
        <f t="shared" si="128"/>
        <v>0</v>
      </c>
      <c r="H352" s="1315">
        <f t="shared" si="128"/>
        <v>0</v>
      </c>
      <c r="I352" s="1315">
        <f t="shared" si="128"/>
        <v>0</v>
      </c>
      <c r="J352" s="1315">
        <f t="shared" si="128"/>
        <v>0</v>
      </c>
      <c r="K352" s="1316">
        <f t="shared" si="128"/>
        <v>0</v>
      </c>
      <c r="L352" s="1317">
        <f t="shared" si="128"/>
        <v>0</v>
      </c>
      <c r="M352" s="1315" t="e">
        <f t="shared" si="128"/>
        <v>#DIV/0!</v>
      </c>
      <c r="N352" s="1315">
        <f t="shared" si="128"/>
        <v>0</v>
      </c>
      <c r="O352" s="1315" t="e">
        <f t="shared" si="128"/>
        <v>#DIV/0!</v>
      </c>
      <c r="P352" s="1315">
        <f t="shared" si="128"/>
        <v>0</v>
      </c>
      <c r="Q352" s="1315">
        <f t="shared" si="128"/>
        <v>0</v>
      </c>
      <c r="R352" s="1315">
        <f t="shared" ref="R352" si="129">R350*R336</f>
        <v>0</v>
      </c>
      <c r="S352" s="1315">
        <f t="shared" si="128"/>
        <v>0</v>
      </c>
      <c r="T352" s="1315">
        <f t="shared" si="128"/>
        <v>0</v>
      </c>
      <c r="U352" s="1315">
        <f t="shared" si="128"/>
        <v>0</v>
      </c>
      <c r="V352" s="1315" t="e">
        <f t="shared" si="128"/>
        <v>#DIV/0!</v>
      </c>
      <c r="W352" s="1315">
        <f t="shared" ref="W352:Y352" si="130">W350*W336</f>
        <v>0</v>
      </c>
      <c r="X352" s="1315" t="e">
        <f t="shared" ref="X352" si="131">X350*X336</f>
        <v>#DIV/0!</v>
      </c>
      <c r="Y352" s="1315">
        <f t="shared" si="130"/>
        <v>0</v>
      </c>
      <c r="Z352" s="1315">
        <f t="shared" ref="Z352:AF352" si="132">Z350*Z336</f>
        <v>0</v>
      </c>
      <c r="AA352" s="1315">
        <f t="shared" si="132"/>
        <v>0</v>
      </c>
      <c r="AB352" s="1315">
        <f t="shared" si="132"/>
        <v>0</v>
      </c>
      <c r="AC352" s="1315">
        <f t="shared" si="132"/>
        <v>0</v>
      </c>
      <c r="AD352" s="1315">
        <f t="shared" si="132"/>
        <v>0</v>
      </c>
      <c r="AE352" s="1315" t="e">
        <f t="shared" ref="AE352" si="133">AE350*AE336</f>
        <v>#DIV/0!</v>
      </c>
      <c r="AF352" s="1315" t="e">
        <f t="shared" si="132"/>
        <v>#DIV/0!</v>
      </c>
      <c r="AG352" s="1315">
        <f t="shared" si="128"/>
        <v>0</v>
      </c>
      <c r="AH352" s="1315" t="e">
        <f t="shared" si="128"/>
        <v>#DIV/0!</v>
      </c>
    </row>
    <row r="353" spans="1:15" s="1279" customFormat="1" x14ac:dyDescent="0.2">
      <c r="A353" s="1282"/>
    </row>
    <row r="354" spans="1:15" x14ac:dyDescent="0.2">
      <c r="C354" s="528"/>
      <c r="F354" s="640"/>
      <c r="G354" s="640"/>
    </row>
    <row r="355" spans="1:15" s="263" customFormat="1" ht="16.5" thickBot="1" x14ac:dyDescent="0.3">
      <c r="A355" s="641" t="str">
        <f>'TRAD-Children YEAR(2)'!B16</f>
        <v>Quantification des besoins pour la prise en charge médicale pour la première année selon la répartition envisagée</v>
      </c>
      <c r="B355" s="641"/>
      <c r="C355" s="641"/>
      <c r="D355" s="641"/>
      <c r="E355" s="641"/>
      <c r="F355" s="641"/>
      <c r="G355" s="641"/>
      <c r="H355" s="641"/>
      <c r="I355" s="641"/>
      <c r="J355" s="641"/>
      <c r="K355" s="641"/>
      <c r="L355" s="641"/>
    </row>
    <row r="356" spans="1:15" x14ac:dyDescent="0.2">
      <c r="B356" s="528"/>
      <c r="E356" s="640"/>
      <c r="F356" s="640"/>
    </row>
    <row r="357" spans="1:15" ht="15" x14ac:dyDescent="0.2">
      <c r="B357" s="2143" t="str">
        <f>'TRAD-Children YEAR(2)'!B25</f>
        <v>Quantification des besoins en ARV pour la prise en charge pédiatrique sur la 4ème année SANS stock de sécurité</v>
      </c>
      <c r="C357" s="2143"/>
      <c r="D357" s="2143"/>
      <c r="E357" s="2143"/>
      <c r="F357" s="2143"/>
      <c r="G357" s="2143"/>
      <c r="H357" s="2143"/>
      <c r="I357" s="2143"/>
      <c r="J357" s="2143"/>
      <c r="K357" s="2143"/>
      <c r="L357" s="2143"/>
      <c r="M357" s="2143"/>
    </row>
    <row r="358" spans="1:15" ht="13.5" thickBot="1" x14ac:dyDescent="0.25">
      <c r="B358" s="528"/>
      <c r="E358" s="640"/>
      <c r="F358" s="640"/>
    </row>
    <row r="359" spans="1:15" ht="13.5" thickBot="1" x14ac:dyDescent="0.25">
      <c r="B359" s="528"/>
      <c r="C359" s="528"/>
      <c r="D359" s="528"/>
      <c r="E359" s="2141" t="str">
        <f>'TRAD-Children YEAR(1)'!B86</f>
        <v>Poids envisagés</v>
      </c>
      <c r="F359" s="2142"/>
      <c r="G359" s="2142"/>
      <c r="H359" s="2192"/>
    </row>
    <row r="360" spans="1:15" ht="26.25" thickBot="1" x14ac:dyDescent="0.25">
      <c r="B360" s="642"/>
      <c r="C360" s="643" t="str">
        <f>'TRAD-Children YEAR(1)'!B113</f>
        <v>Nb de boites / mois pour l'ensemble des patients</v>
      </c>
      <c r="D360" s="369" t="str">
        <f>'TRAD-Children YEAR(1)'!B68</f>
        <v>Dosage</v>
      </c>
      <c r="E360" s="645" t="s">
        <v>206</v>
      </c>
      <c r="F360" s="646" t="s">
        <v>207</v>
      </c>
      <c r="G360" s="646" t="s">
        <v>208</v>
      </c>
      <c r="H360" s="647" t="s">
        <v>112</v>
      </c>
      <c r="I360" s="648" t="s">
        <v>129</v>
      </c>
      <c r="J360" s="649" t="s">
        <v>6</v>
      </c>
    </row>
    <row r="361" spans="1:15" x14ac:dyDescent="0.2">
      <c r="B361" s="650" t="str">
        <f>'TRAD-Children YEAR(1)'!B74</f>
        <v>sol buv</v>
      </c>
      <c r="C361" s="651" t="s">
        <v>39</v>
      </c>
      <c r="D361" s="651" t="s">
        <v>41</v>
      </c>
      <c r="E361" s="652">
        <f t="array" ref="E361:E391">TRANSPOSE($D$279:$AH$279)</f>
        <v>0</v>
      </c>
      <c r="F361" s="652">
        <f t="array" ref="F361:F391">TRANSPOSE($D$303:$AH$303)</f>
        <v>0</v>
      </c>
      <c r="G361" s="652">
        <f t="array" ref="G361:G391">TRANSPOSE($D$327:$AH$327)</f>
        <v>0</v>
      </c>
      <c r="H361" s="652">
        <f t="array" ref="H361:H391">TRANSPOSE($D$351:$AH$351)</f>
        <v>0</v>
      </c>
      <c r="I361" s="582">
        <f>G130</f>
        <v>0</v>
      </c>
      <c r="J361" s="653">
        <f>SUM(E361:I361)</f>
        <v>0</v>
      </c>
      <c r="L361" s="260">
        <v>279</v>
      </c>
      <c r="M361" s="260">
        <v>303</v>
      </c>
      <c r="N361" s="260">
        <v>327</v>
      </c>
      <c r="O361" s="260" t="s">
        <v>1591</v>
      </c>
    </row>
    <row r="362" spans="1:15" x14ac:dyDescent="0.2">
      <c r="B362" s="654"/>
      <c r="C362" s="655" t="s">
        <v>61</v>
      </c>
      <c r="D362" s="655" t="s">
        <v>41</v>
      </c>
      <c r="E362" s="656">
        <v>0</v>
      </c>
      <c r="F362" s="656">
        <v>0</v>
      </c>
      <c r="G362" s="656">
        <v>0</v>
      </c>
      <c r="H362" s="656">
        <v>0</v>
      </c>
      <c r="I362" s="585">
        <f>G129</f>
        <v>0</v>
      </c>
      <c r="J362" s="657">
        <f t="shared" ref="J362:J368" si="134">SUM(E362:I362)</f>
        <v>0</v>
      </c>
    </row>
    <row r="363" spans="1:15" x14ac:dyDescent="0.2">
      <c r="B363" s="654"/>
      <c r="C363" s="655" t="s">
        <v>15</v>
      </c>
      <c r="D363" s="655" t="s">
        <v>41</v>
      </c>
      <c r="E363" s="656">
        <v>0</v>
      </c>
      <c r="F363" s="656">
        <v>0</v>
      </c>
      <c r="G363" s="656">
        <v>0</v>
      </c>
      <c r="H363" s="656">
        <v>0</v>
      </c>
      <c r="I363" s="585">
        <f>G131</f>
        <v>0</v>
      </c>
      <c r="J363" s="657">
        <f t="shared" si="134"/>
        <v>0</v>
      </c>
    </row>
    <row r="364" spans="1:15" x14ac:dyDescent="0.2">
      <c r="B364" s="654"/>
      <c r="C364" s="655" t="s">
        <v>25</v>
      </c>
      <c r="D364" s="655" t="s">
        <v>44</v>
      </c>
      <c r="E364" s="656">
        <v>0</v>
      </c>
      <c r="F364" s="656">
        <v>0</v>
      </c>
      <c r="G364" s="656">
        <v>0</v>
      </c>
      <c r="H364" s="656">
        <v>0</v>
      </c>
      <c r="I364" s="585"/>
      <c r="J364" s="657">
        <f t="shared" si="134"/>
        <v>0</v>
      </c>
    </row>
    <row r="365" spans="1:15" x14ac:dyDescent="0.2">
      <c r="B365" s="654"/>
      <c r="C365" s="655" t="s">
        <v>28</v>
      </c>
      <c r="D365" s="655" t="s">
        <v>46</v>
      </c>
      <c r="E365" s="656">
        <v>0</v>
      </c>
      <c r="F365" s="656">
        <v>0</v>
      </c>
      <c r="G365" s="656">
        <v>0</v>
      </c>
      <c r="H365" s="656">
        <v>0</v>
      </c>
      <c r="I365" s="585"/>
      <c r="J365" s="657">
        <f t="shared" si="134"/>
        <v>0</v>
      </c>
    </row>
    <row r="366" spans="1:15" x14ac:dyDescent="0.2">
      <c r="B366" s="654"/>
      <c r="C366" s="655" t="s">
        <v>19</v>
      </c>
      <c r="D366" s="655" t="s">
        <v>41</v>
      </c>
      <c r="E366" s="656" t="e">
        <v>#DIV/0!</v>
      </c>
      <c r="F366" s="656" t="e">
        <v>#DIV/0!</v>
      </c>
      <c r="G366" s="656">
        <v>0</v>
      </c>
      <c r="H366" s="656">
        <v>0</v>
      </c>
      <c r="I366" s="585">
        <f>G132</f>
        <v>0</v>
      </c>
      <c r="J366" s="657" t="e">
        <f>SUM(E366:I366)</f>
        <v>#DIV/0!</v>
      </c>
    </row>
    <row r="367" spans="1:15" x14ac:dyDescent="0.2">
      <c r="B367" s="658"/>
      <c r="C367" s="659" t="s">
        <v>17</v>
      </c>
      <c r="D367" s="659" t="s">
        <v>259</v>
      </c>
      <c r="E367" s="660">
        <v>0</v>
      </c>
      <c r="F367" s="660" t="e">
        <v>#DIV/0!</v>
      </c>
      <c r="G367" s="660" t="e">
        <v>#DIV/0!</v>
      </c>
      <c r="H367" s="660">
        <v>0</v>
      </c>
      <c r="I367" s="672"/>
      <c r="J367" s="661" t="e">
        <f>SUM(E367:I367)</f>
        <v>#DIV/0!</v>
      </c>
    </row>
    <row r="368" spans="1:15" ht="13.5" thickBot="1" x14ac:dyDescent="0.25">
      <c r="B368" s="662"/>
      <c r="C368" s="663" t="s">
        <v>33</v>
      </c>
      <c r="D368" s="663" t="s">
        <v>47</v>
      </c>
      <c r="E368" s="664" t="e">
        <v>#DIV/0!</v>
      </c>
      <c r="F368" s="664" t="e">
        <v>#DIV/0!</v>
      </c>
      <c r="G368" s="664">
        <v>0</v>
      </c>
      <c r="H368" s="664">
        <v>0</v>
      </c>
      <c r="I368" s="673"/>
      <c r="J368" s="666" t="e">
        <f t="shared" si="134"/>
        <v>#DIV/0!</v>
      </c>
    </row>
    <row r="369" spans="2:10" ht="25.5" x14ac:dyDescent="0.2">
      <c r="B369" s="650" t="str">
        <f>'TRAD-Children YEAR(1)'!B91</f>
        <v>Comprimés</v>
      </c>
      <c r="C369" s="408" t="str">
        <f t="array" ref="C369:D391">'Data &amp; hypothesis Children'!$C$238:$D$260</f>
        <v>AZT+ 3TC+ NVP adulte</v>
      </c>
      <c r="D369" s="409" t="str">
        <v>300/150/200 mg</v>
      </c>
      <c r="E369" s="1358">
        <v>0</v>
      </c>
      <c r="F369" s="1358">
        <v>0</v>
      </c>
      <c r="G369" s="1358">
        <v>0</v>
      </c>
      <c r="H369" s="1358">
        <v>0</v>
      </c>
      <c r="I369" s="585"/>
      <c r="J369" s="657">
        <f>SUM(E369:I369)</f>
        <v>0</v>
      </c>
    </row>
    <row r="370" spans="2:10" ht="25.5" x14ac:dyDescent="0.2">
      <c r="B370" s="667"/>
      <c r="C370" s="413" t="str">
        <v>AZT+ 3TC+ NVP bébé</v>
      </c>
      <c r="D370" s="414" t="str">
        <v>60/30/50 mg</v>
      </c>
      <c r="E370" s="656" t="e">
        <v>#DIV/0!</v>
      </c>
      <c r="F370" s="656" t="e">
        <v>#DIV/0!</v>
      </c>
      <c r="G370" s="656" t="e">
        <v>#DIV/0!</v>
      </c>
      <c r="H370" s="656" t="e">
        <v>#DIV/0!</v>
      </c>
      <c r="I370" s="585">
        <f>G135</f>
        <v>0</v>
      </c>
      <c r="J370" s="657" t="e">
        <f>SUM(E370:I370)</f>
        <v>#DIV/0!</v>
      </c>
    </row>
    <row r="371" spans="2:10" ht="25.5" x14ac:dyDescent="0.2">
      <c r="B371" s="668"/>
      <c r="C371" s="413" t="str">
        <v>AZT+ 3TC adulte</v>
      </c>
      <c r="D371" s="414" t="str">
        <v>300/150 mg</v>
      </c>
      <c r="E371" s="656">
        <v>0</v>
      </c>
      <c r="F371" s="656">
        <v>0</v>
      </c>
      <c r="G371" s="656">
        <v>0</v>
      </c>
      <c r="H371" s="656">
        <v>0</v>
      </c>
      <c r="I371" s="585"/>
      <c r="J371" s="1327">
        <f>SUM(E371:I371)</f>
        <v>0</v>
      </c>
    </row>
    <row r="372" spans="2:10" x14ac:dyDescent="0.2">
      <c r="B372" s="668"/>
      <c r="C372" s="413" t="str">
        <v>AZT+ 3TC bébé</v>
      </c>
      <c r="D372" s="414" t="str">
        <v>60/30 mg</v>
      </c>
      <c r="E372" s="656" t="e">
        <v>#DIV/0!</v>
      </c>
      <c r="F372" s="656" t="e">
        <v>#DIV/0!</v>
      </c>
      <c r="G372" s="656" t="e">
        <v>#DIV/0!</v>
      </c>
      <c r="H372" s="656" t="e">
        <v>#DIV/0!</v>
      </c>
      <c r="I372" s="585">
        <f>G136</f>
        <v>0</v>
      </c>
      <c r="J372" s="1327" t="e">
        <f>SUM(E372:I372)</f>
        <v>#DIV/0!</v>
      </c>
    </row>
    <row r="373" spans="2:10" ht="25.5" x14ac:dyDescent="0.2">
      <c r="B373" s="668"/>
      <c r="C373" s="413" t="str">
        <v>D4T+ 3TC+ NVP adulte</v>
      </c>
      <c r="D373" s="414" t="str">
        <v>30/150/200 mg</v>
      </c>
      <c r="E373" s="656">
        <v>0</v>
      </c>
      <c r="F373" s="656">
        <v>0</v>
      </c>
      <c r="G373" s="656">
        <v>0</v>
      </c>
      <c r="H373" s="656">
        <v>0</v>
      </c>
      <c r="I373" s="585"/>
      <c r="J373" s="1327">
        <f t="shared" ref="J373:J389" si="135">SUM(E373:I373)</f>
        <v>0</v>
      </c>
    </row>
    <row r="374" spans="2:10" ht="25.5" x14ac:dyDescent="0.2">
      <c r="B374" s="668"/>
      <c r="C374" s="413" t="str">
        <v>D4T+ 3TC+ NVP bébé</v>
      </c>
      <c r="D374" s="414" t="str">
        <v>6/30/50 mg</v>
      </c>
      <c r="E374" s="656">
        <v>0</v>
      </c>
      <c r="F374" s="656">
        <v>0</v>
      </c>
      <c r="G374" s="656" t="e">
        <v>#DIV/0!</v>
      </c>
      <c r="H374" s="656">
        <v>0</v>
      </c>
      <c r="I374" s="585">
        <f>G133</f>
        <v>0</v>
      </c>
      <c r="J374" s="1327" t="e">
        <f t="shared" si="135"/>
        <v>#DIV/0!</v>
      </c>
    </row>
    <row r="375" spans="2:10" x14ac:dyDescent="0.2">
      <c r="B375" s="668"/>
      <c r="C375" s="413" t="str">
        <v>D4T+ 3TC bébé</v>
      </c>
      <c r="D375" s="414" t="str">
        <v>6/30 mg</v>
      </c>
      <c r="E375" s="656">
        <v>0</v>
      </c>
      <c r="F375" s="656">
        <v>0</v>
      </c>
      <c r="G375" s="656">
        <v>0</v>
      </c>
      <c r="H375" s="656">
        <v>0</v>
      </c>
      <c r="I375" s="585">
        <f>G134</f>
        <v>0</v>
      </c>
      <c r="J375" s="1327">
        <f t="shared" si="135"/>
        <v>0</v>
      </c>
    </row>
    <row r="376" spans="2:10" ht="25.5" x14ac:dyDescent="0.2">
      <c r="B376" s="668"/>
      <c r="C376" s="413" t="str">
        <v>AZT+ 3TC+ ABC adulte</v>
      </c>
      <c r="D376" s="414" t="str">
        <v>300/150/300 mg</v>
      </c>
      <c r="E376" s="656">
        <v>0</v>
      </c>
      <c r="F376" s="656">
        <v>0</v>
      </c>
      <c r="G376" s="656">
        <v>0</v>
      </c>
      <c r="H376" s="656">
        <v>0</v>
      </c>
      <c r="I376" s="585"/>
      <c r="J376" s="1327">
        <f t="shared" si="135"/>
        <v>0</v>
      </c>
    </row>
    <row r="377" spans="2:10" ht="25.5" x14ac:dyDescent="0.2">
      <c r="B377" s="668"/>
      <c r="C377" s="413" t="str">
        <v>AZT+ 3TC+ ABC bébé</v>
      </c>
      <c r="D377" s="414" t="str">
        <v>60/30/60 mg</v>
      </c>
      <c r="E377" s="656">
        <v>0</v>
      </c>
      <c r="F377" s="656">
        <v>0</v>
      </c>
      <c r="G377" s="656">
        <v>0</v>
      </c>
      <c r="H377" s="656">
        <v>0</v>
      </c>
      <c r="I377" s="585"/>
      <c r="J377" s="1327">
        <f>SUM(E377:I377)</f>
        <v>0</v>
      </c>
    </row>
    <row r="378" spans="2:10" ht="25.5" x14ac:dyDescent="0.2">
      <c r="B378" s="668"/>
      <c r="C378" s="413" t="str">
        <v>ABC+ 3TC adulte</v>
      </c>
      <c r="D378" s="414" t="str">
        <v>600/300 mg</v>
      </c>
      <c r="E378" s="656" t="e">
        <v>#DIV/0!</v>
      </c>
      <c r="F378" s="656" t="e">
        <v>#DIV/0!</v>
      </c>
      <c r="G378" s="656">
        <v>0</v>
      </c>
      <c r="H378" s="656">
        <v>0</v>
      </c>
      <c r="I378" s="585"/>
      <c r="J378" s="1327" t="e">
        <f t="shared" si="135"/>
        <v>#DIV/0!</v>
      </c>
    </row>
    <row r="379" spans="2:10" x14ac:dyDescent="0.2">
      <c r="B379" s="1328"/>
      <c r="C379" s="418" t="str">
        <v>ABC+ 3TC bébé</v>
      </c>
      <c r="D379" s="419" t="str">
        <v>60/30 mg</v>
      </c>
      <c r="E379" s="1326">
        <v>0</v>
      </c>
      <c r="F379" s="1326" t="e">
        <v>#DIV/0!</v>
      </c>
      <c r="G379" s="1326" t="e">
        <v>#DIV/0!</v>
      </c>
      <c r="H379" s="1326" t="e">
        <v>#DIV/0!</v>
      </c>
      <c r="I379" s="585"/>
      <c r="J379" s="1327" t="e">
        <f t="shared" si="135"/>
        <v>#DIV/0!</v>
      </c>
    </row>
    <row r="380" spans="2:10" ht="25.5" x14ac:dyDescent="0.2">
      <c r="B380" s="1328"/>
      <c r="C380" s="418" t="str">
        <v>TDF+ FTC/3TC+ EFV adulte</v>
      </c>
      <c r="D380" s="419" t="str">
        <v>300/200/600 mg</v>
      </c>
      <c r="E380" s="1963">
        <v>0</v>
      </c>
      <c r="F380" s="1963">
        <v>0</v>
      </c>
      <c r="G380" s="1963">
        <v>0</v>
      </c>
      <c r="H380" s="1963">
        <v>0</v>
      </c>
      <c r="I380" s="585"/>
      <c r="J380" s="1327">
        <f t="shared" si="135"/>
        <v>0</v>
      </c>
    </row>
    <row r="381" spans="2:10" ht="25.5" x14ac:dyDescent="0.2">
      <c r="B381" s="1328"/>
      <c r="C381" s="418" t="str">
        <v>TDF+ FTC/3TC adulte</v>
      </c>
      <c r="D381" s="419" t="str">
        <v>300/200 mg</v>
      </c>
      <c r="E381" s="1963">
        <v>0</v>
      </c>
      <c r="F381" s="1963">
        <v>0</v>
      </c>
      <c r="G381" s="1963">
        <v>0</v>
      </c>
      <c r="H381" s="1963" t="e">
        <v>#DIV/0!</v>
      </c>
      <c r="I381" s="585"/>
      <c r="J381" s="1327" t="e">
        <f t="shared" si="135"/>
        <v>#DIV/0!</v>
      </c>
    </row>
    <row r="382" spans="2:10" x14ac:dyDescent="0.2">
      <c r="B382" s="1328"/>
      <c r="C382" s="418" t="str">
        <v>TDF adulte</v>
      </c>
      <c r="D382" s="419" t="str">
        <v>300 mg</v>
      </c>
      <c r="E382" s="1963">
        <v>0</v>
      </c>
      <c r="F382" s="1963">
        <v>0</v>
      </c>
      <c r="G382" s="1963">
        <v>0</v>
      </c>
      <c r="H382" s="1963">
        <v>0</v>
      </c>
      <c r="I382" s="585"/>
      <c r="J382" s="1327">
        <f t="shared" si="135"/>
        <v>0</v>
      </c>
    </row>
    <row r="383" spans="2:10" x14ac:dyDescent="0.2">
      <c r="B383" s="1328"/>
      <c r="C383" s="418" t="str">
        <v>3TC adulte</v>
      </c>
      <c r="D383" s="419" t="str">
        <v>150 mg</v>
      </c>
      <c r="E383" s="1326">
        <v>0</v>
      </c>
      <c r="F383" s="1326">
        <v>0</v>
      </c>
      <c r="G383" s="1326">
        <v>0</v>
      </c>
      <c r="H383" s="1326">
        <v>0</v>
      </c>
      <c r="I383" s="585"/>
      <c r="J383" s="1327">
        <f t="shared" si="135"/>
        <v>0</v>
      </c>
    </row>
    <row r="384" spans="2:10" ht="26.25" customHeight="1" x14ac:dyDescent="0.2">
      <c r="B384" s="668"/>
      <c r="C384" s="413" t="str">
        <v>ABC adulte</v>
      </c>
      <c r="D384" s="419" t="str">
        <v>300 mg</v>
      </c>
      <c r="E384" s="1358">
        <v>0</v>
      </c>
      <c r="F384" s="1358">
        <v>0</v>
      </c>
      <c r="G384" s="1358">
        <v>0</v>
      </c>
      <c r="H384" s="1358">
        <v>0</v>
      </c>
      <c r="I384" s="585"/>
      <c r="J384" s="1327">
        <f t="shared" si="135"/>
        <v>0</v>
      </c>
    </row>
    <row r="385" spans="2:13" x14ac:dyDescent="0.2">
      <c r="B385" s="668"/>
      <c r="C385" s="413" t="str">
        <v>ABC bébé</v>
      </c>
      <c r="D385" s="419" t="str">
        <v>60 mg</v>
      </c>
      <c r="E385" s="1358" t="e">
        <v>#DIV/0!</v>
      </c>
      <c r="F385" s="1358">
        <v>0</v>
      </c>
      <c r="G385" s="1358">
        <v>0</v>
      </c>
      <c r="H385" s="1358">
        <v>0</v>
      </c>
      <c r="I385" s="585"/>
      <c r="J385" s="1327" t="e">
        <f t="shared" si="135"/>
        <v>#DIV/0!</v>
      </c>
    </row>
    <row r="386" spans="2:13" x14ac:dyDescent="0.2">
      <c r="B386" s="668"/>
      <c r="C386" s="413" t="str">
        <v>DDI adulte</v>
      </c>
      <c r="D386" s="419" t="str">
        <v>250 mg</v>
      </c>
      <c r="E386" s="1358">
        <v>0</v>
      </c>
      <c r="F386" s="1358">
        <v>0</v>
      </c>
      <c r="G386" s="1358">
        <v>0</v>
      </c>
      <c r="H386" s="1358">
        <v>0</v>
      </c>
      <c r="I386" s="585"/>
      <c r="J386" s="1327">
        <f t="shared" si="135"/>
        <v>0</v>
      </c>
    </row>
    <row r="387" spans="2:13" x14ac:dyDescent="0.2">
      <c r="B387" s="668"/>
      <c r="C387" s="413" t="str">
        <v>NVP adulte</v>
      </c>
      <c r="D387" s="419" t="str">
        <v>200 mg</v>
      </c>
      <c r="E387" s="1358">
        <v>0</v>
      </c>
      <c r="F387" s="1358">
        <v>0</v>
      </c>
      <c r="G387" s="1358">
        <v>0</v>
      </c>
      <c r="H387" s="1358">
        <v>0</v>
      </c>
      <c r="I387" s="585"/>
      <c r="J387" s="1327">
        <f t="shared" si="135"/>
        <v>0</v>
      </c>
    </row>
    <row r="388" spans="2:13" x14ac:dyDescent="0.2">
      <c r="B388" s="668"/>
      <c r="C388" s="413" t="str">
        <v>NVP bébé</v>
      </c>
      <c r="D388" s="419" t="str">
        <v>50 mg</v>
      </c>
      <c r="E388" s="1358">
        <v>0</v>
      </c>
      <c r="F388" s="1358" t="e">
        <v>#DIV/0!</v>
      </c>
      <c r="G388" s="1358" t="e">
        <v>#DIV/0!</v>
      </c>
      <c r="H388" s="1358" t="e">
        <v>#DIV/0!</v>
      </c>
      <c r="I388" s="585"/>
      <c r="J388" s="1327" t="e">
        <f t="shared" si="135"/>
        <v>#DIV/0!</v>
      </c>
    </row>
    <row r="389" spans="2:13" x14ac:dyDescent="0.2">
      <c r="B389" s="668"/>
      <c r="C389" s="413" t="str">
        <v>EFV enfant</v>
      </c>
      <c r="D389" s="419" t="str">
        <v>200 mg</v>
      </c>
      <c r="E389" s="1358">
        <v>0</v>
      </c>
      <c r="F389" s="1358" t="e">
        <v>#DIV/0!</v>
      </c>
      <c r="G389" s="1358" t="e">
        <v>#DIV/0!</v>
      </c>
      <c r="H389" s="1358" t="e">
        <v>#DIV/0!</v>
      </c>
      <c r="I389" s="585"/>
      <c r="J389" s="1327" t="e">
        <f t="shared" si="135"/>
        <v>#DIV/0!</v>
      </c>
    </row>
    <row r="390" spans="2:13" x14ac:dyDescent="0.2">
      <c r="B390" s="668"/>
      <c r="C390" s="413" t="str">
        <v>LPV/r adulte</v>
      </c>
      <c r="D390" s="419" t="str">
        <v>200/50 mg</v>
      </c>
      <c r="E390" s="1358">
        <v>0</v>
      </c>
      <c r="F390" s="1358">
        <v>0</v>
      </c>
      <c r="G390" s="1358">
        <v>0</v>
      </c>
      <c r="H390" s="1358">
        <v>0</v>
      </c>
      <c r="I390" s="585"/>
      <c r="J390" s="657">
        <f>SUM(E390:I390)</f>
        <v>0</v>
      </c>
    </row>
    <row r="391" spans="2:13" ht="13.5" thickBot="1" x14ac:dyDescent="0.25">
      <c r="B391" s="669"/>
      <c r="C391" s="422" t="str">
        <v>LPV/r enfant</v>
      </c>
      <c r="D391" s="423" t="str">
        <v>100/25 mg</v>
      </c>
      <c r="E391" s="1359">
        <v>0</v>
      </c>
      <c r="F391" s="1359" t="e">
        <v>#DIV/0!</v>
      </c>
      <c r="G391" s="1359" t="e">
        <v>#DIV/0!</v>
      </c>
      <c r="H391" s="1359" t="e">
        <v>#DIV/0!</v>
      </c>
      <c r="I391" s="665"/>
      <c r="J391" s="666" t="e">
        <f>SUM(E391:I391)</f>
        <v>#DIV/0!</v>
      </c>
    </row>
    <row r="393" spans="2:13" ht="15" x14ac:dyDescent="0.2">
      <c r="B393" s="2143" t="str">
        <f>'TRAD-Children YEAR(2)'!B26</f>
        <v>Quantification des besoins en ARV pour la prise en charge pédiatrique sur la 4ème année AVEC stock de sécurité</v>
      </c>
      <c r="C393" s="2143"/>
      <c r="D393" s="2143"/>
      <c r="E393" s="2143"/>
      <c r="F393" s="2143"/>
      <c r="G393" s="2143"/>
      <c r="H393" s="2143"/>
      <c r="I393" s="2143"/>
      <c r="J393" s="2143"/>
      <c r="K393" s="2143"/>
      <c r="L393" s="2143"/>
      <c r="M393" s="2143"/>
    </row>
    <row r="394" spans="2:13" ht="13.5" thickBot="1" x14ac:dyDescent="0.25">
      <c r="B394" s="528"/>
      <c r="E394" s="640"/>
      <c r="F394" s="640"/>
    </row>
    <row r="395" spans="2:13" ht="13.5" thickBot="1" x14ac:dyDescent="0.25">
      <c r="B395" s="528"/>
      <c r="C395" s="528"/>
      <c r="D395" s="528"/>
      <c r="E395" s="2141" t="str">
        <f>'TRAD-Children YEAR(1)'!B86</f>
        <v>Poids envisagés</v>
      </c>
      <c r="F395" s="2142"/>
      <c r="G395" s="2142"/>
      <c r="H395" s="2192"/>
    </row>
    <row r="396" spans="2:13" ht="90" thickBot="1" x14ac:dyDescent="0.25">
      <c r="B396" s="642"/>
      <c r="C396" s="643" t="str">
        <f>'TRAD-Children YEAR(1)'!B113</f>
        <v>Nb de boites / mois pour l'ensemble des patients</v>
      </c>
      <c r="D396" s="369" t="str">
        <f>'TRAD-Children YEAR(1)'!B114</f>
        <v>Dosage</v>
      </c>
      <c r="E396" s="645" t="s">
        <v>206</v>
      </c>
      <c r="F396" s="646" t="s">
        <v>207</v>
      </c>
      <c r="G396" s="646" t="s">
        <v>208</v>
      </c>
      <c r="H396" s="647" t="s">
        <v>112</v>
      </c>
      <c r="I396" s="644" t="s">
        <v>129</v>
      </c>
      <c r="J396" s="649" t="str">
        <f>'TRAD-Children YEAR(1)'!B12</f>
        <v>TOTAL (nbre de boîtes / flacons)</v>
      </c>
      <c r="K396" s="643" t="str">
        <f>'TRAD-Children YEAR(1)'!B147</f>
        <v>Marge de sécurité (nb de boites / flacons)</v>
      </c>
      <c r="L396" s="643" t="str">
        <f>'TRAD-Children YEAR(1)'!B148</f>
        <v>Différence de marge de sécurité / année précédente (nb de boites / flacons)</v>
      </c>
    </row>
    <row r="397" spans="2:13" x14ac:dyDescent="0.2">
      <c r="B397" s="650" t="str">
        <f>'TRAD-Children YEAR(1)'!B74</f>
        <v>sol buv</v>
      </c>
      <c r="C397" s="651" t="s">
        <v>39</v>
      </c>
      <c r="D397" s="651" t="s">
        <v>41</v>
      </c>
      <c r="E397" s="652">
        <f t="array" ref="E397:E427">TRANSPOSE($D$280:$AH$280)</f>
        <v>0</v>
      </c>
      <c r="F397" s="652">
        <f t="array" ref="F397:F427">TRANSPOSE($D$304:$AH$304)</f>
        <v>0</v>
      </c>
      <c r="G397" s="652">
        <f t="array" ref="G397:G427">TRANSPOSE($D$328:$AH$328)</f>
        <v>0</v>
      </c>
      <c r="H397" s="652">
        <f t="array" ref="H397:H427">TRANSPOSE($D$352:$AH$352)</f>
        <v>0</v>
      </c>
      <c r="I397" s="582">
        <f>H130</f>
        <v>0</v>
      </c>
      <c r="J397" s="653">
        <f t="shared" ref="J397" si="136">SUM(E397:I397)</f>
        <v>0</v>
      </c>
      <c r="K397" s="1437">
        <f t="shared" ref="K397:K416" si="137">J397-J361</f>
        <v>0</v>
      </c>
      <c r="L397" s="670" t="str">
        <f>IF((K397-'Children YEAR4'!K397)&gt;0, K397-'Children YEAR4'!K397, "0")</f>
        <v>0</v>
      </c>
    </row>
    <row r="398" spans="2:13" x14ac:dyDescent="0.2">
      <c r="B398" s="654"/>
      <c r="C398" s="655" t="s">
        <v>61</v>
      </c>
      <c r="D398" s="655" t="s">
        <v>41</v>
      </c>
      <c r="E398" s="656">
        <v>0</v>
      </c>
      <c r="F398" s="656">
        <v>0</v>
      </c>
      <c r="G398" s="656">
        <v>0</v>
      </c>
      <c r="H398" s="656">
        <v>0</v>
      </c>
      <c r="I398" s="585">
        <f>H129</f>
        <v>0</v>
      </c>
      <c r="J398" s="657">
        <f t="shared" ref="J398:J427" si="138">SUM(E398:I398)</f>
        <v>0</v>
      </c>
      <c r="K398" s="1438">
        <f t="shared" si="137"/>
        <v>0</v>
      </c>
      <c r="L398" s="671" t="str">
        <f>IF((K398-'Children YEAR4'!K398)&gt;0, K398-'Children YEAR4'!K398, "0")</f>
        <v>0</v>
      </c>
    </row>
    <row r="399" spans="2:13" x14ac:dyDescent="0.2">
      <c r="B399" s="654"/>
      <c r="C399" s="655" t="s">
        <v>15</v>
      </c>
      <c r="D399" s="655" t="s">
        <v>41</v>
      </c>
      <c r="E399" s="656">
        <v>0</v>
      </c>
      <c r="F399" s="656">
        <v>0</v>
      </c>
      <c r="G399" s="656">
        <v>0</v>
      </c>
      <c r="H399" s="656">
        <v>0</v>
      </c>
      <c r="I399" s="585">
        <f>H131</f>
        <v>0</v>
      </c>
      <c r="J399" s="657">
        <f t="shared" si="138"/>
        <v>0</v>
      </c>
      <c r="K399" s="1438">
        <f t="shared" si="137"/>
        <v>0</v>
      </c>
      <c r="L399" s="671" t="str">
        <f>IF((K399-'Children YEAR4'!K399)&gt;0, K399-'Children YEAR4'!K399, "0")</f>
        <v>0</v>
      </c>
    </row>
    <row r="400" spans="2:13" x14ac:dyDescent="0.2">
      <c r="B400" s="654"/>
      <c r="C400" s="655" t="s">
        <v>25</v>
      </c>
      <c r="D400" s="655" t="s">
        <v>44</v>
      </c>
      <c r="E400" s="656">
        <v>0</v>
      </c>
      <c r="F400" s="656">
        <v>0</v>
      </c>
      <c r="G400" s="656">
        <v>0</v>
      </c>
      <c r="H400" s="656">
        <v>0</v>
      </c>
      <c r="I400" s="585"/>
      <c r="J400" s="657">
        <f t="shared" si="138"/>
        <v>0</v>
      </c>
      <c r="K400" s="1438">
        <f t="shared" si="137"/>
        <v>0</v>
      </c>
      <c r="L400" s="671" t="str">
        <f>IF((K400-'Children YEAR4'!K400)&gt;0, K400-'Children YEAR4'!K400, "0")</f>
        <v>0</v>
      </c>
    </row>
    <row r="401" spans="2:12" x14ac:dyDescent="0.2">
      <c r="B401" s="654"/>
      <c r="C401" s="655" t="s">
        <v>28</v>
      </c>
      <c r="D401" s="655" t="s">
        <v>46</v>
      </c>
      <c r="E401" s="656">
        <v>0</v>
      </c>
      <c r="F401" s="656">
        <v>0</v>
      </c>
      <c r="G401" s="656">
        <v>0</v>
      </c>
      <c r="H401" s="656">
        <v>0</v>
      </c>
      <c r="I401" s="585"/>
      <c r="J401" s="657">
        <f t="shared" si="138"/>
        <v>0</v>
      </c>
      <c r="K401" s="1438">
        <f t="shared" si="137"/>
        <v>0</v>
      </c>
      <c r="L401" s="671" t="str">
        <f>IF((K401-'Children YEAR4'!K401)&gt;0, K401-'Children YEAR4'!K401, "0")</f>
        <v>0</v>
      </c>
    </row>
    <row r="402" spans="2:12" x14ac:dyDescent="0.2">
      <c r="B402" s="654"/>
      <c r="C402" s="655" t="s">
        <v>19</v>
      </c>
      <c r="D402" s="655" t="s">
        <v>41</v>
      </c>
      <c r="E402" s="656" t="e">
        <v>#DIV/0!</v>
      </c>
      <c r="F402" s="656" t="e">
        <v>#DIV/0!</v>
      </c>
      <c r="G402" s="656">
        <v>0</v>
      </c>
      <c r="H402" s="656">
        <v>0</v>
      </c>
      <c r="I402" s="585">
        <f>H132</f>
        <v>0</v>
      </c>
      <c r="J402" s="657" t="e">
        <f t="shared" si="138"/>
        <v>#DIV/0!</v>
      </c>
      <c r="K402" s="1438" t="e">
        <f t="shared" si="137"/>
        <v>#DIV/0!</v>
      </c>
      <c r="L402" s="671" t="e">
        <f>IF((K402-'Children YEAR4'!K402)&gt;0, K402-'Children YEAR4'!K402, "0")</f>
        <v>#DIV/0!</v>
      </c>
    </row>
    <row r="403" spans="2:12" x14ac:dyDescent="0.2">
      <c r="B403" s="658"/>
      <c r="C403" s="659" t="s">
        <v>17</v>
      </c>
      <c r="D403" s="659" t="s">
        <v>259</v>
      </c>
      <c r="E403" s="660">
        <v>0</v>
      </c>
      <c r="F403" s="660" t="e">
        <v>#DIV/0!</v>
      </c>
      <c r="G403" s="660" t="e">
        <v>#DIV/0!</v>
      </c>
      <c r="H403" s="660">
        <v>0</v>
      </c>
      <c r="I403" s="672"/>
      <c r="J403" s="661" t="e">
        <f t="shared" si="138"/>
        <v>#DIV/0!</v>
      </c>
      <c r="K403" s="1439" t="e">
        <f t="shared" si="137"/>
        <v>#DIV/0!</v>
      </c>
      <c r="L403" s="671" t="e">
        <f>IF((K403-'Children YEAR4'!K403)&gt;0, K403-'Children YEAR4'!K403, "0")</f>
        <v>#DIV/0!</v>
      </c>
    </row>
    <row r="404" spans="2:12" ht="13.5" thickBot="1" x14ac:dyDescent="0.25">
      <c r="B404" s="662"/>
      <c r="C404" s="663" t="s">
        <v>33</v>
      </c>
      <c r="D404" s="663" t="s">
        <v>47</v>
      </c>
      <c r="E404" s="664" t="e">
        <v>#DIV/0!</v>
      </c>
      <c r="F404" s="664" t="e">
        <v>#DIV/0!</v>
      </c>
      <c r="G404" s="664">
        <v>0</v>
      </c>
      <c r="H404" s="664">
        <v>0</v>
      </c>
      <c r="I404" s="673"/>
      <c r="J404" s="666" t="e">
        <f t="shared" si="138"/>
        <v>#DIV/0!</v>
      </c>
      <c r="K404" s="1440" t="e">
        <f t="shared" si="137"/>
        <v>#DIV/0!</v>
      </c>
      <c r="L404" s="674" t="e">
        <f>IF((K404-'Children YEAR4'!K404)&gt;0, K404-'Children YEAR4'!K404, "0")</f>
        <v>#DIV/0!</v>
      </c>
    </row>
    <row r="405" spans="2:12" ht="25.5" x14ac:dyDescent="0.2">
      <c r="B405" s="650" t="str">
        <f>'TRAD-Children YEAR(1)'!B91</f>
        <v>Comprimés</v>
      </c>
      <c r="C405" s="408" t="str">
        <f t="array" ref="C405:D427">'Data &amp; hypothesis Children'!$C$238:$D$260</f>
        <v>AZT+ 3TC+ NVP adulte</v>
      </c>
      <c r="D405" s="409" t="str">
        <v>300/150/200 mg</v>
      </c>
      <c r="E405" s="1358">
        <v>0</v>
      </c>
      <c r="F405" s="1358">
        <v>0</v>
      </c>
      <c r="G405" s="1358">
        <v>0</v>
      </c>
      <c r="H405" s="1358">
        <v>0</v>
      </c>
      <c r="I405" s="585"/>
      <c r="J405" s="657">
        <f t="shared" si="138"/>
        <v>0</v>
      </c>
      <c r="K405" s="1438">
        <f t="shared" si="137"/>
        <v>0</v>
      </c>
      <c r="L405" s="670" t="str">
        <f>IF((K405-'Children YEAR4'!K405)&gt;0, K405-'Children YEAR4'!K405, "0")</f>
        <v>0</v>
      </c>
    </row>
    <row r="406" spans="2:12" ht="25.5" x14ac:dyDescent="0.2">
      <c r="B406" s="667"/>
      <c r="C406" s="413" t="str">
        <v>AZT+ 3TC+ NVP bébé</v>
      </c>
      <c r="D406" s="414" t="str">
        <v>60/30/50 mg</v>
      </c>
      <c r="E406" s="656" t="e">
        <v>#DIV/0!</v>
      </c>
      <c r="F406" s="656" t="e">
        <v>#DIV/0!</v>
      </c>
      <c r="G406" s="656" t="e">
        <v>#DIV/0!</v>
      </c>
      <c r="H406" s="656" t="e">
        <v>#DIV/0!</v>
      </c>
      <c r="I406" s="585">
        <f>H135</f>
        <v>0</v>
      </c>
      <c r="J406" s="657" t="e">
        <f t="shared" si="138"/>
        <v>#DIV/0!</v>
      </c>
      <c r="K406" s="1438" t="e">
        <f t="shared" si="137"/>
        <v>#DIV/0!</v>
      </c>
      <c r="L406" s="671" t="e">
        <f>IF((K406-'Children YEAR4'!K406)&gt;0, K406-'Children YEAR4'!K406, "0")</f>
        <v>#DIV/0!</v>
      </c>
    </row>
    <row r="407" spans="2:12" ht="25.5" x14ac:dyDescent="0.2">
      <c r="B407" s="668"/>
      <c r="C407" s="413" t="str">
        <v>AZT+ 3TC adulte</v>
      </c>
      <c r="D407" s="414" t="str">
        <v>300/150 mg</v>
      </c>
      <c r="E407" s="656">
        <v>0</v>
      </c>
      <c r="F407" s="656">
        <v>0</v>
      </c>
      <c r="G407" s="656">
        <v>0</v>
      </c>
      <c r="H407" s="656">
        <v>0</v>
      </c>
      <c r="I407" s="585"/>
      <c r="J407" s="1327">
        <f t="shared" si="138"/>
        <v>0</v>
      </c>
      <c r="K407" s="1441">
        <f t="shared" si="137"/>
        <v>0</v>
      </c>
      <c r="L407" s="671" t="str">
        <f>IF((K407-'Children YEAR4'!K407)&gt;0, K407-'Children YEAR4'!K407, "0")</f>
        <v>0</v>
      </c>
    </row>
    <row r="408" spans="2:12" x14ac:dyDescent="0.2">
      <c r="B408" s="668"/>
      <c r="C408" s="413" t="str">
        <v>AZT+ 3TC bébé</v>
      </c>
      <c r="D408" s="414" t="str">
        <v>60/30 mg</v>
      </c>
      <c r="E408" s="656" t="e">
        <v>#DIV/0!</v>
      </c>
      <c r="F408" s="656" t="e">
        <v>#DIV/0!</v>
      </c>
      <c r="G408" s="656" t="e">
        <v>#DIV/0!</v>
      </c>
      <c r="H408" s="656" t="e">
        <v>#DIV/0!</v>
      </c>
      <c r="I408" s="585">
        <f>H136</f>
        <v>0</v>
      </c>
      <c r="J408" s="1327" t="e">
        <f t="shared" si="138"/>
        <v>#DIV/0!</v>
      </c>
      <c r="K408" s="1441" t="e">
        <f t="shared" si="137"/>
        <v>#DIV/0!</v>
      </c>
      <c r="L408" s="671" t="e">
        <f>IF((K408-'Children YEAR4'!K408)&gt;0, K408-'Children YEAR4'!K408, "0")</f>
        <v>#DIV/0!</v>
      </c>
    </row>
    <row r="409" spans="2:12" ht="25.5" x14ac:dyDescent="0.2">
      <c r="B409" s="668"/>
      <c r="C409" s="413" t="str">
        <v>D4T+ 3TC+ NVP adulte</v>
      </c>
      <c r="D409" s="414" t="str">
        <v>30/150/200 mg</v>
      </c>
      <c r="E409" s="656">
        <v>0</v>
      </c>
      <c r="F409" s="656">
        <v>0</v>
      </c>
      <c r="G409" s="656">
        <v>0</v>
      </c>
      <c r="H409" s="656">
        <v>0</v>
      </c>
      <c r="I409" s="585"/>
      <c r="J409" s="1327">
        <f t="shared" si="138"/>
        <v>0</v>
      </c>
      <c r="K409" s="1441">
        <f t="shared" si="137"/>
        <v>0</v>
      </c>
      <c r="L409" s="671" t="str">
        <f>IF((K409-'Children YEAR4'!K409)&gt;0, K409-'Children YEAR4'!K409, "0")</f>
        <v>0</v>
      </c>
    </row>
    <row r="410" spans="2:12" ht="25.5" x14ac:dyDescent="0.2">
      <c r="B410" s="668"/>
      <c r="C410" s="413" t="str">
        <v>D4T+ 3TC+ NVP bébé</v>
      </c>
      <c r="D410" s="414" t="str">
        <v>6/30/50 mg</v>
      </c>
      <c r="E410" s="656">
        <v>0</v>
      </c>
      <c r="F410" s="656">
        <v>0</v>
      </c>
      <c r="G410" s="656" t="e">
        <v>#DIV/0!</v>
      </c>
      <c r="H410" s="656">
        <v>0</v>
      </c>
      <c r="I410" s="585">
        <f>H133</f>
        <v>0</v>
      </c>
      <c r="J410" s="1327" t="e">
        <f t="shared" si="138"/>
        <v>#DIV/0!</v>
      </c>
      <c r="K410" s="1441" t="e">
        <f t="shared" si="137"/>
        <v>#DIV/0!</v>
      </c>
      <c r="L410" s="671" t="e">
        <f>IF((K410-'Children YEAR4'!K410)&gt;0, K410-'Children YEAR4'!K410, "0")</f>
        <v>#DIV/0!</v>
      </c>
    </row>
    <row r="411" spans="2:12" x14ac:dyDescent="0.2">
      <c r="B411" s="668"/>
      <c r="C411" s="413" t="str">
        <v>D4T+ 3TC bébé</v>
      </c>
      <c r="D411" s="414" t="str">
        <v>6/30 mg</v>
      </c>
      <c r="E411" s="656">
        <v>0</v>
      </c>
      <c r="F411" s="656">
        <v>0</v>
      </c>
      <c r="G411" s="656">
        <v>0</v>
      </c>
      <c r="H411" s="656">
        <v>0</v>
      </c>
      <c r="I411" s="585">
        <f>H134</f>
        <v>0</v>
      </c>
      <c r="J411" s="1327">
        <f t="shared" ref="J411" si="139">SUM(E411:I411)</f>
        <v>0</v>
      </c>
      <c r="K411" s="1441">
        <f t="shared" si="137"/>
        <v>0</v>
      </c>
      <c r="L411" s="671" t="str">
        <f>IF((K411-'Children YEAR4'!K411)&gt;0, K411-'Children YEAR4'!K411, "0")</f>
        <v>0</v>
      </c>
    </row>
    <row r="412" spans="2:12" ht="25.5" x14ac:dyDescent="0.2">
      <c r="B412" s="668"/>
      <c r="C412" s="413" t="str">
        <v>AZT+ 3TC+ ABC adulte</v>
      </c>
      <c r="D412" s="414" t="str">
        <v>300/150/300 mg</v>
      </c>
      <c r="E412" s="656">
        <v>0</v>
      </c>
      <c r="F412" s="656">
        <v>0</v>
      </c>
      <c r="G412" s="656">
        <v>0</v>
      </c>
      <c r="H412" s="656">
        <v>0</v>
      </c>
      <c r="I412" s="585"/>
      <c r="J412" s="1327">
        <f t="shared" si="138"/>
        <v>0</v>
      </c>
      <c r="K412" s="1441">
        <f t="shared" si="137"/>
        <v>0</v>
      </c>
      <c r="L412" s="671" t="str">
        <f>IF((K412-'Children YEAR4'!K412)&gt;0, K412-'Children YEAR4'!K412, "0")</f>
        <v>0</v>
      </c>
    </row>
    <row r="413" spans="2:12" ht="25.5" x14ac:dyDescent="0.2">
      <c r="B413" s="668"/>
      <c r="C413" s="413" t="str">
        <v>AZT+ 3TC+ ABC bébé</v>
      </c>
      <c r="D413" s="414" t="str">
        <v>60/30/60 mg</v>
      </c>
      <c r="E413" s="656">
        <v>0</v>
      </c>
      <c r="F413" s="656">
        <v>0</v>
      </c>
      <c r="G413" s="656">
        <v>0</v>
      </c>
      <c r="H413" s="656">
        <v>0</v>
      </c>
      <c r="I413" s="585"/>
      <c r="J413" s="1327">
        <f t="shared" si="138"/>
        <v>0</v>
      </c>
      <c r="K413" s="1441">
        <f t="shared" si="137"/>
        <v>0</v>
      </c>
      <c r="L413" s="671" t="str">
        <f>IF((K413-'Children YEAR4'!K413)&gt;0, K413-'Children YEAR4'!K413, "0")</f>
        <v>0</v>
      </c>
    </row>
    <row r="414" spans="2:12" ht="25.5" x14ac:dyDescent="0.2">
      <c r="B414" s="668"/>
      <c r="C414" s="413" t="str">
        <v>ABC+ 3TC adulte</v>
      </c>
      <c r="D414" s="414" t="str">
        <v>600/300 mg</v>
      </c>
      <c r="E414" s="656" t="e">
        <v>#DIV/0!</v>
      </c>
      <c r="F414" s="656" t="e">
        <v>#DIV/0!</v>
      </c>
      <c r="G414" s="656">
        <v>0</v>
      </c>
      <c r="H414" s="656">
        <v>0</v>
      </c>
      <c r="I414" s="585"/>
      <c r="J414" s="1327" t="e">
        <f t="shared" si="138"/>
        <v>#DIV/0!</v>
      </c>
      <c r="K414" s="1441" t="e">
        <f t="shared" si="137"/>
        <v>#DIV/0!</v>
      </c>
      <c r="L414" s="671" t="e">
        <f>IF((K414-'Children YEAR4'!K414)&gt;0, K414-'Children YEAR4'!K414, "0")</f>
        <v>#DIV/0!</v>
      </c>
    </row>
    <row r="415" spans="2:12" x14ac:dyDescent="0.2">
      <c r="B415" s="668"/>
      <c r="C415" s="418" t="str">
        <v>ABC+ 3TC bébé</v>
      </c>
      <c r="D415" s="419" t="str">
        <v>60/30 mg</v>
      </c>
      <c r="E415" s="1326">
        <v>0</v>
      </c>
      <c r="F415" s="1326" t="e">
        <v>#DIV/0!</v>
      </c>
      <c r="G415" s="1326" t="e">
        <v>#DIV/0!</v>
      </c>
      <c r="H415" s="1326" t="e">
        <v>#DIV/0!</v>
      </c>
      <c r="I415" s="585"/>
      <c r="J415" s="1327" t="e">
        <f t="shared" si="138"/>
        <v>#DIV/0!</v>
      </c>
      <c r="K415" s="1441" t="e">
        <f t="shared" si="137"/>
        <v>#DIV/0!</v>
      </c>
      <c r="L415" s="671" t="e">
        <f>IF((K415-'Children YEAR4'!K415)&gt;0, K415-'Children YEAR4'!K415, "0")</f>
        <v>#DIV/0!</v>
      </c>
    </row>
    <row r="416" spans="2:12" ht="25.5" x14ac:dyDescent="0.2">
      <c r="B416" s="668"/>
      <c r="C416" s="418" t="str">
        <v>TDF+ FTC/3TC+ EFV adulte</v>
      </c>
      <c r="D416" s="419" t="str">
        <v>300/200/600 mg</v>
      </c>
      <c r="E416" s="1963">
        <v>0</v>
      </c>
      <c r="F416" s="1963">
        <v>0</v>
      </c>
      <c r="G416" s="1963">
        <v>0</v>
      </c>
      <c r="H416" s="1963">
        <v>0</v>
      </c>
      <c r="I416" s="585"/>
      <c r="J416" s="1327">
        <f>SUM(E416:I416)</f>
        <v>0</v>
      </c>
      <c r="K416" s="1441">
        <f t="shared" si="137"/>
        <v>0</v>
      </c>
      <c r="L416" s="671" t="str">
        <f>IF((K416-'Children YEAR4'!K416)&gt;0, K416-'Children YEAR4'!K416, "0")</f>
        <v>0</v>
      </c>
    </row>
    <row r="417" spans="1:14" ht="25.5" x14ac:dyDescent="0.2">
      <c r="B417" s="668"/>
      <c r="C417" s="418" t="str">
        <v>TDF+ FTC/3TC adulte</v>
      </c>
      <c r="D417" s="419" t="str">
        <v>300/200 mg</v>
      </c>
      <c r="E417" s="1963">
        <v>0</v>
      </c>
      <c r="F417" s="1963">
        <v>0</v>
      </c>
      <c r="G417" s="1963">
        <v>0</v>
      </c>
      <c r="H417" s="1963" t="e">
        <v>#DIV/0!</v>
      </c>
      <c r="I417" s="585"/>
      <c r="J417" s="1327" t="e">
        <f t="shared" ref="J417:J418" si="140">SUM(E417:I417)</f>
        <v>#DIV/0!</v>
      </c>
      <c r="K417" s="1441" t="e">
        <f t="shared" ref="K417:K418" si="141">J417-J381</f>
        <v>#DIV/0!</v>
      </c>
      <c r="L417" s="671" t="e">
        <f>IF((K417-'Children YEAR4'!K417)&gt;0, K417-'Children YEAR4'!K417, "0")</f>
        <v>#DIV/0!</v>
      </c>
    </row>
    <row r="418" spans="1:14" x14ac:dyDescent="0.2">
      <c r="B418" s="668"/>
      <c r="C418" s="418" t="str">
        <v>TDF adulte</v>
      </c>
      <c r="D418" s="419" t="str">
        <v>300 mg</v>
      </c>
      <c r="E418" s="1963">
        <v>0</v>
      </c>
      <c r="F418" s="1963">
        <v>0</v>
      </c>
      <c r="G418" s="1963">
        <v>0</v>
      </c>
      <c r="H418" s="1963">
        <v>0</v>
      </c>
      <c r="I418" s="585"/>
      <c r="J418" s="1327">
        <f t="shared" si="140"/>
        <v>0</v>
      </c>
      <c r="K418" s="1441">
        <f t="shared" si="141"/>
        <v>0</v>
      </c>
      <c r="L418" s="671" t="str">
        <f>IF((K418-'Children YEAR4'!K418)&gt;0, K418-'Children YEAR4'!K418, "0")</f>
        <v>0</v>
      </c>
    </row>
    <row r="419" spans="1:14" x14ac:dyDescent="0.2">
      <c r="B419" s="668"/>
      <c r="C419" s="418" t="str">
        <v>3TC adulte</v>
      </c>
      <c r="D419" s="419" t="str">
        <v>150 mg</v>
      </c>
      <c r="E419" s="1326">
        <v>0</v>
      </c>
      <c r="F419" s="1326">
        <v>0</v>
      </c>
      <c r="G419" s="1326">
        <v>0</v>
      </c>
      <c r="H419" s="1326">
        <v>0</v>
      </c>
      <c r="I419" s="585"/>
      <c r="J419" s="1327">
        <f t="shared" si="138"/>
        <v>0</v>
      </c>
      <c r="K419" s="1441">
        <f t="shared" ref="K419:K427" si="142">J419-J383</f>
        <v>0</v>
      </c>
      <c r="L419" s="671" t="str">
        <f>IF((K419-'Children YEAR4'!K419)&gt;0, K419-'Children YEAR4'!K419, "0")</f>
        <v>0</v>
      </c>
    </row>
    <row r="420" spans="1:14" x14ac:dyDescent="0.2">
      <c r="B420" s="668"/>
      <c r="C420" s="413" t="str">
        <v>ABC adulte</v>
      </c>
      <c r="D420" s="419" t="str">
        <v>300 mg</v>
      </c>
      <c r="E420" s="1358">
        <v>0</v>
      </c>
      <c r="F420" s="1358">
        <v>0</v>
      </c>
      <c r="G420" s="1358">
        <v>0</v>
      </c>
      <c r="H420" s="1358">
        <v>0</v>
      </c>
      <c r="I420" s="585"/>
      <c r="J420" s="1327">
        <f t="shared" si="138"/>
        <v>0</v>
      </c>
      <c r="K420" s="1441">
        <f t="shared" si="142"/>
        <v>0</v>
      </c>
      <c r="L420" s="671" t="str">
        <f>IF((K420-'Children YEAR4'!K420)&gt;0, K420-'Children YEAR4'!K420, "0")</f>
        <v>0</v>
      </c>
    </row>
    <row r="421" spans="1:14" x14ac:dyDescent="0.2">
      <c r="B421" s="668"/>
      <c r="C421" s="413" t="str">
        <v>ABC bébé</v>
      </c>
      <c r="D421" s="419" t="str">
        <v>60 mg</v>
      </c>
      <c r="E421" s="1358" t="e">
        <v>#DIV/0!</v>
      </c>
      <c r="F421" s="1358">
        <v>0</v>
      </c>
      <c r="G421" s="1358">
        <v>0</v>
      </c>
      <c r="H421" s="1358">
        <v>0</v>
      </c>
      <c r="I421" s="585"/>
      <c r="J421" s="1327" t="e">
        <f t="shared" si="138"/>
        <v>#DIV/0!</v>
      </c>
      <c r="K421" s="1441" t="e">
        <f t="shared" si="142"/>
        <v>#DIV/0!</v>
      </c>
      <c r="L421" s="671" t="e">
        <f>IF((K421-'Children YEAR4'!K421)&gt;0, K421-'Children YEAR4'!K421, "0")</f>
        <v>#DIV/0!</v>
      </c>
    </row>
    <row r="422" spans="1:14" x14ac:dyDescent="0.2">
      <c r="B422" s="668"/>
      <c r="C422" s="413" t="str">
        <v>DDI adulte</v>
      </c>
      <c r="D422" s="419" t="str">
        <v>250 mg</v>
      </c>
      <c r="E422" s="1358">
        <v>0</v>
      </c>
      <c r="F422" s="1358">
        <v>0</v>
      </c>
      <c r="G422" s="1358">
        <v>0</v>
      </c>
      <c r="H422" s="1358">
        <v>0</v>
      </c>
      <c r="I422" s="585"/>
      <c r="J422" s="657">
        <f t="shared" si="138"/>
        <v>0</v>
      </c>
      <c r="K422" s="1438">
        <f t="shared" si="142"/>
        <v>0</v>
      </c>
      <c r="L422" s="671" t="str">
        <f>IF((K422-'Children YEAR4'!K422)&gt;0, K422-'Children YEAR4'!K422, "0")</f>
        <v>0</v>
      </c>
    </row>
    <row r="423" spans="1:14" x14ac:dyDescent="0.2">
      <c r="B423" s="668"/>
      <c r="C423" s="413" t="str">
        <v>NVP adulte</v>
      </c>
      <c r="D423" s="419" t="str">
        <v>200 mg</v>
      </c>
      <c r="E423" s="1358">
        <v>0</v>
      </c>
      <c r="F423" s="1358">
        <v>0</v>
      </c>
      <c r="G423" s="1358">
        <v>0</v>
      </c>
      <c r="H423" s="1358">
        <v>0</v>
      </c>
      <c r="I423" s="585"/>
      <c r="J423" s="657">
        <f t="shared" ref="J423" si="143">SUM(E423:I423)</f>
        <v>0</v>
      </c>
      <c r="K423" s="1438">
        <f t="shared" si="142"/>
        <v>0</v>
      </c>
      <c r="L423" s="671" t="str">
        <f>IF((K423-'Children YEAR4'!K423)&gt;0, K423-'Children YEAR4'!K423, "0")</f>
        <v>0</v>
      </c>
    </row>
    <row r="424" spans="1:14" x14ac:dyDescent="0.2">
      <c r="B424" s="668"/>
      <c r="C424" s="413" t="str">
        <v>NVP bébé</v>
      </c>
      <c r="D424" s="419" t="str">
        <v>50 mg</v>
      </c>
      <c r="E424" s="1358">
        <v>0</v>
      </c>
      <c r="F424" s="1358" t="e">
        <v>#DIV/0!</v>
      </c>
      <c r="G424" s="1358" t="e">
        <v>#DIV/0!</v>
      </c>
      <c r="H424" s="1358" t="e">
        <v>#DIV/0!</v>
      </c>
      <c r="I424" s="585"/>
      <c r="J424" s="657" t="e">
        <f t="shared" ref="J424" si="144">SUM(E424:I424)</f>
        <v>#DIV/0!</v>
      </c>
      <c r="K424" s="1438" t="e">
        <f t="shared" si="142"/>
        <v>#DIV/0!</v>
      </c>
      <c r="L424" s="671" t="e">
        <f>IF((K424-'Children YEAR4'!K424)&gt;0, K424-'Children YEAR4'!K424, "0")</f>
        <v>#DIV/0!</v>
      </c>
    </row>
    <row r="425" spans="1:14" x14ac:dyDescent="0.2">
      <c r="B425" s="668"/>
      <c r="C425" s="413" t="str">
        <v>EFV enfant</v>
      </c>
      <c r="D425" s="419" t="str">
        <v>200 mg</v>
      </c>
      <c r="E425" s="1358">
        <v>0</v>
      </c>
      <c r="F425" s="1358" t="e">
        <v>#DIV/0!</v>
      </c>
      <c r="G425" s="1358" t="e">
        <v>#DIV/0!</v>
      </c>
      <c r="H425" s="1358" t="e">
        <v>#DIV/0!</v>
      </c>
      <c r="I425" s="585"/>
      <c r="J425" s="657" t="e">
        <f t="shared" si="138"/>
        <v>#DIV/0!</v>
      </c>
      <c r="K425" s="1438" t="e">
        <f t="shared" si="142"/>
        <v>#DIV/0!</v>
      </c>
      <c r="L425" s="671" t="e">
        <f>IF((K425-'Children YEAR4'!K425)&gt;0, K425-'Children YEAR4'!K425, "0")</f>
        <v>#DIV/0!</v>
      </c>
    </row>
    <row r="426" spans="1:14" x14ac:dyDescent="0.2">
      <c r="B426" s="668"/>
      <c r="C426" s="413" t="str">
        <v>LPV/r adulte</v>
      </c>
      <c r="D426" s="419" t="str">
        <v>200/50 mg</v>
      </c>
      <c r="E426" s="1358">
        <v>0</v>
      </c>
      <c r="F426" s="1358">
        <v>0</v>
      </c>
      <c r="G426" s="1358">
        <v>0</v>
      </c>
      <c r="H426" s="1358">
        <v>0</v>
      </c>
      <c r="I426" s="585"/>
      <c r="J426" s="657">
        <f t="shared" si="138"/>
        <v>0</v>
      </c>
      <c r="K426" s="1438">
        <f t="shared" si="142"/>
        <v>0</v>
      </c>
      <c r="L426" s="671" t="str">
        <f>IF((K426-'Children YEAR4'!K426)&gt;0, K426-'Children YEAR4'!K426, "0")</f>
        <v>0</v>
      </c>
    </row>
    <row r="427" spans="1:14" ht="13.5" thickBot="1" x14ac:dyDescent="0.25">
      <c r="B427" s="669"/>
      <c r="C427" s="422" t="str">
        <v>LPV/r enfant</v>
      </c>
      <c r="D427" s="423" t="str">
        <v>100/25 mg</v>
      </c>
      <c r="E427" s="1359">
        <v>0</v>
      </c>
      <c r="F427" s="1359" t="e">
        <v>#DIV/0!</v>
      </c>
      <c r="G427" s="1359" t="e">
        <v>#DIV/0!</v>
      </c>
      <c r="H427" s="1359" t="e">
        <v>#DIV/0!</v>
      </c>
      <c r="I427" s="665"/>
      <c r="J427" s="666" t="e">
        <f t="shared" si="138"/>
        <v>#DIV/0!</v>
      </c>
      <c r="K427" s="1440" t="e">
        <f t="shared" si="142"/>
        <v>#DIV/0!</v>
      </c>
      <c r="L427" s="674" t="e">
        <f>IF((K427-'Children YEAR4'!K427)&gt;0, K427-'Children YEAR4'!K427, "0")</f>
        <v>#DIV/0!</v>
      </c>
    </row>
    <row r="430" spans="1:14" s="263" customFormat="1" ht="15.75" thickBot="1" x14ac:dyDescent="0.3">
      <c r="A430" s="2196" t="str">
        <f>'TRAD-Children YEAR(1)'!B132</f>
        <v>Synthèse</v>
      </c>
      <c r="B430" s="2196"/>
      <c r="C430" s="2196"/>
      <c r="D430" s="2196"/>
      <c r="E430" s="2196"/>
      <c r="F430" s="2196"/>
      <c r="G430" s="2196"/>
      <c r="H430" s="2196"/>
      <c r="I430" s="2196"/>
      <c r="J430" s="2196"/>
      <c r="K430" s="2196"/>
      <c r="L430" s="2196"/>
      <c r="M430" s="2196"/>
      <c r="N430" s="2196"/>
    </row>
    <row r="431" spans="1:14" x14ac:dyDescent="0.2">
      <c r="G431" s="497"/>
      <c r="H431" s="497"/>
    </row>
    <row r="432" spans="1:14" ht="15" x14ac:dyDescent="0.2">
      <c r="B432" s="2143" t="str">
        <f>'TRAD-Children YEAR(2)'!B33</f>
        <v>Quantification des besoins en ARV pour la prise en charge pédiatrique sur l'année 1</v>
      </c>
      <c r="C432" s="2143"/>
      <c r="D432" s="2143"/>
      <c r="E432" s="2143"/>
      <c r="F432" s="2143"/>
      <c r="G432" s="2143"/>
      <c r="H432" s="2143"/>
      <c r="I432" s="2143"/>
      <c r="J432" s="2143"/>
      <c r="K432" s="2143"/>
      <c r="L432" s="2143"/>
      <c r="M432" s="2143"/>
    </row>
    <row r="433" spans="2:12" ht="13.5" thickBot="1" x14ac:dyDescent="0.25">
      <c r="G433" s="675"/>
      <c r="H433" s="675"/>
    </row>
    <row r="434" spans="2:12" ht="102.75" thickBot="1" x14ac:dyDescent="0.25">
      <c r="B434" s="676"/>
      <c r="C434" s="368" t="str">
        <f>'TRAD-Children YEAR(1)'!B67</f>
        <v>Composition</v>
      </c>
      <c r="D434" s="369" t="str">
        <f>'TRAD-Children YEAR(1)'!B54</f>
        <v xml:space="preserve">Forme galénique </v>
      </c>
      <c r="E434" s="369" t="str">
        <f>'TRAD-Children YEAR(1)'!B68</f>
        <v>Dosage</v>
      </c>
      <c r="F434" s="369" t="str">
        <f>'TRAD-Children YEAR(1)'!B69</f>
        <v>Nom de spécialité</v>
      </c>
      <c r="G434" s="369"/>
      <c r="H434" s="369" t="str">
        <f>'TRAD-Children YEAR(1)'!B70</f>
        <v>Volume conditionnement primaire (mL)</v>
      </c>
      <c r="I434" s="370" t="str">
        <f>'TRAD-Children YEAR(1)'!B71</f>
        <v>Conditionement secondaire</v>
      </c>
      <c r="J434" s="643" t="str">
        <f>'TRAD-Children YEAR(1)'!B73</f>
        <v>Qtés totales Nb de boites / flacons</v>
      </c>
      <c r="K434" s="643" t="str">
        <f>'TRAD-Children YEAR(1)'!B148</f>
        <v>Différence de marge de sécurité / année précédente (nb de boites / flacons)</v>
      </c>
      <c r="L434" s="677" t="str">
        <f>'TRAD-Children YEAR(1)'!B149</f>
        <v>Total + Différence de marge (nb de boîtes / flacons)</v>
      </c>
    </row>
    <row r="435" spans="2:12" x14ac:dyDescent="0.2">
      <c r="B435" s="676" t="str">
        <f>'TRAD-Children YEAR(1)'!B90</f>
        <v>Solutions buvables</v>
      </c>
      <c r="C435" s="607" t="s">
        <v>39</v>
      </c>
      <c r="D435" s="611" t="str">
        <f>'TRAD-Children YEAR(1)'!B74</f>
        <v>sol buv</v>
      </c>
      <c r="E435" s="611" t="s">
        <v>41</v>
      </c>
      <c r="F435" s="374" t="s">
        <v>42</v>
      </c>
      <c r="G435" s="374"/>
      <c r="H435" s="410">
        <f>G141</f>
        <v>240</v>
      </c>
      <c r="I435" s="411">
        <f>H141</f>
        <v>1</v>
      </c>
      <c r="J435" s="678">
        <f>J361</f>
        <v>0</v>
      </c>
      <c r="K435" s="679" t="str">
        <f t="shared" ref="K435:K442" si="145">L397</f>
        <v>0</v>
      </c>
      <c r="L435" s="1360">
        <f>J435+K435</f>
        <v>0</v>
      </c>
    </row>
    <row r="436" spans="2:12" x14ac:dyDescent="0.2">
      <c r="B436" s="680"/>
      <c r="C436" s="608" t="s">
        <v>61</v>
      </c>
      <c r="D436" s="613" t="str">
        <f>'TRAD-Children YEAR(1)'!B74</f>
        <v>sol buv</v>
      </c>
      <c r="E436" s="613" t="s">
        <v>41</v>
      </c>
      <c r="F436" s="382" t="s">
        <v>133</v>
      </c>
      <c r="G436" s="382"/>
      <c r="H436" s="415">
        <f t="shared" ref="H436:I442" si="146">G142</f>
        <v>240</v>
      </c>
      <c r="I436" s="416">
        <f t="shared" si="146"/>
        <v>1</v>
      </c>
      <c r="J436" s="681">
        <f>J362</f>
        <v>0</v>
      </c>
      <c r="K436" s="682" t="str">
        <f t="shared" si="145"/>
        <v>0</v>
      </c>
      <c r="L436" s="1361">
        <f t="shared" ref="L436:L442" si="147">J436+K436</f>
        <v>0</v>
      </c>
    </row>
    <row r="437" spans="2:12" x14ac:dyDescent="0.2">
      <c r="B437" s="680"/>
      <c r="C437" s="615" t="s">
        <v>15</v>
      </c>
      <c r="D437" s="616" t="str">
        <f>'TRAD-Children YEAR(1)'!B74</f>
        <v>sol buv</v>
      </c>
      <c r="E437" s="616" t="s">
        <v>41</v>
      </c>
      <c r="F437" s="391" t="s">
        <v>43</v>
      </c>
      <c r="G437" s="391"/>
      <c r="H437" s="420">
        <f t="shared" si="146"/>
        <v>240</v>
      </c>
      <c r="I437" s="421">
        <f t="shared" si="146"/>
        <v>1</v>
      </c>
      <c r="J437" s="683">
        <f>ROUNDUP(J363, 0)</f>
        <v>0</v>
      </c>
      <c r="K437" s="684" t="str">
        <f t="shared" si="145"/>
        <v>0</v>
      </c>
      <c r="L437" s="1361">
        <f t="shared" si="147"/>
        <v>0</v>
      </c>
    </row>
    <row r="438" spans="2:12" x14ac:dyDescent="0.2">
      <c r="B438" s="680"/>
      <c r="C438" s="615" t="s">
        <v>25</v>
      </c>
      <c r="D438" s="616" t="str">
        <f>'TRAD-Children YEAR(1)'!B74</f>
        <v>sol buv</v>
      </c>
      <c r="E438" s="616" t="s">
        <v>44</v>
      </c>
      <c r="F438" s="391" t="s">
        <v>26</v>
      </c>
      <c r="G438" s="391"/>
      <c r="H438" s="420">
        <f t="shared" si="146"/>
        <v>240</v>
      </c>
      <c r="I438" s="421">
        <f t="shared" si="146"/>
        <v>1</v>
      </c>
      <c r="J438" s="683">
        <f>ROUNDUP(J364, 0)</f>
        <v>0</v>
      </c>
      <c r="K438" s="684" t="str">
        <f t="shared" si="145"/>
        <v>0</v>
      </c>
      <c r="L438" s="1361">
        <f t="shared" si="147"/>
        <v>0</v>
      </c>
    </row>
    <row r="439" spans="2:12" x14ac:dyDescent="0.2">
      <c r="B439" s="680"/>
      <c r="C439" s="615" t="s">
        <v>28</v>
      </c>
      <c r="D439" s="616" t="str">
        <f>'TRAD-Children YEAR(1)'!B74</f>
        <v>sol buv</v>
      </c>
      <c r="E439" s="616" t="s">
        <v>46</v>
      </c>
      <c r="F439" s="391" t="s">
        <v>30</v>
      </c>
      <c r="G439" s="391"/>
      <c r="H439" s="420">
        <f t="shared" si="146"/>
        <v>200</v>
      </c>
      <c r="I439" s="421">
        <f t="shared" si="146"/>
        <v>1</v>
      </c>
      <c r="J439" s="683">
        <f>J365</f>
        <v>0</v>
      </c>
      <c r="K439" s="684" t="str">
        <f t="shared" si="145"/>
        <v>0</v>
      </c>
      <c r="L439" s="1361">
        <f t="shared" si="147"/>
        <v>0</v>
      </c>
    </row>
    <row r="440" spans="2:12" x14ac:dyDescent="0.2">
      <c r="B440" s="680"/>
      <c r="C440" s="615" t="s">
        <v>19</v>
      </c>
      <c r="D440" s="616" t="str">
        <f>'TRAD-Children YEAR(1)'!B74</f>
        <v>sol buv</v>
      </c>
      <c r="E440" s="616" t="s">
        <v>41</v>
      </c>
      <c r="F440" s="391" t="s">
        <v>21</v>
      </c>
      <c r="G440" s="391"/>
      <c r="H440" s="420">
        <f t="shared" si="146"/>
        <v>240</v>
      </c>
      <c r="I440" s="421">
        <f t="shared" si="146"/>
        <v>1</v>
      </c>
      <c r="J440" s="683" t="e">
        <f>J366</f>
        <v>#DIV/0!</v>
      </c>
      <c r="K440" s="684" t="e">
        <f t="shared" si="145"/>
        <v>#DIV/0!</v>
      </c>
      <c r="L440" s="1361" t="e">
        <f t="shared" si="147"/>
        <v>#DIV/0!</v>
      </c>
    </row>
    <row r="441" spans="2:12" x14ac:dyDescent="0.2">
      <c r="B441" s="680"/>
      <c r="C441" s="615" t="s">
        <v>17</v>
      </c>
      <c r="D441" s="616" t="str">
        <f>'TRAD-Children YEAR(1)'!B74</f>
        <v>sol buv</v>
      </c>
      <c r="E441" s="616" t="s">
        <v>259</v>
      </c>
      <c r="F441" s="391" t="s">
        <v>249</v>
      </c>
      <c r="G441" s="391"/>
      <c r="H441" s="420">
        <f t="shared" si="146"/>
        <v>180</v>
      </c>
      <c r="I441" s="421">
        <f t="shared" si="146"/>
        <v>1</v>
      </c>
      <c r="J441" s="683" t="e">
        <f>J367</f>
        <v>#DIV/0!</v>
      </c>
      <c r="K441" s="684" t="e">
        <f t="shared" si="145"/>
        <v>#DIV/0!</v>
      </c>
      <c r="L441" s="1361" t="e">
        <f t="shared" si="147"/>
        <v>#DIV/0!</v>
      </c>
    </row>
    <row r="442" spans="2:12" ht="13.5" thickBot="1" x14ac:dyDescent="0.25">
      <c r="B442" s="685"/>
      <c r="C442" s="615" t="s">
        <v>33</v>
      </c>
      <c r="D442" s="616" t="str">
        <f>'TRAD-Children YEAR(1)'!B74</f>
        <v>sol buv</v>
      </c>
      <c r="E442" s="616" t="s">
        <v>47</v>
      </c>
      <c r="F442" s="391" t="s">
        <v>48</v>
      </c>
      <c r="G442" s="391"/>
      <c r="H442" s="420">
        <f t="shared" si="146"/>
        <v>60</v>
      </c>
      <c r="I442" s="421">
        <f t="shared" si="146"/>
        <v>4</v>
      </c>
      <c r="J442" s="683" t="e">
        <f>ROUNDUP(J368, 0)</f>
        <v>#DIV/0!</v>
      </c>
      <c r="K442" s="684" t="e">
        <f t="shared" si="145"/>
        <v>#DIV/0!</v>
      </c>
      <c r="L442" s="1362" t="e">
        <f t="shared" si="147"/>
        <v>#DIV/0!</v>
      </c>
    </row>
    <row r="443" spans="2:12" ht="102.75" thickBot="1" x14ac:dyDescent="0.25">
      <c r="B443" s="685"/>
      <c r="C443" s="368" t="str">
        <f>'TRAD-Children YEAR(1)'!B67</f>
        <v>Composition</v>
      </c>
      <c r="D443" s="369" t="str">
        <f>'TRAD-Children YEAR(1)'!B54</f>
        <v xml:space="preserve">Forme galénique </v>
      </c>
      <c r="E443" s="369" t="str">
        <f>'TRAD-Children YEAR(1)'!B68</f>
        <v>Dosage</v>
      </c>
      <c r="F443" s="369" t="str">
        <f>'TRAD-Children YEAR(1)'!B69</f>
        <v>Nom de spécialité</v>
      </c>
      <c r="G443" s="369" t="str">
        <f>'TRAD-Children YEAR(1)'!B135</f>
        <v>Nom de générique possible</v>
      </c>
      <c r="H443" s="369" t="str">
        <f>'TRAD-Children YEAR(1)'!B136</f>
        <v>Conditionnement</v>
      </c>
      <c r="I443" s="370"/>
      <c r="J443" s="643" t="str">
        <f>'TRAD-Children YEAR(1)'!B73</f>
        <v>Qtés totales Nb de boites / flacons</v>
      </c>
      <c r="K443" s="643" t="str">
        <f>'TRAD-Children YEAR(1)'!B148</f>
        <v>Différence de marge de sécurité / année précédente (nb de boites / flacons)</v>
      </c>
      <c r="L443" s="677" t="str">
        <f>'TRAD-Children YEAR(1)'!B149</f>
        <v>Total + Différence de marge (nb de boîtes / flacons)</v>
      </c>
    </row>
    <row r="444" spans="2:12" x14ac:dyDescent="0.2">
      <c r="B444" s="676" t="str">
        <f>'TRAD-Children YEAR(1)'!B91</f>
        <v>Comprimés</v>
      </c>
      <c r="C444" s="1978" t="str">
        <f t="array" ref="C444:C454">'Data &amp; hypothesis Children'!$C$238:$D$260</f>
        <v>AZT+ 3TC+ NVP adulte</v>
      </c>
      <c r="D444" s="611" t="str">
        <f>'TRAD-Children YEAR(1)'!B91</f>
        <v>Comprimés</v>
      </c>
      <c r="E444" s="611" t="s">
        <v>9</v>
      </c>
      <c r="F444" s="374"/>
      <c r="G444" s="374" t="s">
        <v>10</v>
      </c>
      <c r="H444" s="410">
        <f>'Available Stocks'!K13</f>
        <v>60</v>
      </c>
      <c r="I444" s="411"/>
      <c r="J444" s="678">
        <f t="shared" ref="J444:J450" si="148">J369</f>
        <v>0</v>
      </c>
      <c r="K444" s="679" t="str">
        <f t="shared" ref="K444:K450" si="149">L405</f>
        <v>0</v>
      </c>
      <c r="L444" s="1360">
        <f t="shared" ref="L444:L454" si="150">J444+K444</f>
        <v>0</v>
      </c>
    </row>
    <row r="445" spans="2:12" x14ac:dyDescent="0.2">
      <c r="B445" s="680"/>
      <c r="C445" s="1979" t="str">
        <v>AZT+ 3TC+ NVP bébé</v>
      </c>
      <c r="D445" s="841" t="str">
        <f>'TRAD-Children YEAR(1)'!B91</f>
        <v>Comprimés</v>
      </c>
      <c r="E445" s="841" t="s">
        <v>384</v>
      </c>
      <c r="F445" s="842"/>
      <c r="G445" s="842" t="s">
        <v>385</v>
      </c>
      <c r="H445" s="415">
        <f>'Available Stocks'!K14</f>
        <v>60</v>
      </c>
      <c r="I445" s="416"/>
      <c r="J445" s="683" t="e">
        <f t="shared" si="148"/>
        <v>#DIV/0!</v>
      </c>
      <c r="K445" s="684" t="e">
        <f t="shared" si="149"/>
        <v>#DIV/0!</v>
      </c>
      <c r="L445" s="1361" t="e">
        <f t="shared" si="150"/>
        <v>#DIV/0!</v>
      </c>
    </row>
    <row r="446" spans="2:12" x14ac:dyDescent="0.2">
      <c r="B446" s="680"/>
      <c r="C446" s="1979" t="str">
        <v>AZT+ 3TC adulte</v>
      </c>
      <c r="D446" s="613" t="str">
        <f>'TRAD-Children YEAR(1)'!B91</f>
        <v>Comprimés</v>
      </c>
      <c r="E446" s="613" t="s">
        <v>12</v>
      </c>
      <c r="F446" s="382" t="s">
        <v>13</v>
      </c>
      <c r="G446" s="382" t="s">
        <v>14</v>
      </c>
      <c r="H446" s="415">
        <f>'Available Stocks'!K18</f>
        <v>60</v>
      </c>
      <c r="I446" s="416"/>
      <c r="J446" s="683">
        <f t="shared" si="148"/>
        <v>0</v>
      </c>
      <c r="K446" s="684" t="str">
        <f t="shared" si="149"/>
        <v>0</v>
      </c>
      <c r="L446" s="1361">
        <f t="shared" si="150"/>
        <v>0</v>
      </c>
    </row>
    <row r="447" spans="2:12" x14ac:dyDescent="0.2">
      <c r="B447" s="680"/>
      <c r="C447" s="1979" t="str">
        <v>AZT+ 3TC bébé</v>
      </c>
      <c r="D447" s="841" t="str">
        <f>'TRAD-Children YEAR(1)'!B91</f>
        <v>Comprimés</v>
      </c>
      <c r="E447" s="841" t="s">
        <v>382</v>
      </c>
      <c r="F447" s="842"/>
      <c r="G447" s="842" t="s">
        <v>383</v>
      </c>
      <c r="H447" s="415">
        <f>'Available Stocks'!K19</f>
        <v>60</v>
      </c>
      <c r="I447" s="416"/>
      <c r="J447" s="683" t="e">
        <f t="shared" si="148"/>
        <v>#DIV/0!</v>
      </c>
      <c r="K447" s="684" t="e">
        <f t="shared" si="149"/>
        <v>#DIV/0!</v>
      </c>
      <c r="L447" s="1361" t="e">
        <f t="shared" si="150"/>
        <v>#DIV/0!</v>
      </c>
    </row>
    <row r="448" spans="2:12" x14ac:dyDescent="0.2">
      <c r="B448" s="680"/>
      <c r="C448" s="1979" t="str">
        <v>D4T+ 3TC+ NVP adulte</v>
      </c>
      <c r="D448" s="616" t="str">
        <f>'TRAD-Children YEAR(1)'!B91</f>
        <v>Comprimés</v>
      </c>
      <c r="E448" s="616" t="s">
        <v>80</v>
      </c>
      <c r="F448" s="391"/>
      <c r="G448" s="391" t="s">
        <v>79</v>
      </c>
      <c r="H448" s="415">
        <f>'Available Stocks'!K22</f>
        <v>60</v>
      </c>
      <c r="I448" s="421"/>
      <c r="J448" s="683">
        <f t="shared" si="148"/>
        <v>0</v>
      </c>
      <c r="K448" s="684" t="str">
        <f t="shared" si="149"/>
        <v>0</v>
      </c>
      <c r="L448" s="1361">
        <f t="shared" si="150"/>
        <v>0</v>
      </c>
    </row>
    <row r="449" spans="2:12" x14ac:dyDescent="0.2">
      <c r="B449" s="680"/>
      <c r="C449" s="1979" t="str">
        <v>D4T+ 3TC+ NVP bébé</v>
      </c>
      <c r="D449" s="613" t="str">
        <f>'TRAD-Children YEAR(1)'!B91</f>
        <v>Comprimés</v>
      </c>
      <c r="E449" s="613" t="s">
        <v>131</v>
      </c>
      <c r="F449" s="382"/>
      <c r="G449" s="382" t="s">
        <v>132</v>
      </c>
      <c r="H449" s="415">
        <f>'Available Stocks'!K23</f>
        <v>60</v>
      </c>
      <c r="I449" s="416"/>
      <c r="J449" s="683" t="e">
        <f t="shared" si="148"/>
        <v>#DIV/0!</v>
      </c>
      <c r="K449" s="684" t="e">
        <f t="shared" si="149"/>
        <v>#DIV/0!</v>
      </c>
      <c r="L449" s="1361" t="e">
        <f t="shared" si="150"/>
        <v>#DIV/0!</v>
      </c>
    </row>
    <row r="450" spans="2:12" x14ac:dyDescent="0.2">
      <c r="B450" s="680"/>
      <c r="C450" s="1979" t="str">
        <v>D4T+ 3TC bébé</v>
      </c>
      <c r="D450" s="613" t="str">
        <f>'TRAD-Children YEAR(1)'!B91</f>
        <v>Comprimés</v>
      </c>
      <c r="E450" s="613" t="s">
        <v>733</v>
      </c>
      <c r="F450" s="382"/>
      <c r="G450" s="382"/>
      <c r="H450" s="415">
        <f>'Available Stocks'!K24</f>
        <v>60</v>
      </c>
      <c r="I450" s="416"/>
      <c r="J450" s="683">
        <f t="shared" si="148"/>
        <v>0</v>
      </c>
      <c r="K450" s="684" t="str">
        <f t="shared" si="149"/>
        <v>0</v>
      </c>
      <c r="L450" s="1361">
        <f t="shared" ref="L450" si="151">J450+K450</f>
        <v>0</v>
      </c>
    </row>
    <row r="451" spans="2:12" x14ac:dyDescent="0.2">
      <c r="B451" s="680"/>
      <c r="C451" s="1979" t="str">
        <v>AZT+ 3TC+ ABC adulte</v>
      </c>
      <c r="D451" s="613" t="str">
        <f>'TRAD-Children YEAR(1)'!B91</f>
        <v>Comprimés</v>
      </c>
      <c r="E451" s="613" t="s">
        <v>334</v>
      </c>
      <c r="F451" s="382" t="s">
        <v>396</v>
      </c>
      <c r="G451" s="382"/>
      <c r="H451" s="415">
        <f>'Available Stocks'!K25</f>
        <v>60</v>
      </c>
      <c r="I451" s="416"/>
      <c r="J451" s="683">
        <f>J376</f>
        <v>0</v>
      </c>
      <c r="K451" s="684" t="str">
        <f t="shared" ref="K451:K454" si="152">L412</f>
        <v>0</v>
      </c>
      <c r="L451" s="1361">
        <f t="shared" si="150"/>
        <v>0</v>
      </c>
    </row>
    <row r="452" spans="2:12" x14ac:dyDescent="0.2">
      <c r="B452" s="680"/>
      <c r="C452" s="1979" t="str">
        <v>AZT+ 3TC+ ABC bébé</v>
      </c>
      <c r="D452" s="613" t="str">
        <f>'TRAD-Children YEAR(1)'!B91</f>
        <v>Comprimés</v>
      </c>
      <c r="E452" s="613" t="s">
        <v>636</v>
      </c>
      <c r="F452" s="382"/>
      <c r="G452" s="382"/>
      <c r="H452" s="415">
        <f>'Available Stocks'!K26</f>
        <v>30</v>
      </c>
      <c r="I452" s="416"/>
      <c r="J452" s="683">
        <f>J377</f>
        <v>0</v>
      </c>
      <c r="K452" s="684" t="str">
        <f t="shared" si="152"/>
        <v>0</v>
      </c>
      <c r="L452" s="1361">
        <f t="shared" si="150"/>
        <v>0</v>
      </c>
    </row>
    <row r="453" spans="2:12" x14ac:dyDescent="0.2">
      <c r="B453" s="680"/>
      <c r="C453" s="1979" t="str">
        <v>ABC+ 3TC adulte</v>
      </c>
      <c r="D453" s="613" t="str">
        <f>'TRAD-Children YEAR(1)'!B91</f>
        <v>Comprimés</v>
      </c>
      <c r="E453" s="613" t="s">
        <v>649</v>
      </c>
      <c r="F453" s="382" t="s">
        <v>642</v>
      </c>
      <c r="G453" s="382"/>
      <c r="H453" s="415">
        <f>'Available Stocks'!K27</f>
        <v>30</v>
      </c>
      <c r="I453" s="416"/>
      <c r="J453" s="683" t="e">
        <f>J378</f>
        <v>#DIV/0!</v>
      </c>
      <c r="K453" s="684" t="e">
        <f t="shared" si="152"/>
        <v>#DIV/0!</v>
      </c>
      <c r="L453" s="1361" t="e">
        <f t="shared" si="150"/>
        <v>#DIV/0!</v>
      </c>
    </row>
    <row r="454" spans="2:12" x14ac:dyDescent="0.2">
      <c r="B454" s="680"/>
      <c r="C454" s="1980" t="str">
        <v>ABC+ 3TC bébé</v>
      </c>
      <c r="D454" s="613" t="str">
        <f>'TRAD-Children YEAR(1)'!B91</f>
        <v>Comprimés</v>
      </c>
      <c r="E454" s="613" t="s">
        <v>636</v>
      </c>
      <c r="F454" s="382"/>
      <c r="G454" s="382"/>
      <c r="H454" s="415">
        <f>'Available Stocks'!K28</f>
        <v>30</v>
      </c>
      <c r="I454" s="416"/>
      <c r="J454" s="683" t="e">
        <f>J379</f>
        <v>#DIV/0!</v>
      </c>
      <c r="K454" s="684" t="e">
        <f t="shared" si="152"/>
        <v>#DIV/0!</v>
      </c>
      <c r="L454" s="1361" t="e">
        <f t="shared" si="150"/>
        <v>#DIV/0!</v>
      </c>
    </row>
    <row r="455" spans="2:12" x14ac:dyDescent="0.2">
      <c r="B455" s="680"/>
      <c r="C455" s="1980" t="s">
        <v>1610</v>
      </c>
      <c r="D455" s="613" t="s">
        <v>205</v>
      </c>
      <c r="F455" s="382"/>
      <c r="G455" s="382"/>
      <c r="H455" s="415">
        <f>IF('Data &amp; hypothesis Adults'!$D$221="X", 'Available Stocks'!$K$26, IF('Data &amp; hypothesis Adults'!$D$222="X", 'Available Stocks'!$K$28, 'Available Stocks'!$K$26))</f>
        <v>30</v>
      </c>
      <c r="I455" s="416"/>
      <c r="J455" s="683">
        <f t="shared" ref="J455:J457" si="153">J380</f>
        <v>0</v>
      </c>
      <c r="K455" s="684" t="str">
        <f t="shared" ref="K455:K457" si="154">L416</f>
        <v>0</v>
      </c>
      <c r="L455" s="1361">
        <f t="shared" ref="L455:L457" si="155">J455+K455</f>
        <v>0</v>
      </c>
    </row>
    <row r="456" spans="2:12" x14ac:dyDescent="0.2">
      <c r="B456" s="680"/>
      <c r="C456" s="1980" t="s">
        <v>1611</v>
      </c>
      <c r="D456" s="613" t="s">
        <v>205</v>
      </c>
      <c r="F456" s="382"/>
      <c r="G456" s="382"/>
      <c r="H456" s="415">
        <f>IF('Data &amp; hypothesis Adults'!$D$221="X", 'Available Stocks'!$K$27, IF('Data &amp; hypothesis Adults'!$D$222="X", 'Available Stocks'!$K$29, 'Available Stocks'!$K$27))</f>
        <v>30</v>
      </c>
      <c r="I456" s="416"/>
      <c r="J456" s="683" t="e">
        <f t="shared" si="153"/>
        <v>#DIV/0!</v>
      </c>
      <c r="K456" s="684" t="e">
        <f t="shared" si="154"/>
        <v>#DIV/0!</v>
      </c>
      <c r="L456" s="1361" t="e">
        <f t="shared" si="155"/>
        <v>#DIV/0!</v>
      </c>
    </row>
    <row r="457" spans="2:12" x14ac:dyDescent="0.2">
      <c r="B457" s="680"/>
      <c r="C457" s="1980" t="s">
        <v>1592</v>
      </c>
      <c r="D457" s="613" t="s">
        <v>205</v>
      </c>
      <c r="E457" s="613" t="s">
        <v>23</v>
      </c>
      <c r="F457" s="382"/>
      <c r="G457" s="382"/>
      <c r="H457" s="415">
        <f>'Available Stocks'!K44</f>
        <v>30</v>
      </c>
      <c r="I457" s="416"/>
      <c r="J457" s="683">
        <f t="shared" si="153"/>
        <v>0</v>
      </c>
      <c r="K457" s="684" t="str">
        <f t="shared" si="154"/>
        <v>0</v>
      </c>
      <c r="L457" s="1361">
        <f t="shared" si="155"/>
        <v>0</v>
      </c>
    </row>
    <row r="458" spans="2:12" x14ac:dyDescent="0.2">
      <c r="B458" s="680"/>
      <c r="C458" s="608" t="s">
        <v>15</v>
      </c>
      <c r="D458" s="613" t="str">
        <f>'TRAD-Children YEAR(1)'!B91</f>
        <v>Comprimés</v>
      </c>
      <c r="E458" s="613" t="s">
        <v>16</v>
      </c>
      <c r="F458" s="382"/>
      <c r="G458" s="382"/>
      <c r="H458" s="415">
        <f>'Available Stocks'!K29</f>
        <v>30</v>
      </c>
      <c r="I458" s="416"/>
      <c r="J458" s="683">
        <f t="shared" ref="J458:J461" si="156">J383</f>
        <v>0</v>
      </c>
      <c r="K458" s="684" t="str">
        <f>L419</f>
        <v>0</v>
      </c>
      <c r="L458" s="1361">
        <f t="shared" ref="L458:L461" si="157">J458+K458</f>
        <v>0</v>
      </c>
    </row>
    <row r="459" spans="2:12" x14ac:dyDescent="0.2">
      <c r="B459" s="680"/>
      <c r="C459" s="608" t="s">
        <v>25</v>
      </c>
      <c r="D459" s="613" t="str">
        <f>'TRAD-Children YEAR(1)'!B91</f>
        <v>Comprimés</v>
      </c>
      <c r="E459" s="613" t="s">
        <v>23</v>
      </c>
      <c r="F459" s="382" t="s">
        <v>26</v>
      </c>
      <c r="G459" s="382" t="s">
        <v>27</v>
      </c>
      <c r="H459" s="415">
        <f>'Available Stocks'!K35</f>
        <v>60</v>
      </c>
      <c r="I459" s="416"/>
      <c r="J459" s="683">
        <f t="shared" si="156"/>
        <v>0</v>
      </c>
      <c r="K459" s="684" t="str">
        <f>L420</f>
        <v>0</v>
      </c>
      <c r="L459" s="1361">
        <f t="shared" si="157"/>
        <v>0</v>
      </c>
    </row>
    <row r="460" spans="2:12" x14ac:dyDescent="0.2">
      <c r="B460" s="680"/>
      <c r="C460" s="615" t="str">
        <f>'TRAD-Children YEAR(1)'!B105</f>
        <v>ABC bébé</v>
      </c>
      <c r="D460" s="616" t="str">
        <f>'TRAD-Children YEAR(1)'!B91</f>
        <v>Comprimés</v>
      </c>
      <c r="E460" s="616" t="s">
        <v>639</v>
      </c>
      <c r="F460" s="391"/>
      <c r="G460" s="391"/>
      <c r="H460" s="415">
        <f>'Available Stocks'!K36</f>
        <v>60</v>
      </c>
      <c r="I460" s="421"/>
      <c r="J460" s="683" t="e">
        <f t="shared" si="156"/>
        <v>#DIV/0!</v>
      </c>
      <c r="K460" s="684" t="e">
        <f>L421</f>
        <v>#DIV/0!</v>
      </c>
      <c r="L460" s="1361" t="e">
        <f t="shared" si="157"/>
        <v>#DIV/0!</v>
      </c>
    </row>
    <row r="461" spans="2:12" x14ac:dyDescent="0.2">
      <c r="B461" s="680"/>
      <c r="C461" s="615" t="s">
        <v>28</v>
      </c>
      <c r="D461" s="616" t="str">
        <f>'TRAD-Children YEAR(1)'!B91</f>
        <v>Comprimés</v>
      </c>
      <c r="E461" s="616" t="s">
        <v>29</v>
      </c>
      <c r="F461" s="391" t="s">
        <v>30</v>
      </c>
      <c r="G461" s="391" t="s">
        <v>31</v>
      </c>
      <c r="H461" s="420">
        <f>'Available Stocks'!K42</f>
        <v>30</v>
      </c>
      <c r="I461" s="421"/>
      <c r="J461" s="683">
        <f t="shared" si="156"/>
        <v>0</v>
      </c>
      <c r="K461" s="684" t="str">
        <f>L422</f>
        <v>0</v>
      </c>
      <c r="L461" s="1361">
        <f t="shared" si="157"/>
        <v>0</v>
      </c>
    </row>
    <row r="462" spans="2:12" x14ac:dyDescent="0.2">
      <c r="B462" s="680"/>
      <c r="C462" s="615" t="s">
        <v>19</v>
      </c>
      <c r="D462" s="616" t="str">
        <f>'TRAD-Children YEAR(1)'!B91</f>
        <v>Comprimés</v>
      </c>
      <c r="E462" s="616" t="s">
        <v>20</v>
      </c>
      <c r="F462" s="391"/>
      <c r="G462" s="391"/>
      <c r="H462" s="420">
        <f>'Available Stocks'!K33</f>
        <v>60</v>
      </c>
      <c r="I462" s="421"/>
      <c r="J462" s="683">
        <f t="shared" ref="J462:J463" si="158">J387</f>
        <v>0</v>
      </c>
      <c r="K462" s="684" t="str">
        <f t="shared" ref="K462" si="159">L423</f>
        <v>0</v>
      </c>
      <c r="L462" s="1361">
        <f t="shared" ref="L462:L466" si="160">J462+K462</f>
        <v>0</v>
      </c>
    </row>
    <row r="463" spans="2:12" x14ac:dyDescent="0.2">
      <c r="B463" s="680"/>
      <c r="C463" s="615" t="s">
        <v>19</v>
      </c>
      <c r="D463" s="616" t="str">
        <f>'TRAD-Children YEAR(1)'!B91</f>
        <v>Comprimés</v>
      </c>
      <c r="E463" s="616" t="s">
        <v>248</v>
      </c>
      <c r="F463" s="391"/>
      <c r="G463" s="391"/>
      <c r="H463" s="420">
        <f>'Available Stocks'!K34</f>
        <v>60</v>
      </c>
      <c r="I463" s="421"/>
      <c r="J463" s="683" t="e">
        <f t="shared" si="158"/>
        <v>#DIV/0!</v>
      </c>
      <c r="K463" s="684" t="e">
        <f t="shared" ref="K463" si="161">L424</f>
        <v>#DIV/0!</v>
      </c>
      <c r="L463" s="1361" t="e">
        <f t="shared" ref="L463" si="162">J463+K463</f>
        <v>#DIV/0!</v>
      </c>
    </row>
    <row r="464" spans="2:12" x14ac:dyDescent="0.2">
      <c r="B464" s="680"/>
      <c r="C464" s="615" t="s">
        <v>17</v>
      </c>
      <c r="D464" s="616" t="s">
        <v>163</v>
      </c>
      <c r="E464" s="616" t="s">
        <v>20</v>
      </c>
      <c r="F464" s="391"/>
      <c r="G464" s="391"/>
      <c r="H464" s="420">
        <f>'Available Stocks'!K30</f>
        <v>30</v>
      </c>
      <c r="I464" s="421"/>
      <c r="J464" s="683" t="e">
        <f>J389</f>
        <v>#DIV/0!</v>
      </c>
      <c r="K464" s="684" t="e">
        <f>L425</f>
        <v>#DIV/0!</v>
      </c>
      <c r="L464" s="1361" t="e">
        <f t="shared" si="160"/>
        <v>#DIV/0!</v>
      </c>
    </row>
    <row r="465" spans="1:13" x14ac:dyDescent="0.2">
      <c r="B465" s="680"/>
      <c r="C465" s="615" t="s">
        <v>33</v>
      </c>
      <c r="D465" s="616" t="str">
        <f>'TRAD-Children YEAR(1)'!B91</f>
        <v>Comprimés</v>
      </c>
      <c r="E465" s="616" t="s">
        <v>34</v>
      </c>
      <c r="F465" s="391" t="s">
        <v>35</v>
      </c>
      <c r="G465" s="391" t="s">
        <v>36</v>
      </c>
      <c r="H465" s="420">
        <f>'Available Stocks'!K45</f>
        <v>120</v>
      </c>
      <c r="I465" s="421"/>
      <c r="J465" s="683">
        <f>J390</f>
        <v>0</v>
      </c>
      <c r="K465" s="684" t="str">
        <f>L426</f>
        <v>0</v>
      </c>
      <c r="L465" s="1361">
        <f t="shared" si="160"/>
        <v>0</v>
      </c>
    </row>
    <row r="466" spans="1:13" ht="13.5" thickBot="1" x14ac:dyDescent="0.25">
      <c r="B466" s="685"/>
      <c r="C466" s="609" t="str">
        <f>'TRAD-Children YEAR(1)'!B109</f>
        <v>LPV/r bébé</v>
      </c>
      <c r="D466" s="621" t="str">
        <f>'TRAD-Children YEAR(1)'!B91</f>
        <v>Comprimés</v>
      </c>
      <c r="E466" s="621" t="s">
        <v>637</v>
      </c>
      <c r="F466" s="424" t="s">
        <v>35</v>
      </c>
      <c r="G466" s="424"/>
      <c r="H466" s="425">
        <f>'Available Stocks'!K46</f>
        <v>60</v>
      </c>
      <c r="I466" s="426"/>
      <c r="J466" s="683" t="e">
        <f>J391</f>
        <v>#DIV/0!</v>
      </c>
      <c r="K466" s="684" t="e">
        <f>L427</f>
        <v>#DIV/0!</v>
      </c>
      <c r="L466" s="1361" t="e">
        <f t="shared" si="160"/>
        <v>#DIV/0!</v>
      </c>
    </row>
    <row r="469" spans="1:13" ht="15" x14ac:dyDescent="0.2">
      <c r="B469" s="2143" t="str">
        <f>'TRAD-Children YEAR(2)'!B38</f>
        <v>Répartition file active pédiatrique sous traitement à la fin de l'année 3</v>
      </c>
      <c r="C469" s="2143"/>
      <c r="D469" s="2143"/>
      <c r="E469" s="2143"/>
      <c r="F469" s="2143"/>
      <c r="G469" s="2143"/>
      <c r="H469" s="2143"/>
      <c r="I469" s="2143"/>
      <c r="J469" s="2143"/>
      <c r="K469" s="2143"/>
      <c r="L469" s="2143"/>
      <c r="M469" s="2143"/>
    </row>
    <row r="470" spans="1:13" ht="13.5" thickBot="1" x14ac:dyDescent="0.25"/>
    <row r="471" spans="1:13" ht="56.25" customHeight="1" thickBot="1" x14ac:dyDescent="0.25">
      <c r="A471" s="260"/>
      <c r="B471" s="528"/>
      <c r="D471" s="2211" t="str">
        <f>'TRAD-Children YEAR(1)'!B138</f>
        <v>SANS DEFALCATION des passages en 2èmes lignes sur les 1ères lignes</v>
      </c>
      <c r="E471" s="2212"/>
      <c r="F471" s="2211" t="str">
        <f>'TRAD-Children YEAR(1)'!B139</f>
        <v>AVEC DEFALCATION PROPORTIONNELLE à la répartition des patients en 1ère ligne</v>
      </c>
      <c r="G471" s="2212"/>
      <c r="H471" s="2211" t="str">
        <f>'TRAD-Children YEAR(1)'!B140</f>
        <v>AVEC DEFALCATION SUR SCHEMA MAJORITAIRE 1ère ligne</v>
      </c>
      <c r="I471" s="2212"/>
    </row>
    <row r="472" spans="1:13" ht="26.25" thickBot="1" x14ac:dyDescent="0.25">
      <c r="A472" s="260"/>
      <c r="B472" s="528"/>
      <c r="C472" s="368" t="str">
        <f>'TRAD-Children YEAR(1)'!B6</f>
        <v>Schéma thérapeutique</v>
      </c>
      <c r="D472" s="686" t="str">
        <f>'TRAD-Children YEAR(1)'!B141</f>
        <v>Nb d'enfants</v>
      </c>
      <c r="E472" s="687" t="s">
        <v>278</v>
      </c>
      <c r="F472" s="686" t="str">
        <f>'TRAD-Children YEAR(1)'!B141</f>
        <v>Nb d'enfants</v>
      </c>
      <c r="G472" s="687" t="s">
        <v>278</v>
      </c>
      <c r="H472" s="686" t="str">
        <f>'TRAD-Children YEAR(1)'!B141</f>
        <v>Nb d'enfants</v>
      </c>
      <c r="I472" s="687" t="s">
        <v>278</v>
      </c>
    </row>
    <row r="473" spans="1:13" x14ac:dyDescent="0.2">
      <c r="A473" s="260"/>
      <c r="B473" s="528" t="str">
        <f>'Data &amp; hypothesis Children'!B26</f>
        <v>1ères lignes</v>
      </c>
      <c r="C473" s="155" t="str">
        <f t="array" ref="C473:C482">'Data &amp; hypothesis Children'!$C$26:$C$35</f>
        <v>D4T+3TC+NVP</v>
      </c>
      <c r="D473" s="852" t="e">
        <f t="shared" ref="D473:D478" si="163">C10+F27</f>
        <v>#DIV/0!</v>
      </c>
      <c r="E473" s="854" t="e">
        <f>D473/D$483</f>
        <v>#DIV/0!</v>
      </c>
      <c r="F473" s="852" t="e">
        <f>C10+F27-(C10/H$10)*E$57</f>
        <v>#DIV/0!</v>
      </c>
      <c r="G473" s="854" t="e">
        <f>F473/F$483</f>
        <v>#DIV/0!</v>
      </c>
      <c r="H473" s="852" t="e">
        <f>C10+F27-E56</f>
        <v>#DIV/0!</v>
      </c>
      <c r="I473" s="854" t="e">
        <f>H473/H$483</f>
        <v>#DIV/0!</v>
      </c>
    </row>
    <row r="474" spans="1:13" x14ac:dyDescent="0.2">
      <c r="A474" s="260"/>
      <c r="B474" s="528"/>
      <c r="C474" s="156" t="str">
        <v>AZT+3TC+NVP</v>
      </c>
      <c r="D474" s="852" t="e">
        <f t="shared" si="163"/>
        <v>#DIV/0!</v>
      </c>
      <c r="E474" s="854" t="e">
        <f t="shared" ref="E474:E475" si="164">D474/D$483</f>
        <v>#DIV/0!</v>
      </c>
      <c r="F474" s="852" t="e">
        <f t="shared" ref="F474:F478" si="165">C11+F28-(C11/H$10)*E$57</f>
        <v>#DIV/0!</v>
      </c>
      <c r="G474" s="854" t="e">
        <f t="shared" ref="G474:I475" si="166">F474/F$483</f>
        <v>#DIV/0!</v>
      </c>
      <c r="H474" s="852" t="e">
        <f>C11+F28</f>
        <v>#DIV/0!</v>
      </c>
      <c r="I474" s="854" t="e">
        <f t="shared" si="166"/>
        <v>#DIV/0!</v>
      </c>
    </row>
    <row r="475" spans="1:13" x14ac:dyDescent="0.2">
      <c r="A475" s="260"/>
      <c r="B475" s="528"/>
      <c r="C475" s="156" t="str">
        <v>AZT+3TC+EFV</v>
      </c>
      <c r="D475" s="852" t="e">
        <f t="shared" si="163"/>
        <v>#DIV/0!</v>
      </c>
      <c r="E475" s="855" t="e">
        <f t="shared" si="164"/>
        <v>#DIV/0!</v>
      </c>
      <c r="F475" s="852" t="e">
        <f t="shared" si="165"/>
        <v>#DIV/0!</v>
      </c>
      <c r="G475" s="855" t="e">
        <f t="shared" si="166"/>
        <v>#DIV/0!</v>
      </c>
      <c r="H475" s="852" t="e">
        <f>C12+F29</f>
        <v>#DIV/0!</v>
      </c>
      <c r="I475" s="855" t="e">
        <f t="shared" si="166"/>
        <v>#DIV/0!</v>
      </c>
    </row>
    <row r="476" spans="1:13" x14ac:dyDescent="0.2">
      <c r="A476" s="260"/>
      <c r="B476" s="528"/>
      <c r="C476" s="156" t="str">
        <v>LPV/r+3TC+ABC</v>
      </c>
      <c r="D476" s="852" t="e">
        <f t="shared" si="163"/>
        <v>#DIV/0!</v>
      </c>
      <c r="E476" s="855" t="e">
        <f t="shared" ref="E476:E479" si="167">D476/D$483</f>
        <v>#DIV/0!</v>
      </c>
      <c r="F476" s="852" t="e">
        <f t="shared" si="165"/>
        <v>#DIV/0!</v>
      </c>
      <c r="G476" s="855" t="e">
        <f t="shared" ref="G476:G479" si="168">F476/F$483</f>
        <v>#DIV/0!</v>
      </c>
      <c r="H476" s="852" t="e">
        <f>C13+F30</f>
        <v>#DIV/0!</v>
      </c>
      <c r="I476" s="855" t="e">
        <f t="shared" ref="I476:I479" si="169">H476/H$483</f>
        <v>#DIV/0!</v>
      </c>
    </row>
    <row r="477" spans="1:13" x14ac:dyDescent="0.2">
      <c r="A477" s="260"/>
      <c r="B477" s="528"/>
      <c r="C477" s="156" t="str">
        <v>ABC+3TC+NVP</v>
      </c>
      <c r="D477" s="852" t="e">
        <f t="shared" si="163"/>
        <v>#DIV/0!</v>
      </c>
      <c r="E477" s="855" t="e">
        <f t="shared" si="167"/>
        <v>#DIV/0!</v>
      </c>
      <c r="F477" s="852" t="e">
        <f t="shared" si="165"/>
        <v>#DIV/0!</v>
      </c>
      <c r="G477" s="855" t="e">
        <f t="shared" si="168"/>
        <v>#DIV/0!</v>
      </c>
      <c r="H477" s="852" t="e">
        <f>C14+F31</f>
        <v>#DIV/0!</v>
      </c>
      <c r="I477" s="855" t="e">
        <f t="shared" si="169"/>
        <v>#DIV/0!</v>
      </c>
    </row>
    <row r="478" spans="1:13" x14ac:dyDescent="0.2">
      <c r="A478" s="260"/>
      <c r="B478" s="528"/>
      <c r="C478" s="1253" t="str">
        <v>AZT+3TC+LPV/r</v>
      </c>
      <c r="D478" s="852" t="e">
        <f t="shared" si="163"/>
        <v>#DIV/0!</v>
      </c>
      <c r="E478" s="855" t="e">
        <f t="shared" si="167"/>
        <v>#DIV/0!</v>
      </c>
      <c r="F478" s="852" t="e">
        <f t="shared" si="165"/>
        <v>#DIV/0!</v>
      </c>
      <c r="G478" s="855" t="e">
        <f t="shared" si="168"/>
        <v>#DIV/0!</v>
      </c>
      <c r="H478" s="852" t="e">
        <f>C15+F32</f>
        <v>#DIV/0!</v>
      </c>
      <c r="I478" s="855" t="e">
        <f t="shared" si="169"/>
        <v>#DIV/0!</v>
      </c>
    </row>
    <row r="479" spans="1:13" x14ac:dyDescent="0.2">
      <c r="A479" s="260"/>
      <c r="B479" s="528" t="str">
        <f>'Data &amp; hypothesis Children'!B32</f>
        <v>2èmes lignes</v>
      </c>
      <c r="C479" s="1948" t="str">
        <v>ABC+3TC+EFV</v>
      </c>
      <c r="D479" s="853" t="e">
        <f>C16+E53</f>
        <v>#DIV/0!</v>
      </c>
      <c r="E479" s="855" t="e">
        <f t="shared" si="167"/>
        <v>#DIV/0!</v>
      </c>
      <c r="F479" s="853" t="e">
        <f>C16+E53</f>
        <v>#DIV/0!</v>
      </c>
      <c r="G479" s="855" t="e">
        <f t="shared" si="168"/>
        <v>#DIV/0!</v>
      </c>
      <c r="H479" s="853" t="e">
        <f>C16+E53</f>
        <v>#DIV/0!</v>
      </c>
      <c r="I479" s="855" t="e">
        <f t="shared" si="169"/>
        <v>#DIV/0!</v>
      </c>
    </row>
    <row r="480" spans="1:13" x14ac:dyDescent="0.2">
      <c r="A480" s="260"/>
      <c r="B480" s="528"/>
      <c r="C480" s="156" t="str">
        <v>TDF+3TC+LPV/r</v>
      </c>
      <c r="D480" s="853" t="e">
        <f t="shared" ref="D480:D482" si="170">C17+E54</f>
        <v>#DIV/0!</v>
      </c>
      <c r="E480" s="855" t="e">
        <f t="shared" ref="E480:E482" si="171">D480/D$483</f>
        <v>#DIV/0!</v>
      </c>
      <c r="F480" s="853" t="e">
        <f t="shared" ref="F480:F482" si="172">C17+E54</f>
        <v>#DIV/0!</v>
      </c>
      <c r="G480" s="855" t="e">
        <f t="shared" ref="G480:G482" si="173">F480/F$483</f>
        <v>#DIV/0!</v>
      </c>
      <c r="H480" s="853" t="e">
        <f t="shared" ref="H480:H482" si="174">C17+E54</f>
        <v>#DIV/0!</v>
      </c>
      <c r="I480" s="855" t="e">
        <f t="shared" ref="I480:I482" si="175">H480/H$483</f>
        <v>#DIV/0!</v>
      </c>
    </row>
    <row r="481" spans="1:13" x14ac:dyDescent="0.2">
      <c r="A481" s="260"/>
      <c r="B481" s="528"/>
      <c r="C481" s="156" t="str">
        <v>AZT+3TC+EFV</v>
      </c>
      <c r="D481" s="853" t="e">
        <f t="shared" si="170"/>
        <v>#DIV/0!</v>
      </c>
      <c r="E481" s="855" t="e">
        <f t="shared" si="171"/>
        <v>#DIV/0!</v>
      </c>
      <c r="F481" s="853" t="e">
        <f t="shared" si="172"/>
        <v>#DIV/0!</v>
      </c>
      <c r="G481" s="855" t="e">
        <f t="shared" si="173"/>
        <v>#DIV/0!</v>
      </c>
      <c r="H481" s="853" t="e">
        <f t="shared" si="174"/>
        <v>#DIV/0!</v>
      </c>
      <c r="I481" s="855" t="e">
        <f t="shared" si="175"/>
        <v>#DIV/0!</v>
      </c>
    </row>
    <row r="482" spans="1:13" ht="13.5" thickBot="1" x14ac:dyDescent="0.25">
      <c r="A482" s="260"/>
      <c r="B482" s="528"/>
      <c r="C482" s="157">
        <v>0</v>
      </c>
      <c r="D482" s="853" t="e">
        <f t="shared" si="170"/>
        <v>#DIV/0!</v>
      </c>
      <c r="E482" s="855" t="e">
        <f t="shared" si="171"/>
        <v>#DIV/0!</v>
      </c>
      <c r="F482" s="853" t="e">
        <f t="shared" si="172"/>
        <v>#DIV/0!</v>
      </c>
      <c r="G482" s="855" t="e">
        <f t="shared" si="173"/>
        <v>#DIV/0!</v>
      </c>
      <c r="H482" s="853" t="e">
        <f t="shared" si="174"/>
        <v>#DIV/0!</v>
      </c>
      <c r="I482" s="855" t="e">
        <f t="shared" si="175"/>
        <v>#DIV/0!</v>
      </c>
    </row>
    <row r="483" spans="1:13" ht="14.25" thickTop="1" thickBot="1" x14ac:dyDescent="0.25">
      <c r="A483" s="260"/>
      <c r="C483" s="1400"/>
      <c r="D483" s="1401" t="e">
        <f>SUM(D473:D482)</f>
        <v>#DIV/0!</v>
      </c>
      <c r="E483" s="1399"/>
      <c r="F483" s="1401" t="e">
        <f>SUM(F473:F482)</f>
        <v>#DIV/0!</v>
      </c>
      <c r="G483" s="1399"/>
      <c r="H483" s="1401" t="e">
        <f>SUM(H473:H482)</f>
        <v>#DIV/0!</v>
      </c>
      <c r="I483" s="1399"/>
    </row>
    <row r="485" spans="1:13" x14ac:dyDescent="0.2">
      <c r="B485" s="688" t="str">
        <f>'TRAD-Children YEAR(1)'!B142</f>
        <v>Remarque</v>
      </c>
      <c r="C485" s="291"/>
      <c r="D485" s="291"/>
      <c r="E485" s="291"/>
      <c r="F485" s="291"/>
      <c r="G485" s="291"/>
      <c r="H485" s="291"/>
      <c r="I485" s="291"/>
      <c r="J485" s="291"/>
      <c r="K485" s="291"/>
      <c r="L485" s="291"/>
      <c r="M485" s="291"/>
    </row>
    <row r="486" spans="1:13" x14ac:dyDescent="0.2">
      <c r="C486" s="260" t="str">
        <f>'TRAD-Children YEAR(1)'!B143</f>
        <v>Pour plus de précision, une défalcation peut être prise en compte.</v>
      </c>
    </row>
    <row r="487" spans="1:13" ht="25.5" customHeight="1" x14ac:dyDescent="0.2">
      <c r="C487" s="2145" t="str">
        <f>'TRAD-Children YEAR(1)'!B144</f>
        <v>Les données défalquées sur le schéma majoritaire en 1ère ligne ont été prises en compte pour les années suivantes. (le schéma majoritaire est généralement le moins chers, cette option a été retenue dans le cadre d'une estimation budgétaire)</v>
      </c>
      <c r="D487" s="2145"/>
      <c r="E487" s="2145"/>
      <c r="F487" s="2145"/>
      <c r="G487" s="2145"/>
      <c r="H487" s="2145"/>
      <c r="I487" s="2145"/>
      <c r="J487" s="2145"/>
      <c r="K487" s="2145"/>
      <c r="L487" s="2145"/>
      <c r="M487" s="2145"/>
    </row>
    <row r="490" spans="1:13" s="1279" customFormat="1" x14ac:dyDescent="0.2">
      <c r="A490" s="1282"/>
    </row>
    <row r="491" spans="1:13" s="1281" customFormat="1" x14ac:dyDescent="0.2">
      <c r="A491" s="1280"/>
    </row>
  </sheetData>
  <sheetProtection password="D0E7" sheet="1" objects="1" scenarios="1" selectLockedCells="1"/>
  <mergeCells count="54">
    <mergeCell ref="F35:G35"/>
    <mergeCell ref="C487:M487"/>
    <mergeCell ref="A2:L2"/>
    <mergeCell ref="A22:L22"/>
    <mergeCell ref="B24:F24"/>
    <mergeCell ref="G24:K24"/>
    <mergeCell ref="L24:M24"/>
    <mergeCell ref="B46:F46"/>
    <mergeCell ref="G46:K46"/>
    <mergeCell ref="L46:M46"/>
    <mergeCell ref="F52:H52"/>
    <mergeCell ref="A60:L60"/>
    <mergeCell ref="M60:N60"/>
    <mergeCell ref="D101:E101"/>
    <mergeCell ref="B176:H176"/>
    <mergeCell ref="B65:F65"/>
    <mergeCell ref="C67:E67"/>
    <mergeCell ref="F67:I67"/>
    <mergeCell ref="B81:F81"/>
    <mergeCell ref="C83:E83"/>
    <mergeCell ref="F83:I83"/>
    <mergeCell ref="M97:N97"/>
    <mergeCell ref="B99:F99"/>
    <mergeCell ref="G99:K99"/>
    <mergeCell ref="L99:M99"/>
    <mergeCell ref="D102:E102"/>
    <mergeCell ref="F101:G101"/>
    <mergeCell ref="A97:L97"/>
    <mergeCell ref="D103:E103"/>
    <mergeCell ref="F103:F105"/>
    <mergeCell ref="G103:G105"/>
    <mergeCell ref="D104:E104"/>
    <mergeCell ref="D105:E105"/>
    <mergeCell ref="B393:M393"/>
    <mergeCell ref="B126:F126"/>
    <mergeCell ref="B138:F138"/>
    <mergeCell ref="G138:K138"/>
    <mergeCell ref="L138:M138"/>
    <mergeCell ref="B150:H150"/>
    <mergeCell ref="B163:H163"/>
    <mergeCell ref="B189:H189"/>
    <mergeCell ref="D191:G191"/>
    <mergeCell ref="C193:G193"/>
    <mergeCell ref="B357:M357"/>
    <mergeCell ref="E359:H359"/>
    <mergeCell ref="D221:G221"/>
    <mergeCell ref="C223:G223"/>
    <mergeCell ref="E395:H395"/>
    <mergeCell ref="A430:N430"/>
    <mergeCell ref="B432:M432"/>
    <mergeCell ref="B469:M469"/>
    <mergeCell ref="D471:E471"/>
    <mergeCell ref="F471:G471"/>
    <mergeCell ref="H471:I471"/>
  </mergeCells>
  <conditionalFormatting sqref="D338:AH348 D266:AH276 D290:AH300 D314:AH324">
    <cfRule type="cellIs" dxfId="7" priority="22" operator="equal">
      <formula>0</formula>
    </cfRule>
  </conditionalFormatting>
  <pageMargins left="0.78740157499999996" right="0.78740157499999996" top="0.984251969" bottom="0.984251969" header="0.4921259845" footer="0.4921259845"/>
  <pageSetup paperSize="9" orientation="portrait"/>
  <headerFooter alignWithMargins="0"/>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C706"/>
  <sheetViews>
    <sheetView zoomScale="65" zoomScaleNormal="65" zoomScalePageLayoutView="65" workbookViewId="0">
      <selection activeCell="B1" sqref="B1:B1048576"/>
    </sheetView>
  </sheetViews>
  <sheetFormatPr baseColWidth="10" defaultColWidth="12" defaultRowHeight="15" x14ac:dyDescent="0.2"/>
  <cols>
    <col min="1" max="1" width="6" style="1614" customWidth="1"/>
    <col min="2" max="2" width="62.83203125" style="1689" customWidth="1"/>
    <col min="3" max="3" width="5.83203125" style="1614" customWidth="1"/>
    <col min="4" max="5" width="86.6640625" style="1614" customWidth="1"/>
    <col min="6" max="6" width="96.6640625" style="1614" customWidth="1"/>
    <col min="7" max="16384" width="12" style="1614"/>
  </cols>
  <sheetData>
    <row r="1" spans="2:29" x14ac:dyDescent="0.2">
      <c r="B1" s="1689" t="s">
        <v>827</v>
      </c>
      <c r="C1" s="1689"/>
      <c r="D1" s="1662" t="s">
        <v>754</v>
      </c>
      <c r="E1" s="1663" t="s">
        <v>753</v>
      </c>
    </row>
    <row r="2" spans="2:29" s="1623" customFormat="1" ht="30" x14ac:dyDescent="0.2">
      <c r="B2" s="1631" t="str">
        <f>IF(Presentation!$D$2="Anglais",'TRAD-Synthesis Children'!E2,IF(Presentation!$D$2="Français",'TRAD-Synthesis Children'!D2,""))</f>
        <v>Résultats N ° 3: Estimations du nombre d'enfants par  schéma thérapeutique sur la période de quantification</v>
      </c>
      <c r="D2" s="1617" t="s">
        <v>1263</v>
      </c>
      <c r="E2" s="1617" t="s">
        <v>1346</v>
      </c>
    </row>
    <row r="3" spans="2:29" s="1623" customFormat="1" x14ac:dyDescent="0.2">
      <c r="B3" s="1631" t="str">
        <f>IF(Presentation!$D$2="Anglais",'TRAD-Synthesis Children'!E3,IF(Presentation!$D$2="Français",'TRAD-Synthesis Children'!D3,""))</f>
        <v>Au début de la 1ère année</v>
      </c>
      <c r="D3" s="1617" t="s">
        <v>1062</v>
      </c>
      <c r="E3" s="1617" t="s">
        <v>1347</v>
      </c>
    </row>
    <row r="4" spans="2:29" s="1623" customFormat="1" x14ac:dyDescent="0.2">
      <c r="B4" s="1631" t="str">
        <f>IF(Presentation!$D$2="Anglais",'TRAD-Synthesis Children'!E4,IF(Presentation!$D$2="Français",'TRAD-Synthesis Children'!D4,""))</f>
        <v>Fin de la 1ère année / Début de la  2ème année</v>
      </c>
      <c r="D4" s="1617" t="s">
        <v>1264</v>
      </c>
      <c r="E4" s="1617" t="s">
        <v>1348</v>
      </c>
    </row>
    <row r="5" spans="2:29" s="1623" customFormat="1" x14ac:dyDescent="0.2">
      <c r="B5" s="1631" t="str">
        <f>IF(Presentation!$D$2="Anglais",'TRAD-Synthesis Children'!E5,IF(Presentation!$D$2="Français",'TRAD-Synthesis Children'!D5,""))</f>
        <v>Fin de la  2ème année / Début de la 3ème année</v>
      </c>
      <c r="D5" s="1617" t="s">
        <v>1265</v>
      </c>
      <c r="E5" s="1617" t="s">
        <v>1349</v>
      </c>
    </row>
    <row r="6" spans="2:29" s="1623" customFormat="1" x14ac:dyDescent="0.2">
      <c r="B6" s="1631" t="str">
        <f>IF(Presentation!$D$2="Anglais",'TRAD-Synthesis Children'!E6,IF(Presentation!$D$2="Français",'TRAD-Synthesis Children'!D6,""))</f>
        <v>Fin de la 3ème année / Début de la 4ème année</v>
      </c>
      <c r="D6" s="1617" t="s">
        <v>1266</v>
      </c>
      <c r="E6" s="1617" t="s">
        <v>1350</v>
      </c>
    </row>
    <row r="7" spans="2:29" s="1623" customFormat="1" x14ac:dyDescent="0.2">
      <c r="B7" s="1631" t="str">
        <f>IF(Presentation!$D$2="Anglais",'TRAD-Synthesis Children'!E7,IF(Presentation!$D$2="Français",'TRAD-Synthesis Children'!D7,""))</f>
        <v>Fin de la  4ème année / Début de la 5ème année</v>
      </c>
      <c r="D7" s="1617" t="s">
        <v>1267</v>
      </c>
      <c r="E7" s="1617" t="s">
        <v>1351</v>
      </c>
    </row>
    <row r="8" spans="2:29" s="1623" customFormat="1" x14ac:dyDescent="0.2">
      <c r="B8" s="1631" t="str">
        <f>IF(Presentation!$D$2="Anglais",'TRAD-Synthesis Children'!E8,IF(Presentation!$D$2="Français",'TRAD-Synthesis Children'!D8,""))</f>
        <v>Fin de la 5ème année</v>
      </c>
      <c r="D8" s="1617" t="s">
        <v>1063</v>
      </c>
      <c r="E8" s="1617" t="s">
        <v>1352</v>
      </c>
    </row>
    <row r="9" spans="2:29" s="1623" customFormat="1" x14ac:dyDescent="0.2">
      <c r="B9" s="1631" t="str">
        <f>IF(Presentation!$D$2="Anglais",'TRAD-Synthesis Children'!E9,IF(Presentation!$D$2="Français",'TRAD-Synthesis Children'!D9,""))</f>
        <v>Nbre de patients</v>
      </c>
      <c r="D9" s="1617" t="s">
        <v>1064</v>
      </c>
      <c r="E9" s="1617" t="s">
        <v>1353</v>
      </c>
    </row>
    <row r="10" spans="2:29" s="1693" customFormat="1" ht="30" x14ac:dyDescent="0.2">
      <c r="B10" s="1631" t="str">
        <f>IF(Presentation!$D$2="Anglais",'TRAD-Synthesis Children'!E10,IF(Presentation!$D$2="Français",'TRAD-Synthesis Children'!D10,""))</f>
        <v>Résultats N ° 4: LES BESOINS EN ARV POUR ENFANTS (sans stocks disponibles au début de la période)</v>
      </c>
      <c r="C10" s="1623"/>
      <c r="D10" s="1617" t="s">
        <v>1268</v>
      </c>
      <c r="E10" s="1692" t="s">
        <v>1354</v>
      </c>
    </row>
    <row r="11" spans="2:29" s="1623" customFormat="1" x14ac:dyDescent="0.2">
      <c r="B11" s="1631" t="str">
        <f>IF(Presentation!$D$2="Anglais",'TRAD-Synthesis Children'!E11,IF(Presentation!$D$2="Français",'TRAD-Synthesis Children'!D11,""))</f>
        <v>Produit</v>
      </c>
      <c r="D11" s="1617" t="s">
        <v>889</v>
      </c>
      <c r="E11" s="1619" t="s">
        <v>513</v>
      </c>
      <c r="F11" s="1622"/>
      <c r="G11" s="1622"/>
      <c r="H11" s="1642"/>
      <c r="I11" s="1622"/>
      <c r="J11" s="1622"/>
      <c r="K11" s="1622"/>
      <c r="L11" s="1622"/>
      <c r="M11" s="1622"/>
      <c r="N11" s="1622"/>
      <c r="O11" s="1622"/>
      <c r="P11" s="1622"/>
      <c r="Q11" s="1622"/>
      <c r="R11" s="1622"/>
      <c r="S11" s="1622"/>
      <c r="T11" s="1622"/>
      <c r="U11" s="1622"/>
      <c r="V11" s="1622"/>
      <c r="W11" s="1622"/>
      <c r="X11" s="1622"/>
      <c r="Y11" s="1622"/>
      <c r="Z11" s="1622"/>
      <c r="AA11" s="1622"/>
      <c r="AB11" s="1622"/>
      <c r="AC11" s="1622"/>
    </row>
    <row r="12" spans="2:29" s="1623" customFormat="1" x14ac:dyDescent="0.2">
      <c r="B12" s="1631" t="str">
        <f>IF(Presentation!$D$2="Anglais",'TRAD-Synthesis Children'!E12,IF(Presentation!$D$2="Français",'TRAD-Synthesis Children'!D12,""))</f>
        <v>Forme galénique</v>
      </c>
      <c r="D12" s="1617" t="s">
        <v>1</v>
      </c>
      <c r="E12" s="1619" t="s">
        <v>522</v>
      </c>
      <c r="F12" s="1622"/>
      <c r="G12" s="1622"/>
      <c r="H12" s="1622"/>
      <c r="I12" s="1622"/>
      <c r="J12" s="1622"/>
      <c r="K12" s="1622"/>
      <c r="L12" s="1622"/>
      <c r="M12" s="1622"/>
      <c r="N12" s="1622"/>
      <c r="O12" s="1622"/>
      <c r="P12" s="1622"/>
      <c r="Q12" s="1622"/>
      <c r="R12" s="1622"/>
      <c r="S12" s="1622"/>
      <c r="T12" s="1622"/>
      <c r="U12" s="1622"/>
      <c r="V12" s="1622"/>
      <c r="W12" s="1622"/>
      <c r="X12" s="1622"/>
      <c r="Y12" s="1622"/>
      <c r="Z12" s="1622"/>
      <c r="AA12" s="1622"/>
      <c r="AB12" s="1622"/>
      <c r="AC12" s="1622"/>
    </row>
    <row r="13" spans="2:29" s="1623" customFormat="1" x14ac:dyDescent="0.2">
      <c r="B13" s="1631" t="str">
        <f>IF(Presentation!$D$2="Anglais",'TRAD-Synthesis Children'!E13,IF(Presentation!$D$2="Français",'TRAD-Synthesis Children'!D13,""))</f>
        <v>DCI</v>
      </c>
      <c r="D13" s="1617" t="s">
        <v>152</v>
      </c>
      <c r="E13" s="1619" t="s">
        <v>698</v>
      </c>
      <c r="F13" s="1622"/>
      <c r="G13" s="1622"/>
      <c r="H13" s="1622"/>
      <c r="I13" s="1622"/>
      <c r="J13" s="1622"/>
      <c r="K13" s="1622"/>
      <c r="L13" s="1622"/>
      <c r="M13" s="1622"/>
      <c r="N13" s="1622"/>
      <c r="O13" s="1622"/>
      <c r="P13" s="1622"/>
      <c r="Q13" s="1622"/>
      <c r="R13" s="1622"/>
      <c r="S13" s="1622"/>
      <c r="T13" s="1622"/>
      <c r="U13" s="1622"/>
      <c r="V13" s="1622"/>
      <c r="W13" s="1622"/>
      <c r="X13" s="1622"/>
      <c r="Y13" s="1622"/>
      <c r="Z13" s="1622"/>
      <c r="AA13" s="1622"/>
      <c r="AB13" s="1622"/>
      <c r="AC13" s="1622"/>
    </row>
    <row r="14" spans="2:29" s="1623" customFormat="1" x14ac:dyDescent="0.2">
      <c r="B14" s="1631" t="str">
        <f>IF(Presentation!$D$2="Anglais",'TRAD-Synthesis Children'!E14,IF(Presentation!$D$2="Français",'TRAD-Synthesis Children'!D14,""))</f>
        <v>Dosage</v>
      </c>
      <c r="D14" s="1617" t="s">
        <v>2</v>
      </c>
      <c r="E14" s="1619" t="s">
        <v>2</v>
      </c>
      <c r="F14" s="1622"/>
      <c r="G14" s="1622"/>
      <c r="H14" s="1622"/>
      <c r="I14" s="1622"/>
      <c r="J14" s="1622"/>
      <c r="K14" s="2209"/>
      <c r="L14" s="2209"/>
      <c r="M14" s="2209"/>
      <c r="N14" s="2209"/>
      <c r="O14" s="2209"/>
      <c r="P14" s="2209"/>
      <c r="Q14" s="2209"/>
      <c r="R14" s="2209"/>
      <c r="S14" s="1620"/>
      <c r="T14" s="1620"/>
      <c r="U14" s="1620"/>
      <c r="V14" s="1620"/>
      <c r="W14" s="1620"/>
      <c r="X14" s="1620"/>
      <c r="Y14" s="1620"/>
      <c r="Z14" s="2209"/>
      <c r="AA14" s="2209"/>
      <c r="AB14" s="2209"/>
      <c r="AC14" s="2209"/>
    </row>
    <row r="15" spans="2:29" s="1623" customFormat="1" x14ac:dyDescent="0.2">
      <c r="B15" s="1631" t="str">
        <f>IF(Presentation!$D$2="Anglais",'TRAD-Synthesis Children'!E15,IF(Presentation!$D$2="Français",'TRAD-Synthesis Children'!D15,""))</f>
        <v>unité de mesure (ml) [1]</v>
      </c>
      <c r="D15" s="1617" t="s">
        <v>1269</v>
      </c>
      <c r="E15" s="1619" t="s">
        <v>523</v>
      </c>
      <c r="G15" s="1620"/>
      <c r="O15" s="1620"/>
      <c r="Q15" s="1620"/>
      <c r="S15" s="1620"/>
      <c r="T15" s="1620"/>
      <c r="U15" s="1620"/>
      <c r="W15" s="1620"/>
      <c r="X15" s="1620"/>
      <c r="Y15" s="1620"/>
      <c r="Z15" s="1620"/>
      <c r="AA15" s="1620"/>
      <c r="AB15" s="1620"/>
      <c r="AC15" s="1620"/>
    </row>
    <row r="16" spans="2:29" s="1623" customFormat="1" x14ac:dyDescent="0.2">
      <c r="B16" s="1631" t="str">
        <f>IF(Presentation!$D$2="Anglais",'TRAD-Synthesis Children'!E16,IF(Presentation!$D$2="Français",'TRAD-Synthesis Children'!D16,""))</f>
        <v>unité de mesure (bouteille) [1]</v>
      </c>
      <c r="D16" s="1617" t="s">
        <v>1270</v>
      </c>
      <c r="E16" s="1619" t="s">
        <v>524</v>
      </c>
      <c r="F16" s="1691"/>
      <c r="G16" s="1694"/>
      <c r="H16" s="1695"/>
      <c r="I16" s="1695"/>
      <c r="J16" s="1638"/>
      <c r="K16" s="1647"/>
      <c r="L16" s="1647"/>
      <c r="M16" s="1647"/>
      <c r="N16" s="1696"/>
      <c r="O16" s="1647"/>
      <c r="P16" s="1647"/>
      <c r="Q16" s="1647"/>
      <c r="R16" s="1696"/>
      <c r="S16" s="1697"/>
      <c r="T16" s="1691"/>
      <c r="U16" s="1691"/>
      <c r="V16" s="1694"/>
      <c r="W16" s="1695"/>
      <c r="X16" s="1695"/>
      <c r="Y16" s="1638"/>
      <c r="Z16" s="1647"/>
      <c r="AA16" s="1647"/>
      <c r="AB16" s="1647"/>
      <c r="AC16" s="1696"/>
    </row>
    <row r="17" spans="2:29" s="1623" customFormat="1" x14ac:dyDescent="0.2">
      <c r="B17" s="1631" t="str">
        <f>IF(Presentation!$D$2="Anglais",'TRAD-Synthesis Children'!E17,IF(Presentation!$D$2="Français",'TRAD-Synthesis Children'!D17,""))</f>
        <v>Unité  de prix par bouteille unitaire (US$)  [2]</v>
      </c>
      <c r="D17" s="1624" t="s">
        <v>1271</v>
      </c>
      <c r="E17" s="1619" t="s">
        <v>1355</v>
      </c>
      <c r="F17" s="1691"/>
      <c r="G17" s="1694"/>
      <c r="H17" s="1695"/>
      <c r="I17" s="1695"/>
      <c r="J17" s="1638"/>
      <c r="K17" s="1647"/>
      <c r="L17" s="1647"/>
      <c r="M17" s="1647"/>
      <c r="N17" s="1696"/>
      <c r="O17" s="1647"/>
      <c r="P17" s="1647"/>
      <c r="Q17" s="1647"/>
      <c r="R17" s="1696"/>
      <c r="S17" s="1697"/>
      <c r="T17" s="1691"/>
      <c r="U17" s="1691"/>
      <c r="V17" s="1694"/>
      <c r="W17" s="1695"/>
      <c r="X17" s="1695"/>
      <c r="Y17" s="1638"/>
      <c r="Z17" s="1647"/>
      <c r="AA17" s="1647"/>
      <c r="AB17" s="1647"/>
      <c r="AC17" s="1696"/>
    </row>
    <row r="18" spans="2:29" s="1623" customFormat="1" x14ac:dyDescent="0.2">
      <c r="B18" s="1631" t="str">
        <f>IF(Presentation!$D$2="Anglais",'TRAD-Synthesis Children'!E18,IF(Presentation!$D$2="Français",'TRAD-Synthesis Children'!D18,""))</f>
        <v>TOTAL (nbre de paquets)</v>
      </c>
      <c r="D18" s="1617" t="s">
        <v>1069</v>
      </c>
      <c r="E18" s="1619" t="s">
        <v>529</v>
      </c>
      <c r="F18" s="1691"/>
      <c r="G18" s="1694"/>
      <c r="H18" s="1695"/>
      <c r="I18" s="1695"/>
      <c r="J18" s="1638"/>
      <c r="K18" s="1647"/>
      <c r="L18" s="1647"/>
      <c r="M18" s="1647"/>
      <c r="N18" s="1696"/>
      <c r="O18" s="1647"/>
      <c r="P18" s="1647"/>
      <c r="Q18" s="1647"/>
      <c r="R18" s="1696"/>
      <c r="S18" s="1697"/>
      <c r="T18" s="1691"/>
      <c r="U18" s="1691"/>
      <c r="V18" s="1694"/>
      <c r="W18" s="1695"/>
      <c r="X18" s="1695"/>
      <c r="Y18" s="1638"/>
      <c r="Z18" s="1647"/>
      <c r="AA18" s="1647"/>
      <c r="AB18" s="1647"/>
      <c r="AC18" s="1696"/>
    </row>
    <row r="19" spans="2:29" s="1623" customFormat="1" x14ac:dyDescent="0.2">
      <c r="B19" s="1631" t="str">
        <f>IF(Presentation!$D$2="Anglais",'TRAD-Synthesis Children'!E19,IF(Presentation!$D$2="Français",'TRAD-Synthesis Children'!D19,""))</f>
        <v>Tampon (nbre de paquets)</v>
      </c>
      <c r="D19" s="1617" t="s">
        <v>1070</v>
      </c>
      <c r="E19" s="1621" t="s">
        <v>530</v>
      </c>
      <c r="F19" s="1691"/>
      <c r="G19" s="1694"/>
      <c r="H19" s="1695"/>
      <c r="I19" s="1695"/>
      <c r="J19" s="1638"/>
      <c r="K19" s="1647"/>
      <c r="L19" s="1647"/>
      <c r="M19" s="1647"/>
      <c r="N19" s="1696"/>
      <c r="O19" s="1647"/>
      <c r="P19" s="1647"/>
      <c r="Q19" s="1647"/>
      <c r="R19" s="1696"/>
      <c r="S19" s="1697"/>
      <c r="T19" s="1691"/>
      <c r="U19" s="1691"/>
      <c r="V19" s="1694"/>
      <c r="W19" s="1695"/>
      <c r="X19" s="1695"/>
      <c r="Y19" s="1638"/>
      <c r="Z19" s="1647"/>
      <c r="AA19" s="1647"/>
      <c r="AB19" s="1647"/>
      <c r="AC19" s="1696"/>
    </row>
    <row r="20" spans="2:29" s="1623" customFormat="1" x14ac:dyDescent="0.2">
      <c r="B20" s="1631" t="str">
        <f>IF(Presentation!$D$2="Anglais",'TRAD-Synthesis Children'!E20,IF(Presentation!$D$2="Français",'TRAD-Synthesis Children'!D20,""))</f>
        <v>TOTAL + Tampon (nbre de paquets)</v>
      </c>
      <c r="D20" s="1617" t="s">
        <v>1272</v>
      </c>
      <c r="E20" s="1619" t="s">
        <v>531</v>
      </c>
      <c r="F20" s="1691"/>
      <c r="G20" s="1694"/>
      <c r="H20" s="1695"/>
      <c r="I20" s="1695"/>
      <c r="J20" s="1638"/>
      <c r="K20" s="1647"/>
      <c r="L20" s="1647"/>
      <c r="M20" s="1647"/>
      <c r="N20" s="1696"/>
      <c r="O20" s="1647"/>
      <c r="P20" s="1647"/>
      <c r="Q20" s="1647"/>
      <c r="R20" s="1696"/>
      <c r="S20" s="1697"/>
      <c r="T20" s="1691"/>
      <c r="U20" s="1691"/>
      <c r="V20" s="1694"/>
      <c r="W20" s="1695"/>
      <c r="X20" s="1695"/>
      <c r="Y20" s="1638"/>
      <c r="Z20" s="1647"/>
      <c r="AA20" s="1647"/>
      <c r="AB20" s="1647"/>
      <c r="AC20" s="1696"/>
    </row>
    <row r="21" spans="2:29" s="1623" customFormat="1" x14ac:dyDescent="0.2">
      <c r="B21" s="1631" t="str">
        <f>IF(Presentation!$D$2="Anglais",'TRAD-Synthesis Children'!E21,IF(Presentation!$D$2="Français",'TRAD-Synthesis Children'!D21,""))</f>
        <v>PRIX TOTAL (US$)</v>
      </c>
      <c r="D21" s="1617" t="s">
        <v>1071</v>
      </c>
      <c r="E21" s="1619" t="s">
        <v>520</v>
      </c>
      <c r="F21" s="1691"/>
      <c r="G21" s="1694"/>
      <c r="H21" s="1695"/>
      <c r="I21" s="1695"/>
      <c r="J21" s="1638"/>
      <c r="K21" s="1647"/>
      <c r="L21" s="1647"/>
      <c r="M21" s="1647"/>
      <c r="N21" s="1696"/>
      <c r="O21" s="1647"/>
      <c r="P21" s="1647"/>
      <c r="Q21" s="1647"/>
      <c r="R21" s="1696"/>
      <c r="S21" s="1697"/>
      <c r="T21" s="1691"/>
      <c r="U21" s="1691"/>
      <c r="V21" s="1694"/>
      <c r="W21" s="1695"/>
      <c r="X21" s="1695"/>
      <c r="Y21" s="1638"/>
      <c r="Z21" s="1647"/>
      <c r="AA21" s="1647"/>
      <c r="AB21" s="1647"/>
      <c r="AC21" s="1696"/>
    </row>
    <row r="22" spans="2:29" s="1623" customFormat="1" x14ac:dyDescent="0.2">
      <c r="B22" s="1631" t="str">
        <f>IF(Presentation!$D$2="Anglais",'TRAD-Synthesis Children'!E22,IF(Presentation!$D$2="Français",'TRAD-Synthesis Children'!D22,""))</f>
        <v>Tampon / Année précédente (nbre de paquets)</v>
      </c>
      <c r="D22" s="1617" t="s">
        <v>1273</v>
      </c>
      <c r="E22" s="1619" t="s">
        <v>533</v>
      </c>
      <c r="F22" s="1691"/>
      <c r="G22" s="1694"/>
      <c r="H22" s="1695"/>
      <c r="I22" s="1695"/>
      <c r="J22" s="1638"/>
      <c r="K22" s="1647"/>
      <c r="L22" s="1647"/>
      <c r="M22" s="1647"/>
      <c r="N22" s="1696"/>
      <c r="O22" s="1647"/>
      <c r="P22" s="1647"/>
      <c r="Q22" s="1647"/>
      <c r="R22" s="1696"/>
      <c r="S22" s="1697"/>
      <c r="T22" s="1691"/>
      <c r="U22" s="1691"/>
      <c r="V22" s="1694"/>
      <c r="W22" s="1695"/>
      <c r="X22" s="1695"/>
      <c r="Y22" s="1638"/>
      <c r="Z22" s="1647"/>
      <c r="AA22" s="1647"/>
      <c r="AB22" s="1647"/>
      <c r="AC22" s="1696"/>
    </row>
    <row r="23" spans="2:29" s="1623" customFormat="1" x14ac:dyDescent="0.2">
      <c r="B23" s="1631" t="str">
        <f>IF(Presentation!$D$2="Anglais",'TRAD-Synthesis Children'!E23,IF(Presentation!$D$2="Français",'TRAD-Synthesis Children'!D23,""))</f>
        <v>Nom de spécialité</v>
      </c>
      <c r="D23" s="1617" t="s">
        <v>3</v>
      </c>
      <c r="E23" s="1619" t="s">
        <v>469</v>
      </c>
      <c r="F23" s="1620"/>
      <c r="G23" s="1620"/>
      <c r="H23" s="1620"/>
      <c r="I23" s="1620"/>
      <c r="J23" s="1620"/>
      <c r="K23" s="1620"/>
      <c r="L23" s="1620"/>
      <c r="M23" s="1620"/>
      <c r="N23" s="1620"/>
      <c r="O23" s="1620"/>
      <c r="P23" s="1620"/>
      <c r="Q23" s="1620"/>
      <c r="R23" s="1620"/>
      <c r="S23" s="1620"/>
      <c r="T23" s="1620"/>
      <c r="U23" s="1620"/>
      <c r="V23" s="1620"/>
      <c r="W23" s="1620"/>
      <c r="X23" s="1620"/>
      <c r="Y23" s="1620"/>
      <c r="Z23" s="1620"/>
      <c r="AA23" s="1620"/>
      <c r="AB23" s="1620"/>
      <c r="AC23" s="1620"/>
    </row>
    <row r="24" spans="2:29" s="1623" customFormat="1" x14ac:dyDescent="0.2">
      <c r="B24" s="1631" t="str">
        <f>IF(Presentation!$D$2="Anglais",'TRAD-Synthesis Children'!E24,IF(Presentation!$D$2="Français",'TRAD-Synthesis Children'!D24,""))</f>
        <v>Susp buv</v>
      </c>
      <c r="D24" s="1617" t="s">
        <v>1276</v>
      </c>
      <c r="E24" s="1691" t="s">
        <v>526</v>
      </c>
      <c r="F24" s="1619"/>
      <c r="G24" s="1622"/>
      <c r="H24" s="1641"/>
      <c r="I24" s="1641"/>
      <c r="J24" s="1638"/>
      <c r="K24" s="1647"/>
      <c r="L24" s="1647"/>
      <c r="M24" s="1647"/>
      <c r="N24" s="1696"/>
      <c r="O24" s="1647"/>
      <c r="P24" s="1647"/>
      <c r="Q24" s="1647"/>
      <c r="R24" s="1696"/>
      <c r="S24" s="1618"/>
      <c r="T24" s="1619"/>
      <c r="U24" s="1619"/>
      <c r="V24" s="1622"/>
      <c r="W24" s="1641"/>
      <c r="X24" s="1641"/>
      <c r="Y24" s="1638"/>
      <c r="Z24" s="1647"/>
      <c r="AA24" s="1647"/>
      <c r="AB24" s="1647"/>
      <c r="AC24" s="1696"/>
    </row>
    <row r="25" spans="2:29" s="1623" customFormat="1" x14ac:dyDescent="0.2">
      <c r="B25" s="1631" t="str">
        <f>IF(Presentation!$D$2="Anglais",'TRAD-Synthesis Children'!E25,IF(Presentation!$D$2="Français",'TRAD-Synthesis Children'!D25,""))</f>
        <v>Poudre pour suspension</v>
      </c>
      <c r="D25" s="1617" t="s">
        <v>1274</v>
      </c>
      <c r="E25" s="1691" t="s">
        <v>527</v>
      </c>
      <c r="F25" s="1619"/>
      <c r="G25" s="1622"/>
      <c r="H25" s="1641"/>
      <c r="I25" s="1641"/>
      <c r="J25" s="1638"/>
      <c r="K25" s="1647"/>
      <c r="L25" s="1647"/>
      <c r="M25" s="1647"/>
      <c r="N25" s="1696"/>
      <c r="O25" s="1647"/>
      <c r="P25" s="1647"/>
      <c r="Q25" s="1647"/>
      <c r="R25" s="1696"/>
      <c r="S25" s="1618"/>
      <c r="T25" s="1619"/>
      <c r="U25" s="1619"/>
      <c r="V25" s="1622"/>
      <c r="W25" s="1641"/>
      <c r="X25" s="1641"/>
      <c r="Y25" s="1638"/>
      <c r="Z25" s="1647"/>
      <c r="AA25" s="1647"/>
      <c r="AB25" s="1647"/>
      <c r="AC25" s="1696"/>
    </row>
    <row r="26" spans="2:29" s="1623" customFormat="1" x14ac:dyDescent="0.2">
      <c r="B26" s="1631" t="str">
        <f>IF(Presentation!$D$2="Anglais",'TRAD-Synthesis Children'!E26,IF(Presentation!$D$2="Français",'TRAD-Synthesis Children'!D26,""))</f>
        <v>Cp</v>
      </c>
      <c r="D26" s="1617" t="s">
        <v>8</v>
      </c>
      <c r="E26" s="1619" t="s">
        <v>525</v>
      </c>
      <c r="F26" s="1619"/>
      <c r="G26" s="1622"/>
      <c r="H26" s="1641"/>
      <c r="I26" s="1641"/>
      <c r="J26" s="1638"/>
      <c r="K26" s="1647"/>
      <c r="L26" s="1647"/>
      <c r="M26" s="1647"/>
      <c r="N26" s="1696"/>
      <c r="O26" s="1647"/>
      <c r="P26" s="1647"/>
      <c r="Q26" s="1647"/>
      <c r="R26" s="1696"/>
      <c r="S26" s="1618"/>
      <c r="T26" s="1619"/>
      <c r="U26" s="1619"/>
      <c r="V26" s="1622"/>
      <c r="W26" s="1641"/>
      <c r="X26" s="1641"/>
      <c r="Y26" s="1638"/>
      <c r="Z26" s="1647"/>
      <c r="AA26" s="1647"/>
      <c r="AB26" s="1647"/>
      <c r="AC26" s="1696"/>
    </row>
    <row r="27" spans="2:29" s="1623" customFormat="1" x14ac:dyDescent="0.2">
      <c r="B27" s="1631" t="str">
        <f>IF(Presentation!$D$2="Anglais",'TRAD-Synthesis Children'!E27,IF(Presentation!$D$2="Français",'TRAD-Synthesis Children'!D27,""))</f>
        <v>Notes</v>
      </c>
      <c r="D27" s="1617" t="s">
        <v>241</v>
      </c>
      <c r="E27" s="1619" t="s">
        <v>241</v>
      </c>
      <c r="F27" s="1619"/>
      <c r="G27" s="1622"/>
      <c r="H27" s="1641"/>
      <c r="I27" s="1641"/>
      <c r="J27" s="1638"/>
      <c r="K27" s="1647"/>
      <c r="L27" s="1647"/>
      <c r="M27" s="1647"/>
      <c r="N27" s="1696"/>
      <c r="O27" s="1647"/>
      <c r="P27" s="1647"/>
      <c r="Q27" s="1647"/>
      <c r="R27" s="1696"/>
      <c r="S27" s="1618"/>
      <c r="T27" s="1619"/>
      <c r="U27" s="1619"/>
      <c r="V27" s="1622"/>
      <c r="W27" s="1641"/>
      <c r="X27" s="1641"/>
      <c r="Y27" s="1638"/>
      <c r="Z27" s="1647"/>
      <c r="AA27" s="1647"/>
      <c r="AB27" s="1647"/>
      <c r="AC27" s="1696"/>
    </row>
    <row r="28" spans="2:29" s="1623" customFormat="1" x14ac:dyDescent="0.2">
      <c r="B28" s="1631" t="str">
        <f>IF(Presentation!$D$2="Anglais",'TRAD-Synthesis Children'!E28,IF(Presentation!$D$2="Français",'TRAD-Synthesis Children'!D28,""))</f>
        <v>Gél.</v>
      </c>
      <c r="D28" s="1617" t="s">
        <v>1485</v>
      </c>
      <c r="E28" s="1619" t="s">
        <v>163</v>
      </c>
      <c r="F28" s="1619"/>
      <c r="G28" s="1622"/>
      <c r="H28" s="1641"/>
      <c r="I28" s="1641"/>
      <c r="J28" s="1638"/>
      <c r="K28" s="1647"/>
      <c r="L28" s="1647"/>
      <c r="M28" s="1647"/>
      <c r="N28" s="1696"/>
      <c r="O28" s="1647"/>
      <c r="P28" s="1647"/>
      <c r="Q28" s="1647"/>
      <c r="R28" s="1696"/>
      <c r="S28" s="1618"/>
      <c r="T28" s="1619"/>
      <c r="U28" s="1619"/>
      <c r="V28" s="1622"/>
      <c r="W28" s="1641"/>
      <c r="X28" s="1641"/>
      <c r="Y28" s="1638"/>
      <c r="Z28" s="1647"/>
      <c r="AA28" s="1647"/>
      <c r="AB28" s="1647"/>
      <c r="AC28" s="1696"/>
    </row>
    <row r="29" spans="2:29" s="1623" customFormat="1" ht="30" x14ac:dyDescent="0.2">
      <c r="B29" s="1631" t="str">
        <f>IF(Presentation!$D$2="Anglais",'TRAD-Synthesis Children'!E29,IF(Presentation!$D$2="Français",'TRAD-Synthesis Children'!D29,""))</f>
        <v>Les cellules en orange dépendent des données entrées dans la feuille "Disponibilité de Stocks".</v>
      </c>
      <c r="D29" s="1617" t="s">
        <v>1275</v>
      </c>
      <c r="E29" s="1621" t="s">
        <v>1356</v>
      </c>
      <c r="F29" s="1619"/>
      <c r="G29" s="1622"/>
      <c r="H29" s="1641"/>
      <c r="I29" s="1641"/>
      <c r="J29" s="1638"/>
      <c r="K29" s="1647"/>
      <c r="L29" s="1647"/>
      <c r="M29" s="1647"/>
      <c r="N29" s="1696"/>
      <c r="O29" s="1647"/>
      <c r="P29" s="1647"/>
      <c r="Q29" s="1647"/>
      <c r="R29" s="1696"/>
      <c r="S29" s="1618"/>
      <c r="T29" s="1619"/>
      <c r="U29" s="1619"/>
      <c r="V29" s="1622"/>
      <c r="W29" s="1641"/>
      <c r="X29" s="1641"/>
      <c r="Y29" s="1638"/>
      <c r="Z29" s="1647"/>
      <c r="AA29" s="1647"/>
      <c r="AB29" s="1647"/>
      <c r="AC29" s="1696"/>
    </row>
    <row r="30" spans="2:29" s="1623" customFormat="1" ht="45" x14ac:dyDescent="0.2">
      <c r="B30" s="1631" t="str">
        <f>IF(Presentation!$D$2="Anglais",'TRAD-Synthesis Children'!E30,IF(Presentation!$D$2="Français",'TRAD-Synthesis Children'!D30,""))</f>
        <v>D'après GPRM-AMDS-OMS 10/2011, to 'Untangling the web of price reduction' MSF Access report and French price for ETV in 2010</v>
      </c>
      <c r="D30" s="1617" t="s">
        <v>1074</v>
      </c>
      <c r="E30" s="1619" t="s">
        <v>597</v>
      </c>
      <c r="F30" s="1619"/>
      <c r="G30" s="1622"/>
      <c r="H30" s="1641"/>
      <c r="I30" s="1641"/>
      <c r="J30" s="1638"/>
      <c r="K30" s="1647"/>
      <c r="L30" s="1647"/>
      <c r="M30" s="1647"/>
      <c r="N30" s="1696"/>
      <c r="O30" s="1647"/>
      <c r="P30" s="1647"/>
      <c r="Q30" s="1647"/>
      <c r="R30" s="1696"/>
      <c r="S30" s="1618"/>
      <c r="T30" s="1619"/>
      <c r="U30" s="1619"/>
      <c r="V30" s="1622"/>
      <c r="W30" s="1641"/>
      <c r="X30" s="1641"/>
      <c r="Y30" s="1638"/>
      <c r="Z30" s="1647"/>
      <c r="AA30" s="1647"/>
      <c r="AB30" s="1647"/>
      <c r="AC30" s="1696"/>
    </row>
    <row r="31" spans="2:29" s="1623" customFormat="1" x14ac:dyDescent="0.2">
      <c r="B31" s="1631" t="str">
        <f>IF(Presentation!$D$2="Anglais",'TRAD-Synthesis Children'!E31,IF(Presentation!$D$2="Français",'TRAD-Synthesis Children'!D31,""))</f>
        <v>PRIX TOTAL durant toute la période (US$)</v>
      </c>
      <c r="D31" s="1617" t="s">
        <v>1072</v>
      </c>
      <c r="E31" s="1618" t="s">
        <v>1345</v>
      </c>
      <c r="F31" s="1619"/>
      <c r="G31" s="1622"/>
      <c r="H31" s="1641"/>
      <c r="I31" s="1641"/>
      <c r="J31" s="1638"/>
      <c r="K31" s="1647"/>
      <c r="L31" s="1647"/>
      <c r="M31" s="1647"/>
      <c r="N31" s="1696"/>
      <c r="O31" s="1647"/>
      <c r="P31" s="1647"/>
      <c r="Q31" s="1647"/>
      <c r="R31" s="1696"/>
      <c r="S31" s="1618"/>
      <c r="T31" s="1619"/>
      <c r="U31" s="1619"/>
      <c r="V31" s="1622"/>
      <c r="W31" s="1641"/>
      <c r="X31" s="1641"/>
      <c r="Y31" s="1638"/>
      <c r="Z31" s="1647"/>
      <c r="AA31" s="1647"/>
      <c r="AB31" s="1647"/>
      <c r="AC31" s="1696"/>
    </row>
    <row r="32" spans="2:29" s="1623" customFormat="1" x14ac:dyDescent="0.2">
      <c r="B32" s="1631"/>
      <c r="E32" s="1622"/>
      <c r="F32" s="1619"/>
      <c r="G32" s="1622"/>
      <c r="H32" s="1641"/>
      <c r="I32" s="1641"/>
      <c r="J32" s="1638"/>
      <c r="K32" s="1647"/>
      <c r="L32" s="1647"/>
      <c r="M32" s="1647"/>
      <c r="N32" s="1696"/>
      <c r="O32" s="1647"/>
      <c r="P32" s="1647"/>
      <c r="Q32" s="1647"/>
      <c r="R32" s="1696"/>
      <c r="S32" s="1618"/>
      <c r="T32" s="1619"/>
      <c r="U32" s="1619"/>
      <c r="V32" s="1622"/>
      <c r="W32" s="1641"/>
      <c r="X32" s="1641"/>
      <c r="Y32" s="1638"/>
      <c r="Z32" s="1647"/>
      <c r="AA32" s="1647"/>
      <c r="AB32" s="1647"/>
      <c r="AC32" s="1696"/>
    </row>
    <row r="33" spans="2:29" s="1623" customFormat="1" x14ac:dyDescent="0.2">
      <c r="B33" s="1631"/>
      <c r="E33" s="1622"/>
      <c r="F33" s="1619"/>
      <c r="G33" s="1622"/>
      <c r="H33" s="1641"/>
      <c r="I33" s="1641"/>
      <c r="J33" s="1638"/>
      <c r="K33" s="1647"/>
      <c r="L33" s="1647"/>
      <c r="M33" s="1647"/>
      <c r="N33" s="1696"/>
      <c r="O33" s="1647"/>
      <c r="P33" s="1647"/>
      <c r="Q33" s="1647"/>
      <c r="R33" s="1696"/>
      <c r="S33" s="1618"/>
      <c r="T33" s="1619"/>
      <c r="U33" s="1619"/>
      <c r="V33" s="1622"/>
      <c r="W33" s="1641"/>
      <c r="X33" s="1641"/>
      <c r="Y33" s="1638"/>
      <c r="Z33" s="1647"/>
      <c r="AA33" s="1647"/>
      <c r="AB33" s="1647"/>
      <c r="AC33" s="1696"/>
    </row>
    <row r="34" spans="2:29" s="1623" customFormat="1" x14ac:dyDescent="0.2">
      <c r="B34" s="1631"/>
      <c r="D34" s="1618"/>
      <c r="E34" s="1622"/>
      <c r="F34" s="1619"/>
      <c r="G34" s="1622"/>
      <c r="H34" s="1641"/>
      <c r="I34" s="1641"/>
      <c r="J34" s="1638"/>
      <c r="K34" s="1647"/>
      <c r="L34" s="1647"/>
      <c r="M34" s="1647"/>
      <c r="N34" s="1696"/>
      <c r="O34" s="1647"/>
      <c r="P34" s="1647"/>
      <c r="Q34" s="1647"/>
      <c r="R34" s="1696"/>
      <c r="S34" s="1618"/>
      <c r="T34" s="1619"/>
      <c r="U34" s="1619"/>
      <c r="V34" s="1622"/>
      <c r="W34" s="1641"/>
      <c r="X34" s="1641"/>
      <c r="Y34" s="1638"/>
      <c r="Z34" s="1647"/>
      <c r="AA34" s="1647"/>
      <c r="AB34" s="1647"/>
      <c r="AC34" s="1696"/>
    </row>
    <row r="35" spans="2:29" s="1623" customFormat="1" x14ac:dyDescent="0.2">
      <c r="B35" s="1631"/>
      <c r="D35" s="1618"/>
      <c r="E35" s="1622"/>
      <c r="F35" s="1619"/>
      <c r="G35" s="1622"/>
      <c r="H35" s="1641"/>
      <c r="I35" s="1641"/>
      <c r="J35" s="1638"/>
      <c r="K35" s="1647"/>
      <c r="L35" s="1647"/>
      <c r="M35" s="1647"/>
      <c r="N35" s="1696"/>
      <c r="O35" s="1647"/>
      <c r="P35" s="1647"/>
      <c r="Q35" s="1647"/>
      <c r="R35" s="1696"/>
      <c r="S35" s="1618"/>
      <c r="T35" s="1619"/>
      <c r="U35" s="1619"/>
      <c r="V35" s="1622"/>
      <c r="W35" s="1641"/>
      <c r="X35" s="1641"/>
      <c r="Y35" s="1638"/>
      <c r="Z35" s="1647"/>
      <c r="AA35" s="1647"/>
      <c r="AB35" s="1647"/>
      <c r="AC35" s="1696"/>
    </row>
    <row r="36" spans="2:29" s="1623" customFormat="1" x14ac:dyDescent="0.2">
      <c r="B36" s="1631"/>
      <c r="D36" s="1618"/>
      <c r="E36" s="1622"/>
      <c r="F36" s="1619"/>
      <c r="G36" s="1622"/>
      <c r="H36" s="1641"/>
      <c r="I36" s="1641"/>
      <c r="J36" s="1638"/>
      <c r="K36" s="1647"/>
      <c r="L36" s="1647"/>
      <c r="M36" s="1647"/>
      <c r="N36" s="1696"/>
      <c r="O36" s="1647"/>
      <c r="P36" s="1647"/>
      <c r="Q36" s="1647"/>
      <c r="R36" s="1696"/>
      <c r="S36" s="1618"/>
      <c r="T36" s="1619"/>
      <c r="U36" s="1619"/>
      <c r="V36" s="1622"/>
      <c r="W36" s="1641"/>
      <c r="X36" s="1641"/>
      <c r="Y36" s="1638"/>
      <c r="Z36" s="1647"/>
      <c r="AA36" s="1647"/>
      <c r="AB36" s="1647"/>
      <c r="AC36" s="1696"/>
    </row>
    <row r="37" spans="2:29" s="1623" customFormat="1" x14ac:dyDescent="0.2">
      <c r="B37" s="1631"/>
      <c r="D37" s="1618"/>
      <c r="E37" s="1622"/>
      <c r="F37" s="1619"/>
      <c r="G37" s="1622"/>
      <c r="H37" s="1641"/>
      <c r="I37" s="1641"/>
      <c r="J37" s="1638"/>
      <c r="K37" s="1647"/>
      <c r="L37" s="1647"/>
      <c r="M37" s="1647"/>
      <c r="N37" s="1696"/>
      <c r="O37" s="1647"/>
      <c r="P37" s="1647"/>
      <c r="Q37" s="1647"/>
      <c r="R37" s="1696"/>
      <c r="S37" s="1618"/>
      <c r="T37" s="1619"/>
      <c r="U37" s="1619"/>
      <c r="V37" s="1622"/>
      <c r="W37" s="1641"/>
      <c r="X37" s="1641"/>
      <c r="Y37" s="1638"/>
      <c r="Z37" s="1647"/>
      <c r="AA37" s="1647"/>
      <c r="AB37" s="1647"/>
      <c r="AC37" s="1696"/>
    </row>
    <row r="38" spans="2:29" s="1623" customFormat="1" x14ac:dyDescent="0.2">
      <c r="B38" s="1631"/>
      <c r="D38" s="1618"/>
      <c r="E38" s="1622"/>
      <c r="F38" s="1619"/>
      <c r="G38" s="1622"/>
      <c r="H38" s="1641"/>
      <c r="I38" s="1641"/>
      <c r="J38" s="1638"/>
      <c r="K38" s="1647"/>
      <c r="L38" s="1647"/>
      <c r="M38" s="1647"/>
      <c r="N38" s="1696"/>
      <c r="O38" s="1647"/>
      <c r="P38" s="1647"/>
      <c r="Q38" s="1647"/>
      <c r="R38" s="1696"/>
      <c r="S38" s="1618"/>
      <c r="T38" s="1619"/>
      <c r="U38" s="1619"/>
      <c r="V38" s="1622"/>
      <c r="W38" s="1641"/>
      <c r="X38" s="1641"/>
      <c r="Y38" s="1638"/>
      <c r="Z38" s="1647"/>
      <c r="AA38" s="1647"/>
      <c r="AB38" s="1647"/>
      <c r="AC38" s="1696"/>
    </row>
    <row r="39" spans="2:29" s="1623" customFormat="1" x14ac:dyDescent="0.2">
      <c r="B39" s="1631"/>
      <c r="D39" s="1618"/>
      <c r="E39" s="1622"/>
      <c r="F39" s="1619"/>
      <c r="G39" s="1622"/>
      <c r="H39" s="1641"/>
      <c r="I39" s="1641"/>
      <c r="J39" s="1638"/>
      <c r="K39" s="1647"/>
      <c r="L39" s="1647"/>
      <c r="M39" s="1647"/>
      <c r="N39" s="1696"/>
      <c r="O39" s="1647"/>
      <c r="P39" s="1647"/>
      <c r="Q39" s="1647"/>
      <c r="R39" s="1696"/>
      <c r="S39" s="1618"/>
      <c r="T39" s="1619"/>
      <c r="U39" s="1619"/>
      <c r="V39" s="1622"/>
      <c r="W39" s="1641"/>
      <c r="X39" s="1641"/>
      <c r="Y39" s="1638"/>
      <c r="Z39" s="1647"/>
      <c r="AA39" s="1647"/>
      <c r="AB39" s="1647"/>
      <c r="AC39" s="1696"/>
    </row>
    <row r="40" spans="2:29" s="1623" customFormat="1" x14ac:dyDescent="0.2">
      <c r="B40" s="1631"/>
      <c r="D40" s="1618"/>
      <c r="E40" s="1622"/>
      <c r="F40" s="1619"/>
      <c r="G40" s="1622"/>
      <c r="H40" s="1641"/>
      <c r="I40" s="1641"/>
      <c r="J40" s="1638"/>
      <c r="K40" s="1647"/>
      <c r="L40" s="1647"/>
      <c r="M40" s="1647"/>
      <c r="N40" s="1696"/>
      <c r="O40" s="1647"/>
      <c r="P40" s="1647"/>
      <c r="Q40" s="1647"/>
      <c r="R40" s="1696"/>
      <c r="S40" s="1618"/>
      <c r="T40" s="1619"/>
      <c r="U40" s="1619"/>
      <c r="V40" s="1622"/>
      <c r="W40" s="1641"/>
      <c r="X40" s="1641"/>
      <c r="Y40" s="1638"/>
      <c r="Z40" s="1647"/>
      <c r="AA40" s="1647"/>
      <c r="AB40" s="1647"/>
      <c r="AC40" s="1696"/>
    </row>
    <row r="41" spans="2:29" s="1623" customFormat="1" x14ac:dyDescent="0.2">
      <c r="B41" s="1631"/>
      <c r="D41" s="1622"/>
      <c r="E41" s="1622"/>
      <c r="F41" s="1622"/>
      <c r="G41" s="1622"/>
      <c r="H41" s="1622"/>
      <c r="I41" s="1622"/>
      <c r="J41" s="1622"/>
      <c r="K41" s="1622"/>
      <c r="L41" s="1622"/>
      <c r="M41" s="1622"/>
      <c r="N41" s="1639"/>
      <c r="O41" s="1622"/>
      <c r="P41" s="1622"/>
      <c r="Q41" s="1622"/>
      <c r="R41" s="1639"/>
      <c r="S41" s="1639"/>
      <c r="T41" s="1639"/>
      <c r="U41" s="1639"/>
      <c r="V41" s="1639"/>
      <c r="W41" s="1639"/>
      <c r="X41" s="1639"/>
      <c r="Y41" s="1639"/>
      <c r="Z41" s="1622"/>
      <c r="AA41" s="1622"/>
      <c r="AB41" s="1622"/>
      <c r="AC41" s="1639"/>
    </row>
    <row r="42" spans="2:29" s="1623" customFormat="1" x14ac:dyDescent="0.2">
      <c r="B42" s="1631"/>
      <c r="D42" s="1622"/>
      <c r="E42" s="1622"/>
      <c r="F42" s="1622"/>
      <c r="G42" s="1622"/>
      <c r="H42" s="1622"/>
      <c r="I42" s="1622"/>
      <c r="J42" s="1622"/>
      <c r="K42" s="1622"/>
      <c r="L42" s="1622"/>
      <c r="M42" s="1622"/>
      <c r="N42" s="1622"/>
      <c r="O42" s="1622"/>
      <c r="P42" s="1622"/>
      <c r="Q42" s="1622"/>
      <c r="R42" s="1622"/>
      <c r="S42" s="1622"/>
      <c r="T42" s="1622"/>
      <c r="U42" s="1622"/>
      <c r="V42" s="1622"/>
      <c r="W42" s="1622"/>
      <c r="X42" s="1622"/>
      <c r="Y42" s="1622"/>
      <c r="Z42" s="1622"/>
      <c r="AA42" s="1622"/>
      <c r="AB42" s="1622"/>
      <c r="AC42" s="1622"/>
    </row>
    <row r="43" spans="2:29" s="1623" customFormat="1" x14ac:dyDescent="0.2">
      <c r="B43" s="1631"/>
      <c r="E43" s="1622"/>
      <c r="F43" s="1622"/>
      <c r="G43" s="1622"/>
      <c r="H43" s="1622"/>
      <c r="I43" s="1622"/>
      <c r="J43" s="1622"/>
      <c r="K43" s="1622"/>
      <c r="L43" s="1622"/>
      <c r="M43" s="1622"/>
      <c r="N43" s="1622"/>
      <c r="O43" s="1622"/>
      <c r="P43" s="1622"/>
      <c r="Q43" s="1622"/>
      <c r="R43" s="1622"/>
      <c r="S43" s="1622"/>
      <c r="T43" s="1622"/>
      <c r="U43" s="1622"/>
      <c r="V43" s="1622"/>
      <c r="W43" s="1622"/>
      <c r="X43" s="1622"/>
      <c r="Y43" s="1622"/>
      <c r="Z43" s="1622"/>
      <c r="AA43" s="1622"/>
      <c r="AB43" s="1622"/>
      <c r="AC43" s="1622"/>
    </row>
    <row r="44" spans="2:29" s="1623" customFormat="1" x14ac:dyDescent="0.2">
      <c r="B44" s="1631"/>
      <c r="D44" s="1698"/>
      <c r="E44" s="1622"/>
      <c r="F44" s="1622"/>
      <c r="G44" s="1622"/>
      <c r="H44" s="1622"/>
      <c r="I44" s="1622"/>
      <c r="J44" s="1622"/>
      <c r="K44" s="1622"/>
      <c r="L44" s="1622"/>
      <c r="M44" s="1622"/>
      <c r="N44" s="1622"/>
      <c r="O44" s="1622"/>
      <c r="P44" s="1622"/>
      <c r="Q44" s="1622"/>
      <c r="R44" s="1622"/>
      <c r="S44" s="1622"/>
      <c r="T44" s="1622"/>
      <c r="U44" s="1622"/>
      <c r="V44" s="1622"/>
      <c r="W44" s="1622"/>
      <c r="X44" s="1622"/>
      <c r="Y44" s="1622"/>
      <c r="Z44" s="1622"/>
      <c r="AA44" s="1622"/>
      <c r="AB44" s="1622"/>
      <c r="AC44" s="1622"/>
    </row>
    <row r="45" spans="2:29" s="1623" customFormat="1" x14ac:dyDescent="0.2">
      <c r="B45" s="1631"/>
      <c r="D45" s="1698" t="s">
        <v>263</v>
      </c>
      <c r="E45" s="1622"/>
      <c r="F45" s="1622"/>
      <c r="G45" s="1622"/>
      <c r="H45" s="1622"/>
      <c r="I45" s="1622"/>
      <c r="J45" s="1622"/>
      <c r="K45" s="1622"/>
      <c r="L45" s="1622"/>
      <c r="M45" s="1622"/>
      <c r="N45" s="1622"/>
      <c r="O45" s="1622"/>
      <c r="P45" s="1622"/>
      <c r="Q45" s="1622"/>
      <c r="R45" s="1622"/>
      <c r="S45" s="1622"/>
      <c r="T45" s="1622"/>
      <c r="U45" s="1622"/>
      <c r="V45" s="1622"/>
      <c r="W45" s="1622"/>
      <c r="X45" s="1622"/>
      <c r="Y45" s="1622"/>
      <c r="Z45" s="1622"/>
      <c r="AA45" s="1622"/>
      <c r="AB45" s="1622"/>
      <c r="AC45" s="1622"/>
    </row>
    <row r="46" spans="2:29" s="1623" customFormat="1" x14ac:dyDescent="0.2">
      <c r="B46" s="1631"/>
      <c r="D46" s="1622"/>
      <c r="E46" s="1622"/>
      <c r="F46" s="1622"/>
      <c r="G46" s="1622"/>
      <c r="H46" s="1622"/>
      <c r="I46" s="1622"/>
      <c r="J46" s="1622"/>
      <c r="K46" s="1622"/>
      <c r="L46" s="1622"/>
      <c r="M46" s="1622"/>
      <c r="N46" s="1622"/>
      <c r="O46" s="1622"/>
      <c r="P46" s="1622"/>
      <c r="Q46" s="1622"/>
      <c r="R46" s="1622"/>
      <c r="S46" s="1622"/>
      <c r="T46" s="1622"/>
      <c r="U46" s="1622"/>
      <c r="V46" s="1622"/>
      <c r="W46" s="1622"/>
      <c r="X46" s="1622"/>
      <c r="Y46" s="1622"/>
      <c r="Z46" s="1622"/>
      <c r="AA46" s="1622"/>
      <c r="AB46" s="1622"/>
      <c r="AC46" s="1622"/>
    </row>
    <row r="47" spans="2:29" s="1623" customFormat="1" x14ac:dyDescent="0.2">
      <c r="B47" s="1631"/>
      <c r="D47" s="1622"/>
      <c r="E47" s="1622"/>
      <c r="F47" s="1622"/>
      <c r="G47" s="1622"/>
      <c r="H47" s="1622"/>
      <c r="I47" s="1622"/>
      <c r="J47" s="1622"/>
      <c r="K47" s="1622"/>
      <c r="L47" s="1622"/>
      <c r="M47" s="1622"/>
      <c r="N47" s="1622"/>
      <c r="O47" s="1622"/>
      <c r="P47" s="1622"/>
      <c r="Q47" s="1622"/>
      <c r="R47" s="1622"/>
      <c r="S47" s="1622"/>
      <c r="T47" s="1622"/>
      <c r="U47" s="1622"/>
      <c r="V47" s="1622"/>
      <c r="W47" s="1622"/>
      <c r="X47" s="1622"/>
      <c r="Y47" s="1622"/>
      <c r="Z47" s="1622"/>
      <c r="AA47" s="1622"/>
      <c r="AB47" s="1622"/>
      <c r="AC47" s="1622"/>
    </row>
    <row r="48" spans="2:29" s="1623" customFormat="1" x14ac:dyDescent="0.2">
      <c r="B48" s="1631"/>
    </row>
    <row r="49" spans="2:2" s="1623" customFormat="1" x14ac:dyDescent="0.2">
      <c r="B49" s="1631"/>
    </row>
    <row r="50" spans="2:2" s="1623" customFormat="1" x14ac:dyDescent="0.2">
      <c r="B50" s="1631"/>
    </row>
    <row r="51" spans="2:2" s="1623" customFormat="1" x14ac:dyDescent="0.2">
      <c r="B51" s="1631"/>
    </row>
    <row r="52" spans="2:2" s="1623" customFormat="1" x14ac:dyDescent="0.2">
      <c r="B52" s="1631"/>
    </row>
    <row r="53" spans="2:2" s="1623" customFormat="1" x14ac:dyDescent="0.2">
      <c r="B53" s="1631"/>
    </row>
    <row r="54" spans="2:2" s="1623" customFormat="1" x14ac:dyDescent="0.2">
      <c r="B54" s="1631"/>
    </row>
    <row r="55" spans="2:2" s="1623" customFormat="1" x14ac:dyDescent="0.2">
      <c r="B55" s="1631"/>
    </row>
    <row r="56" spans="2:2" s="1623" customFormat="1" x14ac:dyDescent="0.2">
      <c r="B56" s="1631"/>
    </row>
    <row r="57" spans="2:2" s="1623" customFormat="1" x14ac:dyDescent="0.2">
      <c r="B57" s="1631"/>
    </row>
    <row r="58" spans="2:2" s="1623" customFormat="1" x14ac:dyDescent="0.2">
      <c r="B58" s="1631"/>
    </row>
    <row r="59" spans="2:2" s="1623" customFormat="1" x14ac:dyDescent="0.2">
      <c r="B59" s="1631"/>
    </row>
    <row r="60" spans="2:2" s="1623" customFormat="1" x14ac:dyDescent="0.2">
      <c r="B60" s="1631"/>
    </row>
    <row r="61" spans="2:2" s="1623" customFormat="1" x14ac:dyDescent="0.2">
      <c r="B61" s="1631"/>
    </row>
    <row r="62" spans="2:2" s="1623" customFormat="1" x14ac:dyDescent="0.2">
      <c r="B62" s="1631"/>
    </row>
    <row r="63" spans="2:2" s="1623" customFormat="1" x14ac:dyDescent="0.2">
      <c r="B63" s="1631"/>
    </row>
    <row r="64" spans="2:2" s="1623" customFormat="1" x14ac:dyDescent="0.2">
      <c r="B64" s="1631"/>
    </row>
    <row r="65" spans="2:2" s="1623" customFormat="1" x14ac:dyDescent="0.2">
      <c r="B65" s="1631"/>
    </row>
    <row r="66" spans="2:2" s="1623" customFormat="1" x14ac:dyDescent="0.2">
      <c r="B66" s="1631"/>
    </row>
    <row r="67" spans="2:2" s="1623" customFormat="1" x14ac:dyDescent="0.2">
      <c r="B67" s="1631"/>
    </row>
    <row r="68" spans="2:2" s="1623" customFormat="1" x14ac:dyDescent="0.2">
      <c r="B68" s="1631"/>
    </row>
    <row r="69" spans="2:2" s="1623" customFormat="1" x14ac:dyDescent="0.2">
      <c r="B69" s="1631"/>
    </row>
    <row r="70" spans="2:2" s="1623" customFormat="1" x14ac:dyDescent="0.2">
      <c r="B70" s="1631"/>
    </row>
    <row r="71" spans="2:2" s="1623" customFormat="1" x14ac:dyDescent="0.2">
      <c r="B71" s="1631"/>
    </row>
    <row r="72" spans="2:2" s="1623" customFormat="1" x14ac:dyDescent="0.2">
      <c r="B72" s="1631"/>
    </row>
    <row r="73" spans="2:2" s="1623" customFormat="1" x14ac:dyDescent="0.2">
      <c r="B73" s="1631"/>
    </row>
    <row r="74" spans="2:2" s="1623" customFormat="1" x14ac:dyDescent="0.2">
      <c r="B74" s="1631"/>
    </row>
    <row r="75" spans="2:2" s="1623" customFormat="1" x14ac:dyDescent="0.2">
      <c r="B75" s="1631"/>
    </row>
    <row r="76" spans="2:2" s="1623" customFormat="1" x14ac:dyDescent="0.2">
      <c r="B76" s="1631"/>
    </row>
    <row r="77" spans="2:2" s="1623" customFormat="1" x14ac:dyDescent="0.2">
      <c r="B77" s="1631"/>
    </row>
    <row r="78" spans="2:2" s="1623" customFormat="1" x14ac:dyDescent="0.2">
      <c r="B78" s="1631"/>
    </row>
    <row r="79" spans="2:2" s="1623" customFormat="1" x14ac:dyDescent="0.2">
      <c r="B79" s="1631"/>
    </row>
    <row r="80" spans="2:2" s="1623" customFormat="1" x14ac:dyDescent="0.2">
      <c r="B80" s="1631"/>
    </row>
    <row r="81" spans="2:2" s="1623" customFormat="1" x14ac:dyDescent="0.2">
      <c r="B81" s="1631"/>
    </row>
    <row r="82" spans="2:2" s="1623" customFormat="1" x14ac:dyDescent="0.2">
      <c r="B82" s="1631"/>
    </row>
    <row r="83" spans="2:2" s="1623" customFormat="1" x14ac:dyDescent="0.2">
      <c r="B83" s="1631"/>
    </row>
    <row r="84" spans="2:2" s="1623" customFormat="1" x14ac:dyDescent="0.2">
      <c r="B84" s="1631"/>
    </row>
    <row r="85" spans="2:2" s="1623" customFormat="1" x14ac:dyDescent="0.2">
      <c r="B85" s="1631"/>
    </row>
    <row r="86" spans="2:2" s="1623" customFormat="1" x14ac:dyDescent="0.2">
      <c r="B86" s="1631"/>
    </row>
    <row r="87" spans="2:2" s="1623" customFormat="1" x14ac:dyDescent="0.2">
      <c r="B87" s="1631"/>
    </row>
    <row r="88" spans="2:2" s="1623" customFormat="1" x14ac:dyDescent="0.2">
      <c r="B88" s="1631"/>
    </row>
    <row r="89" spans="2:2" s="1623" customFormat="1" x14ac:dyDescent="0.2">
      <c r="B89" s="1631"/>
    </row>
    <row r="90" spans="2:2" s="1623" customFormat="1" x14ac:dyDescent="0.2">
      <c r="B90" s="1631"/>
    </row>
    <row r="91" spans="2:2" s="1623" customFormat="1" x14ac:dyDescent="0.2">
      <c r="B91" s="1631"/>
    </row>
    <row r="92" spans="2:2" s="1623" customFormat="1" x14ac:dyDescent="0.2">
      <c r="B92" s="1631"/>
    </row>
    <row r="93" spans="2:2" s="1623" customFormat="1" x14ac:dyDescent="0.2">
      <c r="B93" s="1631"/>
    </row>
    <row r="94" spans="2:2" s="1623" customFormat="1" x14ac:dyDescent="0.2">
      <c r="B94" s="1631"/>
    </row>
    <row r="95" spans="2:2" s="1623" customFormat="1" x14ac:dyDescent="0.2">
      <c r="B95" s="1631"/>
    </row>
    <row r="96" spans="2:2" s="1623" customFormat="1" x14ac:dyDescent="0.2">
      <c r="B96" s="1631"/>
    </row>
    <row r="97" spans="2:2" s="1623" customFormat="1" x14ac:dyDescent="0.2">
      <c r="B97" s="1631"/>
    </row>
    <row r="98" spans="2:2" s="1623" customFormat="1" x14ac:dyDescent="0.2">
      <c r="B98" s="1631"/>
    </row>
    <row r="99" spans="2:2" s="1623" customFormat="1" x14ac:dyDescent="0.2">
      <c r="B99" s="1631"/>
    </row>
    <row r="100" spans="2:2" s="1623" customFormat="1" x14ac:dyDescent="0.2">
      <c r="B100" s="1631"/>
    </row>
    <row r="101" spans="2:2" s="1623" customFormat="1" x14ac:dyDescent="0.2">
      <c r="B101" s="1631"/>
    </row>
    <row r="102" spans="2:2" s="1623" customFormat="1" x14ac:dyDescent="0.2">
      <c r="B102" s="1631"/>
    </row>
    <row r="103" spans="2:2" s="1623" customFormat="1" x14ac:dyDescent="0.2">
      <c r="B103" s="1631"/>
    </row>
    <row r="104" spans="2:2" s="1623" customFormat="1" x14ac:dyDescent="0.2">
      <c r="B104" s="1631"/>
    </row>
    <row r="105" spans="2:2" s="1623" customFormat="1" x14ac:dyDescent="0.2">
      <c r="B105" s="1631"/>
    </row>
    <row r="106" spans="2:2" s="1623" customFormat="1" x14ac:dyDescent="0.2">
      <c r="B106" s="1631"/>
    </row>
    <row r="107" spans="2:2" s="1623" customFormat="1" x14ac:dyDescent="0.2">
      <c r="B107" s="1631"/>
    </row>
    <row r="108" spans="2:2" s="1623" customFormat="1" x14ac:dyDescent="0.2">
      <c r="B108" s="1631"/>
    </row>
    <row r="109" spans="2:2" s="1623" customFormat="1" x14ac:dyDescent="0.2">
      <c r="B109" s="1631"/>
    </row>
    <row r="110" spans="2:2" s="1623" customFormat="1" x14ac:dyDescent="0.2">
      <c r="B110" s="1631"/>
    </row>
    <row r="111" spans="2:2" s="1623" customFormat="1" x14ac:dyDescent="0.2">
      <c r="B111" s="1631"/>
    </row>
    <row r="112" spans="2:2" s="1623" customFormat="1" x14ac:dyDescent="0.2">
      <c r="B112" s="1631"/>
    </row>
    <row r="113" spans="2:2" s="1623" customFormat="1" x14ac:dyDescent="0.2">
      <c r="B113" s="1631"/>
    </row>
    <row r="114" spans="2:2" s="1623" customFormat="1" x14ac:dyDescent="0.2">
      <c r="B114" s="1631"/>
    </row>
    <row r="115" spans="2:2" s="1623" customFormat="1" x14ac:dyDescent="0.2">
      <c r="B115" s="1631"/>
    </row>
    <row r="116" spans="2:2" s="1623" customFormat="1" x14ac:dyDescent="0.2">
      <c r="B116" s="1631"/>
    </row>
    <row r="117" spans="2:2" s="1623" customFormat="1" x14ac:dyDescent="0.2">
      <c r="B117" s="1631"/>
    </row>
    <row r="118" spans="2:2" s="1623" customFormat="1" x14ac:dyDescent="0.2">
      <c r="B118" s="1631"/>
    </row>
    <row r="119" spans="2:2" s="1623" customFormat="1" x14ac:dyDescent="0.2">
      <c r="B119" s="1631"/>
    </row>
    <row r="120" spans="2:2" s="1623" customFormat="1" x14ac:dyDescent="0.2">
      <c r="B120" s="1631"/>
    </row>
    <row r="121" spans="2:2" s="1623" customFormat="1" x14ac:dyDescent="0.2">
      <c r="B121" s="1631"/>
    </row>
    <row r="122" spans="2:2" s="1623" customFormat="1" x14ac:dyDescent="0.2">
      <c r="B122" s="1631"/>
    </row>
    <row r="123" spans="2:2" s="1623" customFormat="1" x14ac:dyDescent="0.2">
      <c r="B123" s="1631"/>
    </row>
    <row r="124" spans="2:2" s="1623" customFormat="1" x14ac:dyDescent="0.2">
      <c r="B124" s="1631"/>
    </row>
    <row r="125" spans="2:2" s="1623" customFormat="1" x14ac:dyDescent="0.2">
      <c r="B125" s="1631"/>
    </row>
    <row r="126" spans="2:2" s="1623" customFormat="1" x14ac:dyDescent="0.2">
      <c r="B126" s="1631"/>
    </row>
    <row r="127" spans="2:2" s="1623" customFormat="1" x14ac:dyDescent="0.2">
      <c r="B127" s="1631"/>
    </row>
    <row r="128" spans="2:2" s="1623" customFormat="1" x14ac:dyDescent="0.2">
      <c r="B128" s="1631"/>
    </row>
    <row r="129" spans="2:2" s="1623" customFormat="1" x14ac:dyDescent="0.2">
      <c r="B129" s="1631"/>
    </row>
    <row r="130" spans="2:2" s="1623" customFormat="1" x14ac:dyDescent="0.2">
      <c r="B130" s="1631"/>
    </row>
    <row r="131" spans="2:2" s="1623" customFormat="1" x14ac:dyDescent="0.2">
      <c r="B131" s="1631"/>
    </row>
    <row r="132" spans="2:2" s="1623" customFormat="1" x14ac:dyDescent="0.2">
      <c r="B132" s="1631"/>
    </row>
    <row r="133" spans="2:2" s="1623" customFormat="1" x14ac:dyDescent="0.2">
      <c r="B133" s="1631"/>
    </row>
    <row r="134" spans="2:2" s="1623" customFormat="1" x14ac:dyDescent="0.2">
      <c r="B134" s="1631"/>
    </row>
    <row r="135" spans="2:2" s="1623" customFormat="1" x14ac:dyDescent="0.2">
      <c r="B135" s="1631"/>
    </row>
    <row r="136" spans="2:2" s="1623" customFormat="1" x14ac:dyDescent="0.2">
      <c r="B136" s="1631"/>
    </row>
    <row r="137" spans="2:2" s="1623" customFormat="1" x14ac:dyDescent="0.2">
      <c r="B137" s="1631"/>
    </row>
    <row r="138" spans="2:2" s="1623" customFormat="1" x14ac:dyDescent="0.2">
      <c r="B138" s="1631"/>
    </row>
    <row r="139" spans="2:2" s="1623" customFormat="1" x14ac:dyDescent="0.2">
      <c r="B139" s="1631"/>
    </row>
    <row r="140" spans="2:2" s="1623" customFormat="1" x14ac:dyDescent="0.2">
      <c r="B140" s="1631"/>
    </row>
    <row r="141" spans="2:2" s="1623" customFormat="1" x14ac:dyDescent="0.2">
      <c r="B141" s="1631"/>
    </row>
    <row r="142" spans="2:2" s="1623" customFormat="1" x14ac:dyDescent="0.2">
      <c r="B142" s="1631"/>
    </row>
    <row r="143" spans="2:2" s="1623" customFormat="1" x14ac:dyDescent="0.2">
      <c r="B143" s="1631"/>
    </row>
    <row r="144" spans="2:2" s="1623" customFormat="1" x14ac:dyDescent="0.2">
      <c r="B144" s="1631"/>
    </row>
    <row r="145" spans="2:2" s="1623" customFormat="1" x14ac:dyDescent="0.2">
      <c r="B145" s="1631"/>
    </row>
    <row r="146" spans="2:2" s="1623" customFormat="1" x14ac:dyDescent="0.2">
      <c r="B146" s="1631"/>
    </row>
    <row r="147" spans="2:2" s="1623" customFormat="1" x14ac:dyDescent="0.2">
      <c r="B147" s="1631"/>
    </row>
    <row r="148" spans="2:2" s="1623" customFormat="1" x14ac:dyDescent="0.2">
      <c r="B148" s="1631"/>
    </row>
    <row r="149" spans="2:2" s="1623" customFormat="1" x14ac:dyDescent="0.2">
      <c r="B149" s="1631"/>
    </row>
    <row r="150" spans="2:2" s="1623" customFormat="1" x14ac:dyDescent="0.2">
      <c r="B150" s="1631"/>
    </row>
    <row r="151" spans="2:2" s="1623" customFormat="1" x14ac:dyDescent="0.2">
      <c r="B151" s="1631"/>
    </row>
    <row r="152" spans="2:2" s="1623" customFormat="1" x14ac:dyDescent="0.2">
      <c r="B152" s="1631"/>
    </row>
    <row r="153" spans="2:2" s="1623" customFormat="1" x14ac:dyDescent="0.2">
      <c r="B153" s="1631"/>
    </row>
    <row r="154" spans="2:2" s="1623" customFormat="1" x14ac:dyDescent="0.2">
      <c r="B154" s="1631"/>
    </row>
    <row r="155" spans="2:2" s="1623" customFormat="1" x14ac:dyDescent="0.2">
      <c r="B155" s="1631"/>
    </row>
    <row r="156" spans="2:2" s="1623" customFormat="1" x14ac:dyDescent="0.2">
      <c r="B156" s="1631"/>
    </row>
    <row r="157" spans="2:2" s="1623" customFormat="1" x14ac:dyDescent="0.2">
      <c r="B157" s="1631"/>
    </row>
    <row r="158" spans="2:2" s="1623" customFormat="1" x14ac:dyDescent="0.2">
      <c r="B158" s="1631"/>
    </row>
    <row r="159" spans="2:2" s="1623" customFormat="1" x14ac:dyDescent="0.2">
      <c r="B159" s="1631"/>
    </row>
    <row r="160" spans="2:2" s="1623" customFormat="1" x14ac:dyDescent="0.2">
      <c r="B160" s="1631"/>
    </row>
    <row r="161" spans="2:2" s="1623" customFormat="1" x14ac:dyDescent="0.2">
      <c r="B161" s="1631"/>
    </row>
    <row r="162" spans="2:2" s="1623" customFormat="1" x14ac:dyDescent="0.2">
      <c r="B162" s="1631"/>
    </row>
    <row r="163" spans="2:2" s="1623" customFormat="1" x14ac:dyDescent="0.2">
      <c r="B163" s="1631"/>
    </row>
    <row r="164" spans="2:2" s="1623" customFormat="1" x14ac:dyDescent="0.2">
      <c r="B164" s="1631"/>
    </row>
    <row r="165" spans="2:2" s="1623" customFormat="1" x14ac:dyDescent="0.2">
      <c r="B165" s="1631"/>
    </row>
    <row r="166" spans="2:2" s="1623" customFormat="1" x14ac:dyDescent="0.2">
      <c r="B166" s="1631"/>
    </row>
    <row r="167" spans="2:2" s="1623" customFormat="1" x14ac:dyDescent="0.2">
      <c r="B167" s="1631"/>
    </row>
    <row r="168" spans="2:2" s="1623" customFormat="1" x14ac:dyDescent="0.2">
      <c r="B168" s="1631"/>
    </row>
    <row r="169" spans="2:2" s="1623" customFormat="1" x14ac:dyDescent="0.2">
      <c r="B169" s="1631"/>
    </row>
    <row r="170" spans="2:2" s="1623" customFormat="1" x14ac:dyDescent="0.2">
      <c r="B170" s="1631"/>
    </row>
    <row r="171" spans="2:2" s="1623" customFormat="1" x14ac:dyDescent="0.2">
      <c r="B171" s="1631"/>
    </row>
    <row r="172" spans="2:2" s="1623" customFormat="1" x14ac:dyDescent="0.2">
      <c r="B172" s="1631"/>
    </row>
    <row r="173" spans="2:2" s="1623" customFormat="1" x14ac:dyDescent="0.2">
      <c r="B173" s="1631"/>
    </row>
    <row r="174" spans="2:2" s="1623" customFormat="1" x14ac:dyDescent="0.2">
      <c r="B174" s="1631"/>
    </row>
    <row r="175" spans="2:2" s="1623" customFormat="1" x14ac:dyDescent="0.2">
      <c r="B175" s="1631"/>
    </row>
    <row r="176" spans="2:2" s="1623" customFormat="1" x14ac:dyDescent="0.2">
      <c r="B176" s="1631"/>
    </row>
    <row r="177" spans="2:2" s="1623" customFormat="1" x14ac:dyDescent="0.2">
      <c r="B177" s="1631"/>
    </row>
    <row r="178" spans="2:2" s="1623" customFormat="1" x14ac:dyDescent="0.2">
      <c r="B178" s="1631"/>
    </row>
    <row r="179" spans="2:2" s="1623" customFormat="1" x14ac:dyDescent="0.2">
      <c r="B179" s="1631"/>
    </row>
    <row r="180" spans="2:2" s="1623" customFormat="1" x14ac:dyDescent="0.2">
      <c r="B180" s="1631"/>
    </row>
    <row r="181" spans="2:2" s="1623" customFormat="1" x14ac:dyDescent="0.2">
      <c r="B181" s="1631"/>
    </row>
    <row r="182" spans="2:2" s="1623" customFormat="1" x14ac:dyDescent="0.2">
      <c r="B182" s="1631"/>
    </row>
    <row r="183" spans="2:2" s="1623" customFormat="1" x14ac:dyDescent="0.2">
      <c r="B183" s="1631"/>
    </row>
    <row r="184" spans="2:2" s="1623" customFormat="1" x14ac:dyDescent="0.2">
      <c r="B184" s="1631"/>
    </row>
    <row r="185" spans="2:2" s="1623" customFormat="1" x14ac:dyDescent="0.2">
      <c r="B185" s="1631"/>
    </row>
    <row r="186" spans="2:2" s="1623" customFormat="1" x14ac:dyDescent="0.2">
      <c r="B186" s="1631"/>
    </row>
    <row r="187" spans="2:2" s="1623" customFormat="1" x14ac:dyDescent="0.2">
      <c r="B187" s="1631"/>
    </row>
    <row r="188" spans="2:2" s="1623" customFormat="1" x14ac:dyDescent="0.2">
      <c r="B188" s="1631"/>
    </row>
    <row r="189" spans="2:2" s="1623" customFormat="1" x14ac:dyDescent="0.2">
      <c r="B189" s="1631"/>
    </row>
    <row r="190" spans="2:2" s="1623" customFormat="1" x14ac:dyDescent="0.2">
      <c r="B190" s="1631"/>
    </row>
    <row r="191" spans="2:2" s="1623" customFormat="1" x14ac:dyDescent="0.2">
      <c r="B191" s="1631"/>
    </row>
    <row r="192" spans="2:2" s="1623" customFormat="1" x14ac:dyDescent="0.2">
      <c r="B192" s="1631"/>
    </row>
    <row r="193" spans="2:2" s="1623" customFormat="1" x14ac:dyDescent="0.2">
      <c r="B193" s="1631"/>
    </row>
    <row r="194" spans="2:2" s="1623" customFormat="1" x14ac:dyDescent="0.2">
      <c r="B194" s="1631"/>
    </row>
    <row r="195" spans="2:2" s="1623" customFormat="1" x14ac:dyDescent="0.2">
      <c r="B195" s="1631"/>
    </row>
    <row r="196" spans="2:2" s="1623" customFormat="1" x14ac:dyDescent="0.2">
      <c r="B196" s="1631"/>
    </row>
    <row r="197" spans="2:2" s="1623" customFormat="1" x14ac:dyDescent="0.2">
      <c r="B197" s="1631"/>
    </row>
    <row r="198" spans="2:2" s="1623" customFormat="1" x14ac:dyDescent="0.2">
      <c r="B198" s="1631"/>
    </row>
    <row r="199" spans="2:2" s="1623" customFormat="1" x14ac:dyDescent="0.2">
      <c r="B199" s="1631"/>
    </row>
    <row r="200" spans="2:2" s="1623" customFormat="1" x14ac:dyDescent="0.2">
      <c r="B200" s="1631"/>
    </row>
    <row r="201" spans="2:2" s="1623" customFormat="1" x14ac:dyDescent="0.2">
      <c r="B201" s="1631"/>
    </row>
    <row r="202" spans="2:2" s="1623" customFormat="1" x14ac:dyDescent="0.2">
      <c r="B202" s="1631"/>
    </row>
    <row r="203" spans="2:2" s="1623" customFormat="1" x14ac:dyDescent="0.2">
      <c r="B203" s="1631"/>
    </row>
    <row r="204" spans="2:2" s="1623" customFormat="1" x14ac:dyDescent="0.2">
      <c r="B204" s="1631"/>
    </row>
    <row r="205" spans="2:2" s="1623" customFormat="1" x14ac:dyDescent="0.2">
      <c r="B205" s="1631"/>
    </row>
    <row r="206" spans="2:2" s="1623" customFormat="1" x14ac:dyDescent="0.2">
      <c r="B206" s="1631"/>
    </row>
    <row r="207" spans="2:2" s="1623" customFormat="1" x14ac:dyDescent="0.2">
      <c r="B207" s="1631"/>
    </row>
    <row r="208" spans="2:2" s="1623" customFormat="1" x14ac:dyDescent="0.2">
      <c r="B208" s="1631"/>
    </row>
    <row r="209" spans="2:2" s="1623" customFormat="1" x14ac:dyDescent="0.2">
      <c r="B209" s="1631"/>
    </row>
    <row r="210" spans="2:2" s="1623" customFormat="1" x14ac:dyDescent="0.2">
      <c r="B210" s="1631"/>
    </row>
    <row r="211" spans="2:2" s="1623" customFormat="1" x14ac:dyDescent="0.2">
      <c r="B211" s="1631"/>
    </row>
    <row r="212" spans="2:2" s="1623" customFormat="1" x14ac:dyDescent="0.2">
      <c r="B212" s="1631"/>
    </row>
    <row r="213" spans="2:2" s="1623" customFormat="1" x14ac:dyDescent="0.2">
      <c r="B213" s="1631"/>
    </row>
    <row r="214" spans="2:2" s="1623" customFormat="1" x14ac:dyDescent="0.2">
      <c r="B214" s="1631"/>
    </row>
    <row r="215" spans="2:2" s="1623" customFormat="1" x14ac:dyDescent="0.2">
      <c r="B215" s="1631"/>
    </row>
    <row r="216" spans="2:2" s="1623" customFormat="1" x14ac:dyDescent="0.2">
      <c r="B216" s="1631"/>
    </row>
    <row r="217" spans="2:2" s="1623" customFormat="1" x14ac:dyDescent="0.2">
      <c r="B217" s="1631"/>
    </row>
    <row r="218" spans="2:2" s="1623" customFormat="1" x14ac:dyDescent="0.2">
      <c r="B218" s="1631"/>
    </row>
    <row r="219" spans="2:2" s="1623" customFormat="1" x14ac:dyDescent="0.2">
      <c r="B219" s="1631"/>
    </row>
    <row r="220" spans="2:2" s="1623" customFormat="1" x14ac:dyDescent="0.2">
      <c r="B220" s="1631"/>
    </row>
    <row r="221" spans="2:2" s="1623" customFormat="1" x14ac:dyDescent="0.2">
      <c r="B221" s="1631"/>
    </row>
    <row r="222" spans="2:2" s="1623" customFormat="1" x14ac:dyDescent="0.2">
      <c r="B222" s="1631"/>
    </row>
    <row r="223" spans="2:2" s="1623" customFormat="1" x14ac:dyDescent="0.2">
      <c r="B223" s="1631"/>
    </row>
    <row r="224" spans="2:2" s="1623" customFormat="1" x14ac:dyDescent="0.2">
      <c r="B224" s="1631"/>
    </row>
    <row r="225" spans="2:2" s="1623" customFormat="1" x14ac:dyDescent="0.2">
      <c r="B225" s="1631"/>
    </row>
    <row r="226" spans="2:2" s="1623" customFormat="1" x14ac:dyDescent="0.2">
      <c r="B226" s="1631"/>
    </row>
    <row r="227" spans="2:2" s="1623" customFormat="1" x14ac:dyDescent="0.2">
      <c r="B227" s="1631"/>
    </row>
    <row r="228" spans="2:2" s="1623" customFormat="1" x14ac:dyDescent="0.2">
      <c r="B228" s="1631"/>
    </row>
    <row r="229" spans="2:2" s="1623" customFormat="1" x14ac:dyDescent="0.2">
      <c r="B229" s="1631"/>
    </row>
    <row r="230" spans="2:2" s="1623" customFormat="1" x14ac:dyDescent="0.2">
      <c r="B230" s="1631"/>
    </row>
    <row r="231" spans="2:2" s="1623" customFormat="1" x14ac:dyDescent="0.2">
      <c r="B231" s="1631"/>
    </row>
    <row r="232" spans="2:2" s="1623" customFormat="1" x14ac:dyDescent="0.2">
      <c r="B232" s="1631"/>
    </row>
    <row r="233" spans="2:2" s="1623" customFormat="1" x14ac:dyDescent="0.2">
      <c r="B233" s="1631"/>
    </row>
    <row r="234" spans="2:2" s="1623" customFormat="1" x14ac:dyDescent="0.2">
      <c r="B234" s="1631"/>
    </row>
    <row r="235" spans="2:2" s="1623" customFormat="1" x14ac:dyDescent="0.2">
      <c r="B235" s="1631"/>
    </row>
    <row r="236" spans="2:2" s="1623" customFormat="1" x14ac:dyDescent="0.2">
      <c r="B236" s="1631"/>
    </row>
    <row r="237" spans="2:2" s="1623" customFormat="1" x14ac:dyDescent="0.2">
      <c r="B237" s="1631"/>
    </row>
    <row r="238" spans="2:2" s="1623" customFormat="1" x14ac:dyDescent="0.2">
      <c r="B238" s="1631"/>
    </row>
    <row r="239" spans="2:2" s="1623" customFormat="1" x14ac:dyDescent="0.2">
      <c r="B239" s="1631"/>
    </row>
    <row r="240" spans="2:2" s="1623" customFormat="1" x14ac:dyDescent="0.2">
      <c r="B240" s="1631"/>
    </row>
    <row r="241" spans="2:2" s="1623" customFormat="1" x14ac:dyDescent="0.2">
      <c r="B241" s="1631"/>
    </row>
    <row r="242" spans="2:2" s="1623" customFormat="1" x14ac:dyDescent="0.2">
      <c r="B242" s="1631"/>
    </row>
    <row r="243" spans="2:2" s="1623" customFormat="1" x14ac:dyDescent="0.2">
      <c r="B243" s="1631"/>
    </row>
    <row r="244" spans="2:2" s="1623" customFormat="1" x14ac:dyDescent="0.2">
      <c r="B244" s="1631"/>
    </row>
    <row r="245" spans="2:2" s="1623" customFormat="1" x14ac:dyDescent="0.2">
      <c r="B245" s="1631"/>
    </row>
    <row r="246" spans="2:2" s="1623" customFormat="1" x14ac:dyDescent="0.2">
      <c r="B246" s="1631"/>
    </row>
    <row r="247" spans="2:2" s="1623" customFormat="1" x14ac:dyDescent="0.2">
      <c r="B247" s="1631"/>
    </row>
    <row r="248" spans="2:2" s="1623" customFormat="1" x14ac:dyDescent="0.2">
      <c r="B248" s="1631"/>
    </row>
    <row r="249" spans="2:2" s="1623" customFormat="1" x14ac:dyDescent="0.2">
      <c r="B249" s="1631"/>
    </row>
    <row r="250" spans="2:2" s="1623" customFormat="1" x14ac:dyDescent="0.2">
      <c r="B250" s="1631"/>
    </row>
    <row r="251" spans="2:2" s="1623" customFormat="1" x14ac:dyDescent="0.2">
      <c r="B251" s="1631"/>
    </row>
    <row r="252" spans="2:2" s="1623" customFormat="1" x14ac:dyDescent="0.2">
      <c r="B252" s="1631"/>
    </row>
    <row r="253" spans="2:2" s="1623" customFormat="1" x14ac:dyDescent="0.2">
      <c r="B253" s="1631"/>
    </row>
    <row r="254" spans="2:2" s="1623" customFormat="1" x14ac:dyDescent="0.2">
      <c r="B254" s="1631"/>
    </row>
    <row r="255" spans="2:2" s="1623" customFormat="1" x14ac:dyDescent="0.2">
      <c r="B255" s="1631"/>
    </row>
    <row r="256" spans="2:2" s="1623" customFormat="1" x14ac:dyDescent="0.2">
      <c r="B256" s="1631"/>
    </row>
    <row r="257" spans="2:2" s="1623" customFormat="1" x14ac:dyDescent="0.2">
      <c r="B257" s="1631"/>
    </row>
    <row r="258" spans="2:2" s="1623" customFormat="1" x14ac:dyDescent="0.2">
      <c r="B258" s="1631"/>
    </row>
    <row r="259" spans="2:2" s="1623" customFormat="1" x14ac:dyDescent="0.2">
      <c r="B259" s="1631"/>
    </row>
    <row r="260" spans="2:2" s="1623" customFormat="1" x14ac:dyDescent="0.2">
      <c r="B260" s="1631"/>
    </row>
    <row r="261" spans="2:2" s="1623" customFormat="1" x14ac:dyDescent="0.2">
      <c r="B261" s="1631"/>
    </row>
    <row r="262" spans="2:2" s="1623" customFormat="1" x14ac:dyDescent="0.2">
      <c r="B262" s="1631"/>
    </row>
    <row r="263" spans="2:2" s="1623" customFormat="1" x14ac:dyDescent="0.2">
      <c r="B263" s="1631"/>
    </row>
    <row r="264" spans="2:2" s="1623" customFormat="1" x14ac:dyDescent="0.2">
      <c r="B264" s="1631"/>
    </row>
    <row r="265" spans="2:2" s="1623" customFormat="1" x14ac:dyDescent="0.2">
      <c r="B265" s="1631"/>
    </row>
    <row r="266" spans="2:2" s="1623" customFormat="1" x14ac:dyDescent="0.2">
      <c r="B266" s="1631"/>
    </row>
    <row r="267" spans="2:2" s="1623" customFormat="1" x14ac:dyDescent="0.2">
      <c r="B267" s="1631"/>
    </row>
    <row r="268" spans="2:2" s="1623" customFormat="1" x14ac:dyDescent="0.2">
      <c r="B268" s="1631"/>
    </row>
    <row r="269" spans="2:2" s="1623" customFormat="1" x14ac:dyDescent="0.2">
      <c r="B269" s="1631"/>
    </row>
    <row r="270" spans="2:2" s="1623" customFormat="1" x14ac:dyDescent="0.2">
      <c r="B270" s="1631"/>
    </row>
    <row r="271" spans="2:2" s="1623" customFormat="1" x14ac:dyDescent="0.2">
      <c r="B271" s="1631"/>
    </row>
    <row r="272" spans="2:2" s="1623" customFormat="1" x14ac:dyDescent="0.2">
      <c r="B272" s="1631"/>
    </row>
    <row r="273" spans="2:2" s="1623" customFormat="1" x14ac:dyDescent="0.2">
      <c r="B273" s="1631"/>
    </row>
    <row r="274" spans="2:2" s="1623" customFormat="1" x14ac:dyDescent="0.2">
      <c r="B274" s="1631"/>
    </row>
    <row r="275" spans="2:2" s="1623" customFormat="1" x14ac:dyDescent="0.2">
      <c r="B275" s="1631"/>
    </row>
    <row r="276" spans="2:2" s="1623" customFormat="1" x14ac:dyDescent="0.2">
      <c r="B276" s="1631"/>
    </row>
    <row r="277" spans="2:2" s="1623" customFormat="1" x14ac:dyDescent="0.2">
      <c r="B277" s="1631"/>
    </row>
    <row r="278" spans="2:2" s="1623" customFormat="1" x14ac:dyDescent="0.2">
      <c r="B278" s="1631"/>
    </row>
    <row r="279" spans="2:2" s="1623" customFormat="1" x14ac:dyDescent="0.2">
      <c r="B279" s="1631"/>
    </row>
    <row r="280" spans="2:2" s="1623" customFormat="1" x14ac:dyDescent="0.2">
      <c r="B280" s="1631"/>
    </row>
    <row r="281" spans="2:2" s="1623" customFormat="1" x14ac:dyDescent="0.2">
      <c r="B281" s="1631"/>
    </row>
    <row r="282" spans="2:2" s="1623" customFormat="1" x14ac:dyDescent="0.2">
      <c r="B282" s="1631"/>
    </row>
    <row r="283" spans="2:2" s="1623" customFormat="1" x14ac:dyDescent="0.2">
      <c r="B283" s="1631"/>
    </row>
    <row r="284" spans="2:2" s="1623" customFormat="1" x14ac:dyDescent="0.2">
      <c r="B284" s="1631"/>
    </row>
    <row r="285" spans="2:2" s="1623" customFormat="1" x14ac:dyDescent="0.2">
      <c r="B285" s="1631"/>
    </row>
    <row r="286" spans="2:2" s="1623" customFormat="1" x14ac:dyDescent="0.2">
      <c r="B286" s="1631"/>
    </row>
    <row r="287" spans="2:2" s="1623" customFormat="1" x14ac:dyDescent="0.2">
      <c r="B287" s="1631"/>
    </row>
    <row r="288" spans="2:2" s="1623" customFormat="1" x14ac:dyDescent="0.2">
      <c r="B288" s="1631"/>
    </row>
    <row r="289" spans="2:2" s="1623" customFormat="1" x14ac:dyDescent="0.2">
      <c r="B289" s="1631"/>
    </row>
    <row r="290" spans="2:2" s="1623" customFormat="1" x14ac:dyDescent="0.2">
      <c r="B290" s="1631"/>
    </row>
    <row r="291" spans="2:2" s="1623" customFormat="1" x14ac:dyDescent="0.2">
      <c r="B291" s="1631"/>
    </row>
    <row r="292" spans="2:2" s="1623" customFormat="1" x14ac:dyDescent="0.2">
      <c r="B292" s="1631"/>
    </row>
    <row r="293" spans="2:2" s="1623" customFormat="1" x14ac:dyDescent="0.2">
      <c r="B293" s="1631"/>
    </row>
    <row r="294" spans="2:2" s="1623" customFormat="1" x14ac:dyDescent="0.2">
      <c r="B294" s="1631"/>
    </row>
    <row r="295" spans="2:2" s="1623" customFormat="1" x14ac:dyDescent="0.2">
      <c r="B295" s="1631"/>
    </row>
    <row r="296" spans="2:2" s="1623" customFormat="1" x14ac:dyDescent="0.2">
      <c r="B296" s="1631"/>
    </row>
    <row r="297" spans="2:2" s="1623" customFormat="1" x14ac:dyDescent="0.2">
      <c r="B297" s="1631"/>
    </row>
    <row r="298" spans="2:2" s="1623" customFormat="1" x14ac:dyDescent="0.2">
      <c r="B298" s="1631"/>
    </row>
    <row r="299" spans="2:2" s="1623" customFormat="1" x14ac:dyDescent="0.2">
      <c r="B299" s="1631"/>
    </row>
    <row r="300" spans="2:2" s="1623" customFormat="1" x14ac:dyDescent="0.2">
      <c r="B300" s="1631"/>
    </row>
    <row r="301" spans="2:2" s="1623" customFormat="1" x14ac:dyDescent="0.2">
      <c r="B301" s="1631"/>
    </row>
    <row r="302" spans="2:2" s="1623" customFormat="1" x14ac:dyDescent="0.2">
      <c r="B302" s="1631"/>
    </row>
    <row r="303" spans="2:2" s="1623" customFormat="1" x14ac:dyDescent="0.2">
      <c r="B303" s="1631"/>
    </row>
    <row r="304" spans="2:2" s="1623" customFormat="1" x14ac:dyDescent="0.2">
      <c r="B304" s="1631"/>
    </row>
    <row r="305" spans="2:2" s="1623" customFormat="1" x14ac:dyDescent="0.2">
      <c r="B305" s="1631"/>
    </row>
    <row r="306" spans="2:2" s="1623" customFormat="1" x14ac:dyDescent="0.2">
      <c r="B306" s="1631"/>
    </row>
    <row r="307" spans="2:2" s="1623" customFormat="1" x14ac:dyDescent="0.2">
      <c r="B307" s="1631"/>
    </row>
    <row r="308" spans="2:2" s="1623" customFormat="1" x14ac:dyDescent="0.2">
      <c r="B308" s="1631"/>
    </row>
    <row r="309" spans="2:2" s="1623" customFormat="1" x14ac:dyDescent="0.2">
      <c r="B309" s="1631"/>
    </row>
    <row r="310" spans="2:2" s="1623" customFormat="1" x14ac:dyDescent="0.2">
      <c r="B310" s="1631"/>
    </row>
    <row r="311" spans="2:2" s="1623" customFormat="1" x14ac:dyDescent="0.2">
      <c r="B311" s="1631"/>
    </row>
    <row r="312" spans="2:2" s="1623" customFormat="1" x14ac:dyDescent="0.2">
      <c r="B312" s="1631"/>
    </row>
    <row r="313" spans="2:2" s="1623" customFormat="1" x14ac:dyDescent="0.2">
      <c r="B313" s="1631"/>
    </row>
    <row r="314" spans="2:2" s="1623" customFormat="1" x14ac:dyDescent="0.2">
      <c r="B314" s="1631"/>
    </row>
    <row r="315" spans="2:2" s="1623" customFormat="1" x14ac:dyDescent="0.2">
      <c r="B315" s="1631"/>
    </row>
    <row r="316" spans="2:2" s="1623" customFormat="1" x14ac:dyDescent="0.2">
      <c r="B316" s="1631"/>
    </row>
    <row r="317" spans="2:2" s="1623" customFormat="1" x14ac:dyDescent="0.2">
      <c r="B317" s="1631"/>
    </row>
    <row r="318" spans="2:2" s="1623" customFormat="1" x14ac:dyDescent="0.2">
      <c r="B318" s="1631"/>
    </row>
    <row r="319" spans="2:2" s="1623" customFormat="1" x14ac:dyDescent="0.2">
      <c r="B319" s="1631"/>
    </row>
    <row r="320" spans="2:2" s="1623" customFormat="1" x14ac:dyDescent="0.2">
      <c r="B320" s="1631"/>
    </row>
    <row r="321" spans="2:2" s="1623" customFormat="1" x14ac:dyDescent="0.2">
      <c r="B321" s="1631"/>
    </row>
    <row r="322" spans="2:2" s="1623" customFormat="1" x14ac:dyDescent="0.2">
      <c r="B322" s="1631"/>
    </row>
    <row r="323" spans="2:2" s="1623" customFormat="1" x14ac:dyDescent="0.2">
      <c r="B323" s="1631"/>
    </row>
    <row r="324" spans="2:2" s="1623" customFormat="1" x14ac:dyDescent="0.2">
      <c r="B324" s="1631"/>
    </row>
    <row r="325" spans="2:2" s="1623" customFormat="1" x14ac:dyDescent="0.2">
      <c r="B325" s="1631"/>
    </row>
    <row r="326" spans="2:2" s="1623" customFormat="1" x14ac:dyDescent="0.2">
      <c r="B326" s="1631"/>
    </row>
    <row r="327" spans="2:2" s="1623" customFormat="1" x14ac:dyDescent="0.2">
      <c r="B327" s="1631"/>
    </row>
    <row r="328" spans="2:2" s="1623" customFormat="1" x14ac:dyDescent="0.2">
      <c r="B328" s="1631"/>
    </row>
    <row r="329" spans="2:2" s="1623" customFormat="1" x14ac:dyDescent="0.2">
      <c r="B329" s="1631"/>
    </row>
    <row r="330" spans="2:2" s="1623" customFormat="1" x14ac:dyDescent="0.2">
      <c r="B330" s="1631"/>
    </row>
    <row r="331" spans="2:2" s="1623" customFormat="1" x14ac:dyDescent="0.2">
      <c r="B331" s="1631"/>
    </row>
    <row r="332" spans="2:2" s="1623" customFormat="1" x14ac:dyDescent="0.2">
      <c r="B332" s="1631"/>
    </row>
    <row r="333" spans="2:2" s="1623" customFormat="1" x14ac:dyDescent="0.2">
      <c r="B333" s="1631"/>
    </row>
    <row r="334" spans="2:2" s="1623" customFormat="1" x14ac:dyDescent="0.2">
      <c r="B334" s="1631"/>
    </row>
    <row r="335" spans="2:2" s="1623" customFormat="1" x14ac:dyDescent="0.2">
      <c r="B335" s="1631"/>
    </row>
    <row r="336" spans="2:2" s="1623" customFormat="1" x14ac:dyDescent="0.2">
      <c r="B336" s="1631"/>
    </row>
    <row r="337" spans="2:2" s="1623" customFormat="1" x14ac:dyDescent="0.2">
      <c r="B337" s="1631"/>
    </row>
    <row r="338" spans="2:2" s="1623" customFormat="1" x14ac:dyDescent="0.2">
      <c r="B338" s="1631"/>
    </row>
    <row r="339" spans="2:2" s="1623" customFormat="1" x14ac:dyDescent="0.2">
      <c r="B339" s="1631"/>
    </row>
    <row r="340" spans="2:2" s="1623" customFormat="1" x14ac:dyDescent="0.2">
      <c r="B340" s="1631"/>
    </row>
    <row r="341" spans="2:2" s="1623" customFormat="1" x14ac:dyDescent="0.2">
      <c r="B341" s="1631"/>
    </row>
    <row r="342" spans="2:2" s="1623" customFormat="1" x14ac:dyDescent="0.2">
      <c r="B342" s="1631"/>
    </row>
    <row r="343" spans="2:2" s="1623" customFormat="1" x14ac:dyDescent="0.2">
      <c r="B343" s="1631"/>
    </row>
    <row r="344" spans="2:2" s="1623" customFormat="1" x14ac:dyDescent="0.2">
      <c r="B344" s="1631"/>
    </row>
    <row r="345" spans="2:2" s="1623" customFormat="1" x14ac:dyDescent="0.2">
      <c r="B345" s="1631"/>
    </row>
    <row r="346" spans="2:2" s="1623" customFormat="1" x14ac:dyDescent="0.2">
      <c r="B346" s="1631"/>
    </row>
    <row r="347" spans="2:2" s="1623" customFormat="1" x14ac:dyDescent="0.2">
      <c r="B347" s="1631"/>
    </row>
    <row r="348" spans="2:2" s="1623" customFormat="1" x14ac:dyDescent="0.2">
      <c r="B348" s="1631"/>
    </row>
    <row r="349" spans="2:2" s="1623" customFormat="1" x14ac:dyDescent="0.2">
      <c r="B349" s="1631"/>
    </row>
    <row r="350" spans="2:2" s="1623" customFormat="1" x14ac:dyDescent="0.2">
      <c r="B350" s="1631"/>
    </row>
    <row r="351" spans="2:2" s="1623" customFormat="1" x14ac:dyDescent="0.2">
      <c r="B351" s="1631"/>
    </row>
    <row r="352" spans="2:2" s="1623" customFormat="1" x14ac:dyDescent="0.2">
      <c r="B352" s="1631"/>
    </row>
    <row r="353" spans="2:2" s="1623" customFormat="1" x14ac:dyDescent="0.2">
      <c r="B353" s="1631"/>
    </row>
    <row r="354" spans="2:2" s="1623" customFormat="1" x14ac:dyDescent="0.2">
      <c r="B354" s="1631"/>
    </row>
    <row r="355" spans="2:2" s="1623" customFormat="1" x14ac:dyDescent="0.2">
      <c r="B355" s="1631"/>
    </row>
    <row r="356" spans="2:2" s="1623" customFormat="1" x14ac:dyDescent="0.2">
      <c r="B356" s="1631"/>
    </row>
    <row r="357" spans="2:2" s="1623" customFormat="1" x14ac:dyDescent="0.2">
      <c r="B357" s="1631"/>
    </row>
    <row r="358" spans="2:2" s="1623" customFormat="1" x14ac:dyDescent="0.2">
      <c r="B358" s="1631"/>
    </row>
    <row r="359" spans="2:2" s="1623" customFormat="1" x14ac:dyDescent="0.2">
      <c r="B359" s="1631"/>
    </row>
    <row r="360" spans="2:2" s="1623" customFormat="1" x14ac:dyDescent="0.2">
      <c r="B360" s="1631"/>
    </row>
    <row r="361" spans="2:2" s="1623" customFormat="1" x14ac:dyDescent="0.2">
      <c r="B361" s="1631"/>
    </row>
    <row r="362" spans="2:2" s="1623" customFormat="1" x14ac:dyDescent="0.2">
      <c r="B362" s="1631"/>
    </row>
    <row r="363" spans="2:2" s="1623" customFormat="1" x14ac:dyDescent="0.2">
      <c r="B363" s="1631"/>
    </row>
    <row r="364" spans="2:2" s="1623" customFormat="1" x14ac:dyDescent="0.2">
      <c r="B364" s="1631"/>
    </row>
    <row r="365" spans="2:2" s="1623" customFormat="1" x14ac:dyDescent="0.2">
      <c r="B365" s="1631"/>
    </row>
    <row r="366" spans="2:2" s="1623" customFormat="1" x14ac:dyDescent="0.2">
      <c r="B366" s="1631"/>
    </row>
    <row r="367" spans="2:2" s="1623" customFormat="1" x14ac:dyDescent="0.2">
      <c r="B367" s="1631"/>
    </row>
    <row r="368" spans="2:2" s="1623" customFormat="1" x14ac:dyDescent="0.2">
      <c r="B368" s="1631"/>
    </row>
    <row r="369" spans="2:2" s="1623" customFormat="1" x14ac:dyDescent="0.2">
      <c r="B369" s="1631"/>
    </row>
    <row r="370" spans="2:2" s="1623" customFormat="1" x14ac:dyDescent="0.2">
      <c r="B370" s="1631"/>
    </row>
    <row r="371" spans="2:2" s="1623" customFormat="1" x14ac:dyDescent="0.2">
      <c r="B371" s="1631"/>
    </row>
    <row r="372" spans="2:2" s="1623" customFormat="1" x14ac:dyDescent="0.2">
      <c r="B372" s="1631"/>
    </row>
    <row r="373" spans="2:2" s="1623" customFormat="1" x14ac:dyDescent="0.2">
      <c r="B373" s="1631"/>
    </row>
    <row r="374" spans="2:2" s="1623" customFormat="1" x14ac:dyDescent="0.2">
      <c r="B374" s="1631"/>
    </row>
    <row r="375" spans="2:2" s="1623" customFormat="1" x14ac:dyDescent="0.2">
      <c r="B375" s="1631"/>
    </row>
    <row r="376" spans="2:2" s="1623" customFormat="1" x14ac:dyDescent="0.2">
      <c r="B376" s="1631"/>
    </row>
    <row r="377" spans="2:2" s="1623" customFormat="1" x14ac:dyDescent="0.2">
      <c r="B377" s="1631"/>
    </row>
    <row r="378" spans="2:2" s="1623" customFormat="1" x14ac:dyDescent="0.2">
      <c r="B378" s="1631"/>
    </row>
    <row r="379" spans="2:2" s="1623" customFormat="1" x14ac:dyDescent="0.2">
      <c r="B379" s="1631"/>
    </row>
    <row r="380" spans="2:2" s="1623" customFormat="1" x14ac:dyDescent="0.2">
      <c r="B380" s="1631"/>
    </row>
    <row r="381" spans="2:2" s="1623" customFormat="1" x14ac:dyDescent="0.2">
      <c r="B381" s="1631"/>
    </row>
    <row r="382" spans="2:2" s="1623" customFormat="1" x14ac:dyDescent="0.2">
      <c r="B382" s="1631"/>
    </row>
    <row r="383" spans="2:2" s="1623" customFormat="1" x14ac:dyDescent="0.2">
      <c r="B383" s="1631"/>
    </row>
    <row r="384" spans="2:2" s="1623" customFormat="1" x14ac:dyDescent="0.2">
      <c r="B384" s="1631"/>
    </row>
    <row r="385" spans="2:2" s="1623" customFormat="1" x14ac:dyDescent="0.2">
      <c r="B385" s="1631"/>
    </row>
    <row r="386" spans="2:2" s="1623" customFormat="1" x14ac:dyDescent="0.2">
      <c r="B386" s="1631"/>
    </row>
    <row r="387" spans="2:2" s="1623" customFormat="1" x14ac:dyDescent="0.2">
      <c r="B387" s="1631"/>
    </row>
    <row r="388" spans="2:2" s="1623" customFormat="1" x14ac:dyDescent="0.2">
      <c r="B388" s="1631"/>
    </row>
    <row r="389" spans="2:2" s="1623" customFormat="1" x14ac:dyDescent="0.2">
      <c r="B389" s="1631"/>
    </row>
    <row r="390" spans="2:2" s="1623" customFormat="1" x14ac:dyDescent="0.2">
      <c r="B390" s="1631"/>
    </row>
    <row r="391" spans="2:2" s="1623" customFormat="1" x14ac:dyDescent="0.2">
      <c r="B391" s="1631"/>
    </row>
    <row r="392" spans="2:2" s="1623" customFormat="1" x14ac:dyDescent="0.2">
      <c r="B392" s="1631"/>
    </row>
    <row r="393" spans="2:2" s="1623" customFormat="1" x14ac:dyDescent="0.2">
      <c r="B393" s="1631"/>
    </row>
    <row r="394" spans="2:2" s="1623" customFormat="1" x14ac:dyDescent="0.2">
      <c r="B394" s="1631"/>
    </row>
    <row r="395" spans="2:2" s="1623" customFormat="1" x14ac:dyDescent="0.2">
      <c r="B395" s="1631"/>
    </row>
    <row r="396" spans="2:2" s="1623" customFormat="1" x14ac:dyDescent="0.2">
      <c r="B396" s="1631"/>
    </row>
    <row r="397" spans="2:2" s="1623" customFormat="1" x14ac:dyDescent="0.2">
      <c r="B397" s="1631"/>
    </row>
    <row r="398" spans="2:2" s="1623" customFormat="1" x14ac:dyDescent="0.2">
      <c r="B398" s="1631"/>
    </row>
    <row r="399" spans="2:2" s="1623" customFormat="1" x14ac:dyDescent="0.2">
      <c r="B399" s="1631"/>
    </row>
    <row r="400" spans="2:2" s="1623" customFormat="1" x14ac:dyDescent="0.2">
      <c r="B400" s="1631"/>
    </row>
    <row r="401" spans="2:2" s="1623" customFormat="1" x14ac:dyDescent="0.2">
      <c r="B401" s="1631"/>
    </row>
    <row r="402" spans="2:2" s="1623" customFormat="1" x14ac:dyDescent="0.2">
      <c r="B402" s="1631"/>
    </row>
    <row r="403" spans="2:2" s="1623" customFormat="1" x14ac:dyDescent="0.2">
      <c r="B403" s="1631"/>
    </row>
    <row r="404" spans="2:2" s="1623" customFormat="1" x14ac:dyDescent="0.2">
      <c r="B404" s="1631"/>
    </row>
    <row r="405" spans="2:2" s="1623" customFormat="1" x14ac:dyDescent="0.2">
      <c r="B405" s="1631"/>
    </row>
    <row r="406" spans="2:2" s="1623" customFormat="1" x14ac:dyDescent="0.2">
      <c r="B406" s="1631"/>
    </row>
    <row r="407" spans="2:2" s="1623" customFormat="1" x14ac:dyDescent="0.2">
      <c r="B407" s="1631"/>
    </row>
    <row r="408" spans="2:2" s="1623" customFormat="1" x14ac:dyDescent="0.2">
      <c r="B408" s="1631"/>
    </row>
    <row r="409" spans="2:2" s="1623" customFormat="1" x14ac:dyDescent="0.2">
      <c r="B409" s="1631"/>
    </row>
    <row r="410" spans="2:2" s="1623" customFormat="1" x14ac:dyDescent="0.2">
      <c r="B410" s="1631"/>
    </row>
    <row r="411" spans="2:2" s="1623" customFormat="1" x14ac:dyDescent="0.2">
      <c r="B411" s="1631"/>
    </row>
    <row r="412" spans="2:2" s="1623" customFormat="1" x14ac:dyDescent="0.2">
      <c r="B412" s="1631"/>
    </row>
    <row r="413" spans="2:2" s="1623" customFormat="1" x14ac:dyDescent="0.2">
      <c r="B413" s="1631"/>
    </row>
    <row r="414" spans="2:2" s="1623" customFormat="1" x14ac:dyDescent="0.2">
      <c r="B414" s="1631"/>
    </row>
    <row r="415" spans="2:2" s="1623" customFormat="1" x14ac:dyDescent="0.2">
      <c r="B415" s="1631"/>
    </row>
    <row r="416" spans="2:2" s="1623" customFormat="1" x14ac:dyDescent="0.2">
      <c r="B416" s="1631"/>
    </row>
    <row r="417" spans="2:2" s="1623" customFormat="1" x14ac:dyDescent="0.2">
      <c r="B417" s="1631"/>
    </row>
    <row r="418" spans="2:2" s="1623" customFormat="1" x14ac:dyDescent="0.2">
      <c r="B418" s="1631"/>
    </row>
    <row r="419" spans="2:2" s="1623" customFormat="1" x14ac:dyDescent="0.2">
      <c r="B419" s="1631"/>
    </row>
    <row r="420" spans="2:2" s="1623" customFormat="1" x14ac:dyDescent="0.2">
      <c r="B420" s="1631"/>
    </row>
    <row r="421" spans="2:2" s="1623" customFormat="1" x14ac:dyDescent="0.2">
      <c r="B421" s="1631"/>
    </row>
    <row r="422" spans="2:2" s="1623" customFormat="1" x14ac:dyDescent="0.2">
      <c r="B422" s="1631"/>
    </row>
    <row r="423" spans="2:2" s="1623" customFormat="1" x14ac:dyDescent="0.2">
      <c r="B423" s="1631"/>
    </row>
    <row r="424" spans="2:2" s="1623" customFormat="1" x14ac:dyDescent="0.2">
      <c r="B424" s="1631"/>
    </row>
    <row r="425" spans="2:2" s="1623" customFormat="1" x14ac:dyDescent="0.2">
      <c r="B425" s="1631"/>
    </row>
    <row r="426" spans="2:2" s="1623" customFormat="1" x14ac:dyDescent="0.2">
      <c r="B426" s="1631"/>
    </row>
    <row r="427" spans="2:2" s="1623" customFormat="1" x14ac:dyDescent="0.2">
      <c r="B427" s="1631"/>
    </row>
    <row r="428" spans="2:2" s="1623" customFormat="1" x14ac:dyDescent="0.2">
      <c r="B428" s="1631"/>
    </row>
    <row r="429" spans="2:2" s="1623" customFormat="1" x14ac:dyDescent="0.2">
      <c r="B429" s="1631"/>
    </row>
    <row r="430" spans="2:2" s="1623" customFormat="1" x14ac:dyDescent="0.2">
      <c r="B430" s="1631"/>
    </row>
    <row r="431" spans="2:2" s="1623" customFormat="1" x14ac:dyDescent="0.2">
      <c r="B431" s="1631"/>
    </row>
    <row r="432" spans="2:2" s="1623" customFormat="1" x14ac:dyDescent="0.2">
      <c r="B432" s="1631"/>
    </row>
    <row r="433" spans="2:2" s="1623" customFormat="1" x14ac:dyDescent="0.2">
      <c r="B433" s="1631"/>
    </row>
    <row r="434" spans="2:2" s="1623" customFormat="1" x14ac:dyDescent="0.2">
      <c r="B434" s="1631"/>
    </row>
    <row r="435" spans="2:2" s="1623" customFormat="1" x14ac:dyDescent="0.2">
      <c r="B435" s="1631"/>
    </row>
    <row r="436" spans="2:2" s="1623" customFormat="1" x14ac:dyDescent="0.2">
      <c r="B436" s="1631"/>
    </row>
    <row r="437" spans="2:2" s="1623" customFormat="1" x14ac:dyDescent="0.2">
      <c r="B437" s="1631"/>
    </row>
    <row r="438" spans="2:2" s="1623" customFormat="1" x14ac:dyDescent="0.2">
      <c r="B438" s="1631"/>
    </row>
    <row r="439" spans="2:2" s="1623" customFormat="1" x14ac:dyDescent="0.2">
      <c r="B439" s="1631"/>
    </row>
    <row r="440" spans="2:2" s="1623" customFormat="1" x14ac:dyDescent="0.2">
      <c r="B440" s="1631"/>
    </row>
    <row r="441" spans="2:2" s="1623" customFormat="1" x14ac:dyDescent="0.2">
      <c r="B441" s="1631"/>
    </row>
    <row r="442" spans="2:2" s="1623" customFormat="1" x14ac:dyDescent="0.2">
      <c r="B442" s="1631"/>
    </row>
    <row r="443" spans="2:2" s="1623" customFormat="1" x14ac:dyDescent="0.2">
      <c r="B443" s="1631"/>
    </row>
    <row r="444" spans="2:2" s="1623" customFormat="1" x14ac:dyDescent="0.2">
      <c r="B444" s="1631"/>
    </row>
    <row r="445" spans="2:2" s="1623" customFormat="1" x14ac:dyDescent="0.2">
      <c r="B445" s="1631"/>
    </row>
    <row r="446" spans="2:2" s="1623" customFormat="1" x14ac:dyDescent="0.2">
      <c r="B446" s="1631"/>
    </row>
    <row r="447" spans="2:2" s="1623" customFormat="1" x14ac:dyDescent="0.2">
      <c r="B447" s="1631"/>
    </row>
    <row r="448" spans="2:2" s="1623" customFormat="1" x14ac:dyDescent="0.2">
      <c r="B448" s="1631"/>
    </row>
    <row r="449" spans="2:2" s="1623" customFormat="1" x14ac:dyDescent="0.2">
      <c r="B449" s="1631"/>
    </row>
    <row r="450" spans="2:2" s="1623" customFormat="1" x14ac:dyDescent="0.2">
      <c r="B450" s="1631"/>
    </row>
    <row r="451" spans="2:2" s="1623" customFormat="1" x14ac:dyDescent="0.2">
      <c r="B451" s="1631"/>
    </row>
    <row r="452" spans="2:2" s="1623" customFormat="1" x14ac:dyDescent="0.2">
      <c r="B452" s="1631"/>
    </row>
    <row r="453" spans="2:2" s="1623" customFormat="1" x14ac:dyDescent="0.2">
      <c r="B453" s="1631"/>
    </row>
    <row r="454" spans="2:2" s="1623" customFormat="1" x14ac:dyDescent="0.2">
      <c r="B454" s="1631"/>
    </row>
    <row r="455" spans="2:2" s="1623" customFormat="1" x14ac:dyDescent="0.2">
      <c r="B455" s="1631"/>
    </row>
    <row r="456" spans="2:2" s="1623" customFormat="1" x14ac:dyDescent="0.2">
      <c r="B456" s="1631"/>
    </row>
    <row r="457" spans="2:2" s="1623" customFormat="1" x14ac:dyDescent="0.2">
      <c r="B457" s="1631"/>
    </row>
    <row r="458" spans="2:2" s="1623" customFormat="1" x14ac:dyDescent="0.2">
      <c r="B458" s="1631"/>
    </row>
    <row r="459" spans="2:2" s="1623" customFormat="1" x14ac:dyDescent="0.2">
      <c r="B459" s="1631"/>
    </row>
    <row r="460" spans="2:2" s="1623" customFormat="1" x14ac:dyDescent="0.2">
      <c r="B460" s="1631"/>
    </row>
    <row r="461" spans="2:2" s="1623" customFormat="1" x14ac:dyDescent="0.2">
      <c r="B461" s="1631"/>
    </row>
    <row r="462" spans="2:2" s="1623" customFormat="1" x14ac:dyDescent="0.2">
      <c r="B462" s="1631"/>
    </row>
    <row r="463" spans="2:2" s="1623" customFormat="1" x14ac:dyDescent="0.2">
      <c r="B463" s="1631"/>
    </row>
    <row r="464" spans="2:2" s="1623" customFormat="1" x14ac:dyDescent="0.2">
      <c r="B464" s="1631"/>
    </row>
    <row r="465" spans="2:2" s="1623" customFormat="1" x14ac:dyDescent="0.2">
      <c r="B465" s="1631"/>
    </row>
    <row r="466" spans="2:2" s="1623" customFormat="1" x14ac:dyDescent="0.2">
      <c r="B466" s="1631"/>
    </row>
    <row r="467" spans="2:2" s="1623" customFormat="1" x14ac:dyDescent="0.2">
      <c r="B467" s="1631"/>
    </row>
    <row r="468" spans="2:2" s="1623" customFormat="1" x14ac:dyDescent="0.2">
      <c r="B468" s="1631"/>
    </row>
    <row r="469" spans="2:2" s="1623" customFormat="1" x14ac:dyDescent="0.2">
      <c r="B469" s="1631"/>
    </row>
    <row r="470" spans="2:2" s="1623" customFormat="1" x14ac:dyDescent="0.2">
      <c r="B470" s="1631"/>
    </row>
    <row r="471" spans="2:2" s="1623" customFormat="1" x14ac:dyDescent="0.2">
      <c r="B471" s="1631"/>
    </row>
    <row r="472" spans="2:2" s="1623" customFormat="1" x14ac:dyDescent="0.2">
      <c r="B472" s="1631"/>
    </row>
    <row r="473" spans="2:2" s="1623" customFormat="1" x14ac:dyDescent="0.2">
      <c r="B473" s="1631"/>
    </row>
    <row r="474" spans="2:2" s="1623" customFormat="1" x14ac:dyDescent="0.2">
      <c r="B474" s="1631"/>
    </row>
    <row r="475" spans="2:2" s="1623" customFormat="1" x14ac:dyDescent="0.2">
      <c r="B475" s="1631"/>
    </row>
    <row r="476" spans="2:2" s="1623" customFormat="1" x14ac:dyDescent="0.2">
      <c r="B476" s="1631"/>
    </row>
    <row r="477" spans="2:2" s="1623" customFormat="1" x14ac:dyDescent="0.2">
      <c r="B477" s="1631"/>
    </row>
    <row r="478" spans="2:2" s="1623" customFormat="1" x14ac:dyDescent="0.2">
      <c r="B478" s="1631"/>
    </row>
    <row r="479" spans="2:2" s="1623" customFormat="1" x14ac:dyDescent="0.2">
      <c r="B479" s="1631"/>
    </row>
    <row r="480" spans="2:2" s="1623" customFormat="1" x14ac:dyDescent="0.2">
      <c r="B480" s="1631"/>
    </row>
    <row r="481" spans="2:2" s="1623" customFormat="1" x14ac:dyDescent="0.2">
      <c r="B481" s="1631"/>
    </row>
    <row r="482" spans="2:2" s="1623" customFormat="1" x14ac:dyDescent="0.2">
      <c r="B482" s="1631"/>
    </row>
    <row r="483" spans="2:2" s="1623" customFormat="1" x14ac:dyDescent="0.2">
      <c r="B483" s="1631"/>
    </row>
    <row r="484" spans="2:2" s="1623" customFormat="1" x14ac:dyDescent="0.2">
      <c r="B484" s="1631"/>
    </row>
    <row r="485" spans="2:2" s="1623" customFormat="1" x14ac:dyDescent="0.2">
      <c r="B485" s="1631"/>
    </row>
    <row r="486" spans="2:2" s="1623" customFormat="1" x14ac:dyDescent="0.2">
      <c r="B486" s="1631"/>
    </row>
    <row r="487" spans="2:2" s="1623" customFormat="1" x14ac:dyDescent="0.2">
      <c r="B487" s="1631"/>
    </row>
    <row r="488" spans="2:2" s="1623" customFormat="1" x14ac:dyDescent="0.2">
      <c r="B488" s="1631"/>
    </row>
    <row r="489" spans="2:2" s="1623" customFormat="1" x14ac:dyDescent="0.2">
      <c r="B489" s="1631"/>
    </row>
    <row r="490" spans="2:2" s="1623" customFormat="1" x14ac:dyDescent="0.2">
      <c r="B490" s="1631"/>
    </row>
    <row r="491" spans="2:2" s="1623" customFormat="1" x14ac:dyDescent="0.2">
      <c r="B491" s="1631"/>
    </row>
    <row r="492" spans="2:2" s="1623" customFormat="1" x14ac:dyDescent="0.2">
      <c r="B492" s="1631"/>
    </row>
    <row r="493" spans="2:2" s="1623" customFormat="1" x14ac:dyDescent="0.2">
      <c r="B493" s="1631"/>
    </row>
    <row r="494" spans="2:2" s="1623" customFormat="1" x14ac:dyDescent="0.2">
      <c r="B494" s="1631"/>
    </row>
    <row r="495" spans="2:2" s="1623" customFormat="1" x14ac:dyDescent="0.2">
      <c r="B495" s="1631"/>
    </row>
    <row r="496" spans="2:2" s="1623" customFormat="1" x14ac:dyDescent="0.2">
      <c r="B496" s="1631"/>
    </row>
    <row r="497" spans="2:2" s="1623" customFormat="1" x14ac:dyDescent="0.2">
      <c r="B497" s="1631"/>
    </row>
    <row r="498" spans="2:2" s="1623" customFormat="1" x14ac:dyDescent="0.2">
      <c r="B498" s="1631"/>
    </row>
    <row r="499" spans="2:2" s="1623" customFormat="1" x14ac:dyDescent="0.2">
      <c r="B499" s="1631"/>
    </row>
    <row r="500" spans="2:2" s="1623" customFormat="1" x14ac:dyDescent="0.2">
      <c r="B500" s="1631"/>
    </row>
    <row r="501" spans="2:2" s="1623" customFormat="1" x14ac:dyDescent="0.2">
      <c r="B501" s="1631"/>
    </row>
    <row r="502" spans="2:2" s="1623" customFormat="1" x14ac:dyDescent="0.2">
      <c r="B502" s="1631"/>
    </row>
    <row r="503" spans="2:2" s="1623" customFormat="1" x14ac:dyDescent="0.2">
      <c r="B503" s="1631"/>
    </row>
    <row r="504" spans="2:2" s="1623" customFormat="1" x14ac:dyDescent="0.2">
      <c r="B504" s="1631"/>
    </row>
    <row r="505" spans="2:2" s="1623" customFormat="1" x14ac:dyDescent="0.2">
      <c r="B505" s="1631"/>
    </row>
    <row r="506" spans="2:2" s="1623" customFormat="1" x14ac:dyDescent="0.2">
      <c r="B506" s="1631"/>
    </row>
    <row r="507" spans="2:2" s="1623" customFormat="1" x14ac:dyDescent="0.2">
      <c r="B507" s="1631"/>
    </row>
    <row r="508" spans="2:2" s="1623" customFormat="1" x14ac:dyDescent="0.2">
      <c r="B508" s="1631"/>
    </row>
    <row r="509" spans="2:2" s="1623" customFormat="1" x14ac:dyDescent="0.2">
      <c r="B509" s="1631"/>
    </row>
    <row r="510" spans="2:2" s="1623" customFormat="1" x14ac:dyDescent="0.2">
      <c r="B510" s="1631"/>
    </row>
    <row r="511" spans="2:2" s="1623" customFormat="1" x14ac:dyDescent="0.2">
      <c r="B511" s="1631"/>
    </row>
    <row r="512" spans="2:2" s="1623" customFormat="1" x14ac:dyDescent="0.2">
      <c r="B512" s="1631"/>
    </row>
    <row r="513" spans="2:2" s="1623" customFormat="1" x14ac:dyDescent="0.2">
      <c r="B513" s="1631"/>
    </row>
    <row r="514" spans="2:2" s="1623" customFormat="1" x14ac:dyDescent="0.2">
      <c r="B514" s="1631"/>
    </row>
    <row r="515" spans="2:2" s="1623" customFormat="1" x14ac:dyDescent="0.2">
      <c r="B515" s="1631"/>
    </row>
    <row r="516" spans="2:2" s="1623" customFormat="1" x14ac:dyDescent="0.2">
      <c r="B516" s="1631"/>
    </row>
    <row r="517" spans="2:2" s="1623" customFormat="1" x14ac:dyDescent="0.2">
      <c r="B517" s="1631"/>
    </row>
    <row r="518" spans="2:2" s="1623" customFormat="1" x14ac:dyDescent="0.2">
      <c r="B518" s="1631"/>
    </row>
    <row r="519" spans="2:2" s="1623" customFormat="1" x14ac:dyDescent="0.2">
      <c r="B519" s="1631"/>
    </row>
    <row r="520" spans="2:2" s="1623" customFormat="1" x14ac:dyDescent="0.2">
      <c r="B520" s="1631"/>
    </row>
    <row r="521" spans="2:2" s="1623" customFormat="1" x14ac:dyDescent="0.2">
      <c r="B521" s="1631"/>
    </row>
    <row r="522" spans="2:2" s="1623" customFormat="1" x14ac:dyDescent="0.2">
      <c r="B522" s="1631"/>
    </row>
    <row r="523" spans="2:2" s="1623" customFormat="1" x14ac:dyDescent="0.2">
      <c r="B523" s="1631"/>
    </row>
    <row r="524" spans="2:2" s="1623" customFormat="1" x14ac:dyDescent="0.2">
      <c r="B524" s="1631"/>
    </row>
    <row r="525" spans="2:2" s="1623" customFormat="1" x14ac:dyDescent="0.2">
      <c r="B525" s="1631"/>
    </row>
    <row r="526" spans="2:2" s="1623" customFormat="1" x14ac:dyDescent="0.2">
      <c r="B526" s="1631"/>
    </row>
    <row r="527" spans="2:2" s="1623" customFormat="1" x14ac:dyDescent="0.2">
      <c r="B527" s="1631"/>
    </row>
    <row r="528" spans="2:2" s="1623" customFormat="1" x14ac:dyDescent="0.2">
      <c r="B528" s="1631"/>
    </row>
    <row r="529" spans="2:2" s="1623" customFormat="1" x14ac:dyDescent="0.2">
      <c r="B529" s="1631"/>
    </row>
    <row r="530" spans="2:2" s="1623" customFormat="1" x14ac:dyDescent="0.2">
      <c r="B530" s="1631"/>
    </row>
    <row r="531" spans="2:2" s="1623" customFormat="1" x14ac:dyDescent="0.2">
      <c r="B531" s="1631"/>
    </row>
    <row r="532" spans="2:2" s="1623" customFormat="1" x14ac:dyDescent="0.2">
      <c r="B532" s="1631"/>
    </row>
    <row r="533" spans="2:2" s="1623" customFormat="1" x14ac:dyDescent="0.2">
      <c r="B533" s="1631"/>
    </row>
    <row r="534" spans="2:2" s="1623" customFormat="1" x14ac:dyDescent="0.2">
      <c r="B534" s="1631"/>
    </row>
    <row r="535" spans="2:2" s="1623" customFormat="1" x14ac:dyDescent="0.2">
      <c r="B535" s="1631"/>
    </row>
    <row r="536" spans="2:2" s="1623" customFormat="1" x14ac:dyDescent="0.2">
      <c r="B536" s="1631"/>
    </row>
    <row r="537" spans="2:2" s="1623" customFormat="1" x14ac:dyDescent="0.2">
      <c r="B537" s="1631"/>
    </row>
    <row r="538" spans="2:2" s="1623" customFormat="1" x14ac:dyDescent="0.2">
      <c r="B538" s="1631"/>
    </row>
    <row r="539" spans="2:2" s="1623" customFormat="1" x14ac:dyDescent="0.2">
      <c r="B539" s="1631"/>
    </row>
    <row r="540" spans="2:2" s="1623" customFormat="1" x14ac:dyDescent="0.2">
      <c r="B540" s="1631"/>
    </row>
    <row r="541" spans="2:2" s="1623" customFormat="1" x14ac:dyDescent="0.2">
      <c r="B541" s="1631"/>
    </row>
    <row r="542" spans="2:2" s="1623" customFormat="1" x14ac:dyDescent="0.2">
      <c r="B542" s="1631"/>
    </row>
    <row r="543" spans="2:2" s="1623" customFormat="1" x14ac:dyDescent="0.2">
      <c r="B543" s="1631"/>
    </row>
    <row r="544" spans="2:2" s="1623" customFormat="1" x14ac:dyDescent="0.2">
      <c r="B544" s="1631"/>
    </row>
    <row r="545" spans="2:2" s="1623" customFormat="1" x14ac:dyDescent="0.2">
      <c r="B545" s="1631"/>
    </row>
    <row r="546" spans="2:2" s="1623" customFormat="1" x14ac:dyDescent="0.2">
      <c r="B546" s="1631"/>
    </row>
    <row r="547" spans="2:2" s="1623" customFormat="1" x14ac:dyDescent="0.2">
      <c r="B547" s="1631"/>
    </row>
    <row r="548" spans="2:2" s="1623" customFormat="1" x14ac:dyDescent="0.2">
      <c r="B548" s="1631"/>
    </row>
    <row r="549" spans="2:2" s="1623" customFormat="1" x14ac:dyDescent="0.2">
      <c r="B549" s="1631"/>
    </row>
    <row r="550" spans="2:2" s="1623" customFormat="1" x14ac:dyDescent="0.2">
      <c r="B550" s="1631"/>
    </row>
    <row r="551" spans="2:2" s="1623" customFormat="1" x14ac:dyDescent="0.2">
      <c r="B551" s="1631"/>
    </row>
    <row r="552" spans="2:2" s="1623" customFormat="1" x14ac:dyDescent="0.2">
      <c r="B552" s="1631"/>
    </row>
    <row r="553" spans="2:2" s="1623" customFormat="1" x14ac:dyDescent="0.2">
      <c r="B553" s="1631"/>
    </row>
    <row r="554" spans="2:2" s="1623" customFormat="1" x14ac:dyDescent="0.2">
      <c r="B554" s="1631"/>
    </row>
    <row r="555" spans="2:2" s="1623" customFormat="1" x14ac:dyDescent="0.2">
      <c r="B555" s="1631"/>
    </row>
    <row r="556" spans="2:2" s="1623" customFormat="1" x14ac:dyDescent="0.2">
      <c r="B556" s="1631"/>
    </row>
    <row r="557" spans="2:2" s="1623" customFormat="1" x14ac:dyDescent="0.2">
      <c r="B557" s="1631"/>
    </row>
    <row r="558" spans="2:2" s="1623" customFormat="1" x14ac:dyDescent="0.2">
      <c r="B558" s="1631"/>
    </row>
    <row r="559" spans="2:2" s="1623" customFormat="1" x14ac:dyDescent="0.2">
      <c r="B559" s="1631"/>
    </row>
    <row r="560" spans="2:2" s="1623" customFormat="1" x14ac:dyDescent="0.2">
      <c r="B560" s="1631"/>
    </row>
    <row r="561" spans="2:2" s="1623" customFormat="1" x14ac:dyDescent="0.2">
      <c r="B561" s="1631"/>
    </row>
    <row r="562" spans="2:2" s="1623" customFormat="1" x14ac:dyDescent="0.2">
      <c r="B562" s="1631"/>
    </row>
    <row r="563" spans="2:2" s="1623" customFormat="1" x14ac:dyDescent="0.2">
      <c r="B563" s="1631"/>
    </row>
    <row r="564" spans="2:2" s="1623" customFormat="1" x14ac:dyDescent="0.2">
      <c r="B564" s="1631"/>
    </row>
    <row r="565" spans="2:2" s="1623" customFormat="1" x14ac:dyDescent="0.2">
      <c r="B565" s="1631"/>
    </row>
    <row r="566" spans="2:2" s="1623" customFormat="1" x14ac:dyDescent="0.2">
      <c r="B566" s="1631"/>
    </row>
    <row r="567" spans="2:2" s="1623" customFormat="1" x14ac:dyDescent="0.2">
      <c r="B567" s="1631"/>
    </row>
    <row r="568" spans="2:2" s="1623" customFormat="1" x14ac:dyDescent="0.2">
      <c r="B568" s="1631"/>
    </row>
    <row r="569" spans="2:2" s="1623" customFormat="1" x14ac:dyDescent="0.2">
      <c r="B569" s="1631"/>
    </row>
    <row r="570" spans="2:2" s="1623" customFormat="1" x14ac:dyDescent="0.2">
      <c r="B570" s="1631"/>
    </row>
    <row r="571" spans="2:2" s="1623" customFormat="1" x14ac:dyDescent="0.2">
      <c r="B571" s="1631"/>
    </row>
    <row r="572" spans="2:2" s="1623" customFormat="1" x14ac:dyDescent="0.2">
      <c r="B572" s="1631"/>
    </row>
    <row r="573" spans="2:2" s="1623" customFormat="1" x14ac:dyDescent="0.2">
      <c r="B573" s="1631"/>
    </row>
    <row r="574" spans="2:2" s="1623" customFormat="1" x14ac:dyDescent="0.2">
      <c r="B574" s="1631"/>
    </row>
    <row r="575" spans="2:2" s="1623" customFormat="1" x14ac:dyDescent="0.2">
      <c r="B575" s="1631"/>
    </row>
    <row r="576" spans="2:2" s="1623" customFormat="1" x14ac:dyDescent="0.2">
      <c r="B576" s="1631"/>
    </row>
    <row r="577" spans="2:2" s="1623" customFormat="1" x14ac:dyDescent="0.2">
      <c r="B577" s="1631"/>
    </row>
    <row r="578" spans="2:2" s="1623" customFormat="1" x14ac:dyDescent="0.2">
      <c r="B578" s="1631"/>
    </row>
    <row r="579" spans="2:2" s="1623" customFormat="1" x14ac:dyDescent="0.2">
      <c r="B579" s="1631"/>
    </row>
    <row r="580" spans="2:2" s="1623" customFormat="1" x14ac:dyDescent="0.2">
      <c r="B580" s="1631"/>
    </row>
    <row r="581" spans="2:2" s="1623" customFormat="1" x14ac:dyDescent="0.2">
      <c r="B581" s="1631"/>
    </row>
    <row r="582" spans="2:2" s="1623" customFormat="1" x14ac:dyDescent="0.2">
      <c r="B582" s="1631"/>
    </row>
    <row r="583" spans="2:2" s="1623" customFormat="1" x14ac:dyDescent="0.2">
      <c r="B583" s="1631"/>
    </row>
    <row r="584" spans="2:2" s="1623" customFormat="1" x14ac:dyDescent="0.2">
      <c r="B584" s="1631"/>
    </row>
    <row r="585" spans="2:2" s="1623" customFormat="1" x14ac:dyDescent="0.2">
      <c r="B585" s="1631"/>
    </row>
    <row r="586" spans="2:2" s="1623" customFormat="1" x14ac:dyDescent="0.2">
      <c r="B586" s="1631"/>
    </row>
    <row r="587" spans="2:2" s="1623" customFormat="1" x14ac:dyDescent="0.2">
      <c r="B587" s="1631"/>
    </row>
    <row r="588" spans="2:2" s="1623" customFormat="1" x14ac:dyDescent="0.2">
      <c r="B588" s="1631"/>
    </row>
    <row r="589" spans="2:2" s="1623" customFormat="1" x14ac:dyDescent="0.2">
      <c r="B589" s="1631"/>
    </row>
    <row r="590" spans="2:2" s="1623" customFormat="1" x14ac:dyDescent="0.2">
      <c r="B590" s="1631"/>
    </row>
    <row r="591" spans="2:2" s="1623" customFormat="1" x14ac:dyDescent="0.2">
      <c r="B591" s="1631"/>
    </row>
    <row r="592" spans="2:2" s="1623" customFormat="1" x14ac:dyDescent="0.2">
      <c r="B592" s="1631"/>
    </row>
    <row r="593" spans="2:2" s="1623" customFormat="1" x14ac:dyDescent="0.2">
      <c r="B593" s="1631"/>
    </row>
    <row r="594" spans="2:2" s="1623" customFormat="1" x14ac:dyDescent="0.2">
      <c r="B594" s="1631"/>
    </row>
    <row r="595" spans="2:2" s="1623" customFormat="1" x14ac:dyDescent="0.2">
      <c r="B595" s="1631"/>
    </row>
    <row r="596" spans="2:2" s="1623" customFormat="1" x14ac:dyDescent="0.2">
      <c r="B596" s="1631"/>
    </row>
    <row r="597" spans="2:2" s="1623" customFormat="1" x14ac:dyDescent="0.2">
      <c r="B597" s="1631"/>
    </row>
    <row r="598" spans="2:2" s="1623" customFormat="1" x14ac:dyDescent="0.2">
      <c r="B598" s="1631"/>
    </row>
    <row r="599" spans="2:2" s="1623" customFormat="1" x14ac:dyDescent="0.2">
      <c r="B599" s="1631"/>
    </row>
    <row r="600" spans="2:2" s="1623" customFormat="1" x14ac:dyDescent="0.2">
      <c r="B600" s="1631"/>
    </row>
    <row r="601" spans="2:2" s="1623" customFormat="1" x14ac:dyDescent="0.2">
      <c r="B601" s="1631"/>
    </row>
    <row r="602" spans="2:2" s="1623" customFormat="1" x14ac:dyDescent="0.2">
      <c r="B602" s="1631"/>
    </row>
    <row r="603" spans="2:2" s="1623" customFormat="1" x14ac:dyDescent="0.2">
      <c r="B603" s="1631"/>
    </row>
    <row r="604" spans="2:2" s="1623" customFormat="1" x14ac:dyDescent="0.2">
      <c r="B604" s="1631"/>
    </row>
    <row r="605" spans="2:2" s="1623" customFormat="1" x14ac:dyDescent="0.2">
      <c r="B605" s="1631"/>
    </row>
    <row r="606" spans="2:2" s="1623" customFormat="1" x14ac:dyDescent="0.2">
      <c r="B606" s="1631"/>
    </row>
    <row r="607" spans="2:2" s="1623" customFormat="1" x14ac:dyDescent="0.2">
      <c r="B607" s="1631"/>
    </row>
    <row r="608" spans="2:2" s="1623" customFormat="1" x14ac:dyDescent="0.2">
      <c r="B608" s="1631"/>
    </row>
    <row r="609" spans="2:2" s="1623" customFormat="1" x14ac:dyDescent="0.2">
      <c r="B609" s="1631"/>
    </row>
    <row r="610" spans="2:2" s="1623" customFormat="1" x14ac:dyDescent="0.2">
      <c r="B610" s="1631"/>
    </row>
    <row r="611" spans="2:2" s="1623" customFormat="1" x14ac:dyDescent="0.2">
      <c r="B611" s="1631"/>
    </row>
    <row r="612" spans="2:2" s="1623" customFormat="1" x14ac:dyDescent="0.2">
      <c r="B612" s="1631"/>
    </row>
    <row r="613" spans="2:2" s="1623" customFormat="1" x14ac:dyDescent="0.2">
      <c r="B613" s="1631"/>
    </row>
    <row r="614" spans="2:2" s="1623" customFormat="1" x14ac:dyDescent="0.2">
      <c r="B614" s="1631"/>
    </row>
    <row r="615" spans="2:2" s="1623" customFormat="1" x14ac:dyDescent="0.2">
      <c r="B615" s="1631"/>
    </row>
    <row r="616" spans="2:2" s="1623" customFormat="1" x14ac:dyDescent="0.2">
      <c r="B616" s="1631"/>
    </row>
    <row r="617" spans="2:2" s="1623" customFormat="1" x14ac:dyDescent="0.2">
      <c r="B617" s="1631"/>
    </row>
    <row r="618" spans="2:2" s="1623" customFormat="1" x14ac:dyDescent="0.2">
      <c r="B618" s="1631"/>
    </row>
    <row r="619" spans="2:2" s="1623" customFormat="1" x14ac:dyDescent="0.2">
      <c r="B619" s="1631"/>
    </row>
    <row r="620" spans="2:2" s="1623" customFormat="1" x14ac:dyDescent="0.2">
      <c r="B620" s="1631"/>
    </row>
    <row r="621" spans="2:2" s="1623" customFormat="1" x14ac:dyDescent="0.2">
      <c r="B621" s="1631"/>
    </row>
    <row r="622" spans="2:2" s="1623" customFormat="1" x14ac:dyDescent="0.2">
      <c r="B622" s="1631"/>
    </row>
    <row r="623" spans="2:2" s="1623" customFormat="1" x14ac:dyDescent="0.2">
      <c r="B623" s="1631"/>
    </row>
    <row r="624" spans="2:2" s="1623" customFormat="1" x14ac:dyDescent="0.2">
      <c r="B624" s="1631"/>
    </row>
    <row r="625" spans="2:2" s="1623" customFormat="1" x14ac:dyDescent="0.2">
      <c r="B625" s="1631"/>
    </row>
    <row r="626" spans="2:2" s="1623" customFormat="1" x14ac:dyDescent="0.2">
      <c r="B626" s="1631"/>
    </row>
    <row r="627" spans="2:2" s="1623" customFormat="1" x14ac:dyDescent="0.2">
      <c r="B627" s="1631"/>
    </row>
    <row r="628" spans="2:2" s="1623" customFormat="1" x14ac:dyDescent="0.2">
      <c r="B628" s="1631"/>
    </row>
    <row r="629" spans="2:2" s="1623" customFormat="1" x14ac:dyDescent="0.2">
      <c r="B629" s="1631"/>
    </row>
    <row r="630" spans="2:2" s="1623" customFormat="1" x14ac:dyDescent="0.2">
      <c r="B630" s="1631"/>
    </row>
    <row r="631" spans="2:2" s="1623" customFormat="1" x14ac:dyDescent="0.2">
      <c r="B631" s="1631"/>
    </row>
    <row r="632" spans="2:2" s="1623" customFormat="1" x14ac:dyDescent="0.2">
      <c r="B632" s="1631"/>
    </row>
    <row r="633" spans="2:2" s="1623" customFormat="1" x14ac:dyDescent="0.2">
      <c r="B633" s="1631"/>
    </row>
    <row r="634" spans="2:2" s="1623" customFormat="1" x14ac:dyDescent="0.2">
      <c r="B634" s="1631"/>
    </row>
    <row r="635" spans="2:2" s="1623" customFormat="1" x14ac:dyDescent="0.2">
      <c r="B635" s="1631"/>
    </row>
    <row r="636" spans="2:2" s="1623" customFormat="1" x14ac:dyDescent="0.2">
      <c r="B636" s="1631"/>
    </row>
    <row r="637" spans="2:2" s="1623" customFormat="1" x14ac:dyDescent="0.2">
      <c r="B637" s="1631"/>
    </row>
    <row r="638" spans="2:2" s="1623" customFormat="1" x14ac:dyDescent="0.2">
      <c r="B638" s="1631"/>
    </row>
    <row r="639" spans="2:2" s="1623" customFormat="1" x14ac:dyDescent="0.2">
      <c r="B639" s="1631"/>
    </row>
    <row r="640" spans="2:2" s="1623" customFormat="1" x14ac:dyDescent="0.2">
      <c r="B640" s="1631"/>
    </row>
    <row r="641" spans="2:2" s="1623" customFormat="1" x14ac:dyDescent="0.2">
      <c r="B641" s="1631"/>
    </row>
    <row r="642" spans="2:2" s="1623" customFormat="1" x14ac:dyDescent="0.2">
      <c r="B642" s="1631"/>
    </row>
    <row r="643" spans="2:2" s="1623" customFormat="1" x14ac:dyDescent="0.2">
      <c r="B643" s="1631"/>
    </row>
    <row r="644" spans="2:2" s="1623" customFormat="1" x14ac:dyDescent="0.2">
      <c r="B644" s="1631"/>
    </row>
    <row r="645" spans="2:2" s="1623" customFormat="1" x14ac:dyDescent="0.2">
      <c r="B645" s="1631"/>
    </row>
    <row r="646" spans="2:2" s="1623" customFormat="1" x14ac:dyDescent="0.2">
      <c r="B646" s="1631"/>
    </row>
    <row r="647" spans="2:2" s="1623" customFormat="1" x14ac:dyDescent="0.2">
      <c r="B647" s="1631"/>
    </row>
    <row r="648" spans="2:2" s="1623" customFormat="1" x14ac:dyDescent="0.2">
      <c r="B648" s="1631"/>
    </row>
    <row r="649" spans="2:2" s="1623" customFormat="1" x14ac:dyDescent="0.2">
      <c r="B649" s="1631"/>
    </row>
    <row r="650" spans="2:2" s="1623" customFormat="1" x14ac:dyDescent="0.2">
      <c r="B650" s="1631"/>
    </row>
    <row r="651" spans="2:2" s="1623" customFormat="1" x14ac:dyDescent="0.2">
      <c r="B651" s="1631"/>
    </row>
    <row r="652" spans="2:2" s="1623" customFormat="1" x14ac:dyDescent="0.2">
      <c r="B652" s="1631"/>
    </row>
    <row r="653" spans="2:2" s="1623" customFormat="1" x14ac:dyDescent="0.2">
      <c r="B653" s="1631"/>
    </row>
    <row r="654" spans="2:2" s="1623" customFormat="1" x14ac:dyDescent="0.2">
      <c r="B654" s="1631"/>
    </row>
    <row r="655" spans="2:2" s="1623" customFormat="1" x14ac:dyDescent="0.2">
      <c r="B655" s="1631"/>
    </row>
    <row r="656" spans="2:2" s="1623" customFormat="1" x14ac:dyDescent="0.2">
      <c r="B656" s="1631"/>
    </row>
    <row r="657" spans="2:2" s="1623" customFormat="1" x14ac:dyDescent="0.2">
      <c r="B657" s="1631"/>
    </row>
    <row r="658" spans="2:2" s="1623" customFormat="1" x14ac:dyDescent="0.2">
      <c r="B658" s="1631"/>
    </row>
    <row r="659" spans="2:2" s="1623" customFormat="1" x14ac:dyDescent="0.2">
      <c r="B659" s="1631"/>
    </row>
    <row r="660" spans="2:2" s="1623" customFormat="1" x14ac:dyDescent="0.2">
      <c r="B660" s="1631"/>
    </row>
    <row r="661" spans="2:2" s="1623" customFormat="1" x14ac:dyDescent="0.2">
      <c r="B661" s="1631"/>
    </row>
    <row r="662" spans="2:2" s="1623" customFormat="1" x14ac:dyDescent="0.2">
      <c r="B662" s="1631"/>
    </row>
    <row r="663" spans="2:2" s="1623" customFormat="1" x14ac:dyDescent="0.2">
      <c r="B663" s="1631"/>
    </row>
    <row r="664" spans="2:2" s="1623" customFormat="1" x14ac:dyDescent="0.2">
      <c r="B664" s="1631"/>
    </row>
    <row r="665" spans="2:2" s="1623" customFormat="1" x14ac:dyDescent="0.2">
      <c r="B665" s="1631"/>
    </row>
    <row r="666" spans="2:2" s="1623" customFormat="1" x14ac:dyDescent="0.2">
      <c r="B666" s="1631"/>
    </row>
    <row r="667" spans="2:2" s="1623" customFormat="1" x14ac:dyDescent="0.2">
      <c r="B667" s="1631"/>
    </row>
    <row r="668" spans="2:2" s="1623" customFormat="1" x14ac:dyDescent="0.2">
      <c r="B668" s="1631"/>
    </row>
    <row r="669" spans="2:2" s="1623" customFormat="1" x14ac:dyDescent="0.2">
      <c r="B669" s="1631"/>
    </row>
    <row r="670" spans="2:2" s="1623" customFormat="1" x14ac:dyDescent="0.2">
      <c r="B670" s="1631"/>
    </row>
    <row r="671" spans="2:2" s="1623" customFormat="1" x14ac:dyDescent="0.2">
      <c r="B671" s="1631"/>
    </row>
    <row r="672" spans="2:2" s="1623" customFormat="1" x14ac:dyDescent="0.2">
      <c r="B672" s="1631"/>
    </row>
    <row r="673" spans="2:2" s="1623" customFormat="1" x14ac:dyDescent="0.2">
      <c r="B673" s="1631"/>
    </row>
    <row r="674" spans="2:2" s="1623" customFormat="1" x14ac:dyDescent="0.2">
      <c r="B674" s="1631"/>
    </row>
    <row r="675" spans="2:2" s="1623" customFormat="1" x14ac:dyDescent="0.2">
      <c r="B675" s="1631"/>
    </row>
    <row r="676" spans="2:2" s="1623" customFormat="1" x14ac:dyDescent="0.2">
      <c r="B676" s="1631"/>
    </row>
    <row r="677" spans="2:2" s="1623" customFormat="1" x14ac:dyDescent="0.2">
      <c r="B677" s="1631"/>
    </row>
    <row r="678" spans="2:2" s="1623" customFormat="1" x14ac:dyDescent="0.2">
      <c r="B678" s="1631"/>
    </row>
    <row r="679" spans="2:2" s="1623" customFormat="1" x14ac:dyDescent="0.2">
      <c r="B679" s="1631"/>
    </row>
    <row r="680" spans="2:2" s="1623" customFormat="1" x14ac:dyDescent="0.2">
      <c r="B680" s="1631"/>
    </row>
    <row r="681" spans="2:2" s="1623" customFormat="1" x14ac:dyDescent="0.2">
      <c r="B681" s="1631"/>
    </row>
    <row r="682" spans="2:2" s="1623" customFormat="1" x14ac:dyDescent="0.2">
      <c r="B682" s="1631"/>
    </row>
    <row r="683" spans="2:2" s="1623" customFormat="1" x14ac:dyDescent="0.2">
      <c r="B683" s="1631"/>
    </row>
    <row r="684" spans="2:2" s="1623" customFormat="1" x14ac:dyDescent="0.2">
      <c r="B684" s="1631"/>
    </row>
    <row r="685" spans="2:2" s="1623" customFormat="1" x14ac:dyDescent="0.2">
      <c r="B685" s="1631"/>
    </row>
    <row r="686" spans="2:2" s="1623" customFormat="1" x14ac:dyDescent="0.2">
      <c r="B686" s="1631"/>
    </row>
    <row r="687" spans="2:2" s="1623" customFormat="1" x14ac:dyDescent="0.2">
      <c r="B687" s="1631"/>
    </row>
    <row r="688" spans="2:2" s="1623" customFormat="1" x14ac:dyDescent="0.2">
      <c r="B688" s="1631"/>
    </row>
    <row r="689" spans="2:2" s="1623" customFormat="1" x14ac:dyDescent="0.2">
      <c r="B689" s="1631"/>
    </row>
    <row r="690" spans="2:2" s="1623" customFormat="1" x14ac:dyDescent="0.2">
      <c r="B690" s="1631"/>
    </row>
    <row r="691" spans="2:2" s="1623" customFormat="1" x14ac:dyDescent="0.2">
      <c r="B691" s="1631"/>
    </row>
    <row r="692" spans="2:2" s="1623" customFormat="1" x14ac:dyDescent="0.2">
      <c r="B692" s="1631"/>
    </row>
    <row r="693" spans="2:2" s="1623" customFormat="1" x14ac:dyDescent="0.2">
      <c r="B693" s="1631"/>
    </row>
    <row r="694" spans="2:2" s="1623" customFormat="1" x14ac:dyDescent="0.2">
      <c r="B694" s="1631"/>
    </row>
    <row r="695" spans="2:2" s="1623" customFormat="1" x14ac:dyDescent="0.2">
      <c r="B695" s="1631"/>
    </row>
    <row r="696" spans="2:2" s="1623" customFormat="1" x14ac:dyDescent="0.2">
      <c r="B696" s="1631"/>
    </row>
    <row r="697" spans="2:2" s="1623" customFormat="1" x14ac:dyDescent="0.2">
      <c r="B697" s="1631"/>
    </row>
    <row r="698" spans="2:2" s="1623" customFormat="1" x14ac:dyDescent="0.2">
      <c r="B698" s="1631"/>
    </row>
    <row r="699" spans="2:2" s="1623" customFormat="1" x14ac:dyDescent="0.2">
      <c r="B699" s="1631"/>
    </row>
    <row r="700" spans="2:2" s="1623" customFormat="1" x14ac:dyDescent="0.2">
      <c r="B700" s="1631"/>
    </row>
    <row r="701" spans="2:2" s="1623" customFormat="1" x14ac:dyDescent="0.2">
      <c r="B701" s="1631"/>
    </row>
    <row r="702" spans="2:2" s="1623" customFormat="1" x14ac:dyDescent="0.2">
      <c r="B702" s="1631"/>
    </row>
    <row r="703" spans="2:2" s="1623" customFormat="1" x14ac:dyDescent="0.2">
      <c r="B703" s="1631"/>
    </row>
    <row r="704" spans="2:2" s="1623" customFormat="1" x14ac:dyDescent="0.2">
      <c r="B704" s="1631"/>
    </row>
    <row r="705" spans="2:2" s="1623" customFormat="1" x14ac:dyDescent="0.2">
      <c r="B705" s="1631"/>
    </row>
    <row r="706" spans="2:2" s="1623" customFormat="1" x14ac:dyDescent="0.2">
      <c r="B706" s="1631"/>
    </row>
  </sheetData>
  <sheetProtection sheet="1" objects="1" scenarios="1"/>
  <mergeCells count="3">
    <mergeCell ref="K14:N14"/>
    <mergeCell ref="O14:R14"/>
    <mergeCell ref="Z14:AC14"/>
  </mergeCells>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
    <tabColor theme="9"/>
  </sheetPr>
  <dimension ref="A2:AJ76"/>
  <sheetViews>
    <sheetView showGridLines="0" topLeftCell="C1" zoomScale="85" zoomScaleNormal="85" zoomScaleSheetLayoutView="70" zoomScalePageLayoutView="85" workbookViewId="0">
      <selection activeCell="G6" sqref="G6:G24"/>
    </sheetView>
  </sheetViews>
  <sheetFormatPr baseColWidth="10" defaultColWidth="12" defaultRowHeight="12.75" x14ac:dyDescent="0.2"/>
  <cols>
    <col min="1" max="1" width="5.1640625" style="260" customWidth="1"/>
    <col min="2" max="2" width="13" style="260" customWidth="1"/>
    <col min="3" max="3" width="23.33203125" style="260" customWidth="1"/>
    <col min="4" max="4" width="13.83203125" style="260" customWidth="1"/>
    <col min="5" max="5" width="15.6640625" style="260" bestFit="1" customWidth="1"/>
    <col min="6" max="6" width="16.83203125" style="260" bestFit="1" customWidth="1"/>
    <col min="7" max="7" width="15.6640625" style="260" bestFit="1" customWidth="1"/>
    <col min="8" max="8" width="17.33203125" style="260" customWidth="1"/>
    <col min="9" max="9" width="15.6640625" style="260" bestFit="1" customWidth="1"/>
    <col min="10" max="10" width="12.33203125" style="260" bestFit="1" customWidth="1"/>
    <col min="11" max="11" width="15.6640625" style="260" bestFit="1" customWidth="1"/>
    <col min="12" max="12" width="21.33203125" style="260" bestFit="1" customWidth="1"/>
    <col min="13" max="13" width="15.6640625" style="260" bestFit="1" customWidth="1"/>
    <col min="14" max="14" width="14" style="260" customWidth="1"/>
    <col min="15" max="15" width="14" style="260" bestFit="1" customWidth="1"/>
    <col min="16" max="16" width="21.83203125" style="260" bestFit="1" customWidth="1"/>
    <col min="17" max="23" width="13.83203125" style="260" customWidth="1"/>
    <col min="24" max="25" width="12.6640625" style="260" bestFit="1" customWidth="1"/>
    <col min="26" max="26" width="12.5" style="260" bestFit="1" customWidth="1"/>
    <col min="27" max="27" width="18.6640625" style="260" bestFit="1" customWidth="1"/>
    <col min="28" max="28" width="13" style="260" bestFit="1" customWidth="1"/>
    <col min="29" max="29" width="12.5" style="260" bestFit="1" customWidth="1"/>
    <col min="30" max="30" width="13" style="260" bestFit="1" customWidth="1"/>
    <col min="31" max="31" width="20" style="260" bestFit="1" customWidth="1"/>
    <col min="32" max="32" width="12.83203125" style="260" bestFit="1" customWidth="1"/>
    <col min="33" max="33" width="12.5" style="260" bestFit="1" customWidth="1"/>
    <col min="34" max="34" width="13" style="260" bestFit="1" customWidth="1"/>
    <col min="35" max="35" width="24.33203125" style="260" bestFit="1" customWidth="1"/>
    <col min="36" max="36" width="24" style="260" bestFit="1" customWidth="1"/>
    <col min="37" max="16384" width="12" style="260"/>
  </cols>
  <sheetData>
    <row r="2" spans="1:23" s="263" customFormat="1" ht="16.5" thickBot="1" x14ac:dyDescent="0.3">
      <c r="A2" s="261"/>
      <c r="B2" s="2177" t="str">
        <f>'TRAD-Synthesis Adults'!B2</f>
        <v>Résultats N ° 1: Estimation du nombre d' ADULTES par schéma thérapeutique sur la période de quantification</v>
      </c>
      <c r="C2" s="2177"/>
      <c r="D2" s="2177"/>
      <c r="E2" s="2177"/>
      <c r="F2" s="2177"/>
      <c r="G2" s="2177"/>
      <c r="H2" s="2177"/>
      <c r="I2" s="2177"/>
      <c r="J2" s="2177"/>
      <c r="K2" s="2177"/>
      <c r="L2" s="2177"/>
      <c r="M2" s="2177"/>
      <c r="N2" s="262"/>
      <c r="O2" s="262"/>
      <c r="P2" s="262"/>
      <c r="Q2" s="262"/>
      <c r="R2" s="262"/>
      <c r="S2" s="262"/>
      <c r="T2" s="262"/>
      <c r="U2" s="262"/>
      <c r="V2" s="262"/>
      <c r="W2" s="262"/>
    </row>
    <row r="3" spans="1:23" ht="13.5" thickBot="1" x14ac:dyDescent="0.25"/>
    <row r="4" spans="1:23" s="2069" customFormat="1" ht="26.25" customHeight="1" x14ac:dyDescent="0.2">
      <c r="B4" s="2072"/>
      <c r="C4" s="2073"/>
      <c r="D4" s="2217" t="str">
        <f>'TRAD-Synthesis Adults'!B3</f>
        <v>Au début de la 1ère année</v>
      </c>
      <c r="E4" s="2218"/>
      <c r="F4" s="2217" t="str">
        <f>'TRAD-Synthesis Adults'!B4</f>
        <v>Fin 1ère année / Début  2ème année</v>
      </c>
      <c r="G4" s="2218"/>
      <c r="H4" s="2217" t="str">
        <f>'TRAD-Synthesis Adults'!B5</f>
        <v>Fin 2ème année / Début 3ème année</v>
      </c>
      <c r="I4" s="2218"/>
      <c r="J4" s="2217" t="str">
        <f>'TRAD-Synthesis Adults'!B6</f>
        <v>Fin 3ème année / Début 4ème année</v>
      </c>
      <c r="K4" s="2218"/>
      <c r="L4" s="2217" t="str">
        <f>'TRAD-Synthesis Adults'!B7</f>
        <v>Fin 4ème année / Début 5ème année</v>
      </c>
      <c r="M4" s="2218"/>
      <c r="N4" s="2217" t="str">
        <f>'TRAD-Synthesis Adults'!B8</f>
        <v>Fin de la 5ème année</v>
      </c>
      <c r="O4" s="2218"/>
    </row>
    <row r="5" spans="1:23" s="351" customFormat="1" ht="27" customHeight="1" thickBot="1" x14ac:dyDescent="0.25">
      <c r="B5" s="2074"/>
      <c r="C5" s="2075" t="str">
        <f>'TRAD-Synthesis Adults'!B10</f>
        <v>Schéma thérapeutique</v>
      </c>
      <c r="D5" s="2076" t="str">
        <f>'TRAD-Synthesis Adults'!B9</f>
        <v>Nbre de patients</v>
      </c>
      <c r="E5" s="2077" t="str">
        <f>'TRAD-Synthesis Adults'!B11</f>
        <v>Proportion</v>
      </c>
      <c r="F5" s="2076" t="str">
        <f>'TRAD-Synthesis Adults'!B9</f>
        <v>Nbre de patients</v>
      </c>
      <c r="G5" s="2077" t="str">
        <f>'TRAD-Synthesis Adults'!B11</f>
        <v>Proportion</v>
      </c>
      <c r="H5" s="2076" t="str">
        <f>'TRAD-Synthesis Adults'!B9</f>
        <v>Nbre de patients</v>
      </c>
      <c r="I5" s="2077" t="str">
        <f>'TRAD-Synthesis Adults'!B11</f>
        <v>Proportion</v>
      </c>
      <c r="J5" s="2076" t="str">
        <f>'TRAD-Synthesis Adults'!B9</f>
        <v>Nbre de patients</v>
      </c>
      <c r="K5" s="2077" t="str">
        <f>'TRAD-Synthesis Adults'!B11</f>
        <v>Proportion</v>
      </c>
      <c r="L5" s="2076" t="str">
        <f>'TRAD-Synthesis Adults'!B9</f>
        <v>Nbre de patients</v>
      </c>
      <c r="M5" s="2077" t="str">
        <f>'TRAD-Synthesis Adults'!B11</f>
        <v>Proportion</v>
      </c>
      <c r="N5" s="2076" t="str">
        <f>'TRAD-Synthesis Adults'!B9</f>
        <v>Nbre de patients</v>
      </c>
      <c r="O5" s="2077" t="str">
        <f>'TRAD-Synthesis Adults'!B11</f>
        <v>Proportion</v>
      </c>
    </row>
    <row r="6" spans="1:23" x14ac:dyDescent="0.2">
      <c r="B6" s="693" t="str">
        <f>'Data &amp; hypothesis Adults'!$B$26</f>
        <v>1ères lignes</v>
      </c>
      <c r="C6" s="267" t="str">
        <f>'Adults YEAR1'!C140</f>
        <v>AZT+3TC+NVP</v>
      </c>
      <c r="D6" s="268">
        <f>IF('General Data'!$E$11&gt;=1, 'Adults YEAR1'!D10, "")</f>
        <v>10529.132</v>
      </c>
      <c r="E6" s="269">
        <f>IF('General Data'!$E$11&gt;=1, 'Adults YEAR1'!E10, "")</f>
        <v>0.72399999999999998</v>
      </c>
      <c r="F6" s="268">
        <f>IF('General Data'!$E$11&gt;=1, 'Adults YEAR2'!D10, "")</f>
        <v>10536.424547798304</v>
      </c>
      <c r="G6" s="269">
        <f>IF('General Data'!$E$11&gt;=1, 'Adults YEAR2'!E10, "")</f>
        <v>0.53463773719697916</v>
      </c>
      <c r="H6" s="268" t="str">
        <f>IF('General Data'!$E$11&gt;=2, 'Adults YEAR3'!D10, "")</f>
        <v/>
      </c>
      <c r="I6" s="269" t="str">
        <f>IF('General Data'!$E$11&gt;=2, 'Adults YEAR3'!E10, "")</f>
        <v/>
      </c>
      <c r="J6" s="268" t="str">
        <f>IF('General Data'!$E$11&gt;=3, 'Adults YEAR4'!D10, "")</f>
        <v/>
      </c>
      <c r="K6" s="269" t="str">
        <f>IF('General Data'!$E$11&gt;=3, 'Adults YEAR4'!E10, "")</f>
        <v/>
      </c>
      <c r="L6" s="268" t="str">
        <f>IF('General Data'!$E$11&gt;=4, 'Adults YEAR5'!D10, "")</f>
        <v/>
      </c>
      <c r="M6" s="269" t="str">
        <f>IF('General Data'!$E$11&gt;=4, 'Adults YEAR5'!E10, "")</f>
        <v/>
      </c>
      <c r="N6" s="268" t="str">
        <f>IF('General Data'!$E$11&gt;=5, 'Adults YEAR5'!F140, "")</f>
        <v/>
      </c>
      <c r="O6" s="269" t="str">
        <f>IF('General Data'!$E$11&gt;=5, 'Adults YEAR5'!G140, "")</f>
        <v/>
      </c>
    </row>
    <row r="7" spans="1:23" x14ac:dyDescent="0.2">
      <c r="B7" s="696"/>
      <c r="C7" s="271" t="str">
        <f>'Adults YEAR1'!C141</f>
        <v>AZT+3TC+EFV</v>
      </c>
      <c r="D7" s="272">
        <f>IF('General Data'!$E$11&gt;=1, 'Adults YEAR1'!D11, "")</f>
        <v>1367.0419999999999</v>
      </c>
      <c r="E7" s="273">
        <f>IF('General Data'!$E$11&gt;=1, 'Adults YEAR1'!E11, "")</f>
        <v>9.4E-2</v>
      </c>
      <c r="F7" s="272">
        <f>IF('General Data'!$E$11&gt;=1, 'Adults YEAR2'!D11, "")</f>
        <v>1360.7779809950976</v>
      </c>
      <c r="G7" s="273">
        <f>IF('General Data'!$E$11&gt;=1, 'Adults YEAR2'!E11, "")</f>
        <v>6.9048400364497123E-2</v>
      </c>
      <c r="H7" s="272" t="str">
        <f>IF('General Data'!$E$11&gt;=2, 'Adults YEAR3'!D11, "")</f>
        <v/>
      </c>
      <c r="I7" s="273" t="str">
        <f>IF('General Data'!$E$11&gt;=2, 'Adults YEAR3'!E11, "")</f>
        <v/>
      </c>
      <c r="J7" s="272" t="str">
        <f>IF('General Data'!$E$11&gt;=3, 'Adults YEAR4'!D11, "")</f>
        <v/>
      </c>
      <c r="K7" s="273" t="str">
        <f>IF('General Data'!$E$11&gt;=3, 'Adults YEAR4'!E11, "")</f>
        <v/>
      </c>
      <c r="L7" s="272" t="str">
        <f>IF('General Data'!$E$11&gt;=4, 'Adults YEAR5'!D11, "")</f>
        <v/>
      </c>
      <c r="M7" s="273" t="str">
        <f>IF('General Data'!$E$11&gt;=4, 'Adults YEAR5'!E11, "")</f>
        <v/>
      </c>
      <c r="N7" s="272" t="str">
        <f>IF('General Data'!$E$11&gt;=5, 'Adults YEAR5'!F141, "")</f>
        <v/>
      </c>
      <c r="O7" s="273" t="str">
        <f>IF('General Data'!$E$11&gt;=5, 'Adults YEAR5'!G141, "")</f>
        <v/>
      </c>
    </row>
    <row r="8" spans="1:23" x14ac:dyDescent="0.2">
      <c r="B8" s="696"/>
      <c r="C8" s="271" t="str">
        <f>'Adults YEAR1'!C142</f>
        <v>AZT+3TC+ABC</v>
      </c>
      <c r="D8" s="272">
        <f>IF('General Data'!$E$11&gt;=1, 'Adults YEAR1'!D12, "")</f>
        <v>29.086000000000002</v>
      </c>
      <c r="E8" s="273">
        <f>IF('General Data'!$E$11&gt;=1, 'Adults YEAR1'!E12, "")</f>
        <v>2E-3</v>
      </c>
      <c r="F8" s="272">
        <f>IF('General Data'!$E$11&gt;=1, 'Adults YEAR2'!D12, "")</f>
        <v>76.777819580949213</v>
      </c>
      <c r="G8" s="273">
        <f>IF('General Data'!$E$11&gt;=1, 'Adults YEAR2'!E12, "")</f>
        <v>3.8958490654454579E-3</v>
      </c>
      <c r="H8" s="272" t="str">
        <f>IF('General Data'!$E$11&gt;=2, 'Adults YEAR3'!D12, "")</f>
        <v/>
      </c>
      <c r="I8" s="273" t="str">
        <f>IF('General Data'!$E$11&gt;=2, 'Adults YEAR3'!E12, "")</f>
        <v/>
      </c>
      <c r="J8" s="272" t="str">
        <f>IF('General Data'!$E$11&gt;=3, 'Adults YEAR4'!D12, "")</f>
        <v/>
      </c>
      <c r="K8" s="273" t="str">
        <f>IF('General Data'!$E$11&gt;=3, 'Adults YEAR4'!E12, "")</f>
        <v/>
      </c>
      <c r="L8" s="272" t="str">
        <f>IF('General Data'!$E$11&gt;=4, 'Adults YEAR5'!D12, "")</f>
        <v/>
      </c>
      <c r="M8" s="273" t="str">
        <f>IF('General Data'!$E$11&gt;=4, 'Adults YEAR5'!E12, "")</f>
        <v/>
      </c>
      <c r="N8" s="272" t="str">
        <f>IF('General Data'!$E$11&gt;=5, 'Adults YEAR5'!F142, "")</f>
        <v/>
      </c>
      <c r="O8" s="273" t="str">
        <f>IF('General Data'!$E$11&gt;=5, 'Adults YEAR5'!G142, "")</f>
        <v/>
      </c>
    </row>
    <row r="9" spans="1:23" x14ac:dyDescent="0.2">
      <c r="B9" s="696"/>
      <c r="C9" s="274" t="str">
        <f>'Adults YEAR1'!C143</f>
        <v>AZT+3TC+LPV/r</v>
      </c>
      <c r="D9" s="272">
        <f>IF('General Data'!$E$11&gt;=1, 'Adults YEAR1'!D13, "")</f>
        <v>639.89199999999994</v>
      </c>
      <c r="E9" s="273">
        <f>IF('General Data'!$E$11&gt;=1, 'Adults YEAR1'!E13, "")</f>
        <v>4.3999999999999997E-2</v>
      </c>
      <c r="F9" s="272">
        <f>IF('General Data'!$E$11&gt;=1, 'Adults YEAR2'!D13, "")</f>
        <v>673.98578722174659</v>
      </c>
      <c r="G9" s="273">
        <f>IF('General Data'!$E$11&gt;=1, 'Adults YEAR2'!E13, "")</f>
        <v>3.4199289763666145E-2</v>
      </c>
      <c r="H9" s="272" t="str">
        <f>IF('General Data'!$E$11&gt;=2, 'Adults YEAR3'!D13, "")</f>
        <v/>
      </c>
      <c r="I9" s="273" t="str">
        <f>IF('General Data'!$E$11&gt;=2, 'Adults YEAR3'!E13, "")</f>
        <v/>
      </c>
      <c r="J9" s="272" t="str">
        <f>IF('General Data'!$E$11&gt;=3, 'Adults YEAR4'!D13, "")</f>
        <v/>
      </c>
      <c r="K9" s="273" t="str">
        <f>IF('General Data'!$E$11&gt;=3, 'Adults YEAR4'!E13, "")</f>
        <v/>
      </c>
      <c r="L9" s="272" t="str">
        <f>IF('General Data'!$E$11&gt;=4, 'Adults YEAR5'!D13, "")</f>
        <v/>
      </c>
      <c r="M9" s="273" t="str">
        <f>IF('General Data'!$E$11&gt;=4, 'Adults YEAR5'!E13, "")</f>
        <v/>
      </c>
      <c r="N9" s="272" t="str">
        <f>IF('General Data'!$E$11&gt;=5, 'Adults YEAR5'!F143, "")</f>
        <v/>
      </c>
      <c r="O9" s="273" t="str">
        <f>IF('General Data'!$E$11&gt;=5, 'Adults YEAR5'!G143, "")</f>
        <v/>
      </c>
    </row>
    <row r="10" spans="1:23" x14ac:dyDescent="0.2">
      <c r="B10" s="696"/>
      <c r="C10" s="274" t="s">
        <v>730</v>
      </c>
      <c r="D10" s="272">
        <f>IF('General Data'!$E$11&gt;=1, 'Adults YEAR1'!D14, "")</f>
        <v>43.628999999999998</v>
      </c>
      <c r="E10" s="273">
        <f>IF('General Data'!$E$11&gt;=1, 'Adults YEAR1'!E14, "")</f>
        <v>3.0000000000000001E-3</v>
      </c>
      <c r="F10" s="272">
        <f>IF('General Data'!$E$11&gt;=1, 'Adults YEAR2'!D14, "")</f>
        <v>42.657711974342675</v>
      </c>
      <c r="G10" s="273">
        <f>IF('General Data'!$E$11&gt;=1, 'Adults YEAR2'!E14, "")</f>
        <v>2.1645314784443353E-3</v>
      </c>
      <c r="H10" s="272" t="str">
        <f>IF('General Data'!$E$11&gt;=2, 'Adults YEAR3'!D14, "")</f>
        <v/>
      </c>
      <c r="I10" s="273" t="str">
        <f>IF('General Data'!$E$11&gt;=2, 'Adults YEAR3'!E14, "")</f>
        <v/>
      </c>
      <c r="J10" s="272" t="str">
        <f>IF('General Data'!$E$11&gt;=3, 'Adults YEAR4'!D14, "")</f>
        <v/>
      </c>
      <c r="K10" s="273" t="str">
        <f>IF('General Data'!$E$11&gt;=3, 'Adults YEAR4'!E14, "")</f>
        <v/>
      </c>
      <c r="L10" s="272" t="str">
        <f>IF('General Data'!$E$11&gt;=4, 'Adults YEAR5'!D14, "")</f>
        <v/>
      </c>
      <c r="M10" s="273" t="str">
        <f>IF('General Data'!$E$11&gt;=4, 'Adults YEAR5'!E14, "")</f>
        <v/>
      </c>
      <c r="N10" s="272" t="str">
        <f>IF('General Data'!$E$11&gt;=5, 'Adults YEAR5'!F144, "")</f>
        <v/>
      </c>
      <c r="O10" s="273" t="str">
        <f>IF('General Data'!$E$11&gt;=5, 'Adults YEAR5'!G144, "")</f>
        <v/>
      </c>
    </row>
    <row r="11" spans="1:23" x14ac:dyDescent="0.2">
      <c r="B11" s="696"/>
      <c r="C11" s="271" t="str">
        <f>'Adults YEAR1'!C145</f>
        <v>TDF+FTC/3TC+EFV</v>
      </c>
      <c r="D11" s="272">
        <f>IF('General Data'!$E$11&gt;=1, 'Adults YEAR1'!D15, "")</f>
        <v>1454.3000000000002</v>
      </c>
      <c r="E11" s="273">
        <f>IF('General Data'!$E$11&gt;=1, 'Adults YEAR1'!E15, "")</f>
        <v>0.1</v>
      </c>
      <c r="F11" s="272">
        <f>IF('General Data'!$E$11&gt;=1, 'Adults YEAR2'!D15, "")</f>
        <v>5869.1434661657331</v>
      </c>
      <c r="G11" s="273">
        <f>IF('General Data'!$E$11&gt;=1, 'Adults YEAR2'!E15, "")</f>
        <v>0.29781123262454079</v>
      </c>
      <c r="H11" s="272" t="str">
        <f>IF('General Data'!$E$11&gt;=2, 'Adults YEAR3'!D15, "")</f>
        <v/>
      </c>
      <c r="I11" s="273" t="str">
        <f>IF('General Data'!$E$11&gt;=2, 'Adults YEAR3'!E15, "")</f>
        <v/>
      </c>
      <c r="J11" s="272" t="str">
        <f>IF('General Data'!$E$11&gt;=3, 'Adults YEAR4'!D15, "")</f>
        <v/>
      </c>
      <c r="K11" s="273" t="str">
        <f>IF('General Data'!$E$11&gt;=3, 'Adults YEAR4'!E15, "")</f>
        <v/>
      </c>
      <c r="L11" s="272" t="str">
        <f>IF('General Data'!$E$11&gt;=4, 'Adults YEAR5'!D15, "")</f>
        <v/>
      </c>
      <c r="M11" s="273" t="str">
        <f>IF('General Data'!$E$11&gt;=4, 'Adults YEAR5'!E15, "")</f>
        <v/>
      </c>
      <c r="N11" s="272" t="str">
        <f>IF('General Data'!$E$11&gt;=5, 'Adults YEAR5'!F145, "")</f>
        <v/>
      </c>
      <c r="O11" s="273" t="str">
        <f>IF('General Data'!$E$11&gt;=5, 'Adults YEAR5'!G145, "")</f>
        <v/>
      </c>
    </row>
    <row r="12" spans="1:23" x14ac:dyDescent="0.2">
      <c r="B12" s="696"/>
      <c r="C12" s="271" t="str">
        <f>'Adults YEAR1'!C146</f>
        <v>TDF+FTC/3TC+LPV/r</v>
      </c>
      <c r="D12" s="272">
        <f>IF('General Data'!$E$11&gt;=1, 'Adults YEAR1'!D16, "")</f>
        <v>0</v>
      </c>
      <c r="E12" s="273">
        <f>IF('General Data'!$E$11&gt;=1, 'Adults YEAR1'!E16, "")</f>
        <v>0</v>
      </c>
      <c r="F12" s="272">
        <f>IF('General Data'!$E$11&gt;=1, 'Adults YEAR2'!D16, "")</f>
        <v>0</v>
      </c>
      <c r="G12" s="273">
        <f>IF('General Data'!$E$11&gt;=1, 'Adults YEAR2'!E16, "")</f>
        <v>0</v>
      </c>
      <c r="H12" s="272" t="str">
        <f>IF('General Data'!$E$11&gt;=2, 'Adults YEAR3'!D16, "")</f>
        <v/>
      </c>
      <c r="I12" s="273" t="str">
        <f>IF('General Data'!$E$11&gt;=2, 'Adults YEAR3'!E16, "")</f>
        <v/>
      </c>
      <c r="J12" s="272" t="str">
        <f>IF('General Data'!$E$11&gt;=3, 'Adults YEAR4'!D16, "")</f>
        <v/>
      </c>
      <c r="K12" s="273" t="str">
        <f>IF('General Data'!$E$11&gt;=3, 'Adults YEAR4'!E16, "")</f>
        <v/>
      </c>
      <c r="L12" s="272" t="str">
        <f>IF('General Data'!$E$11&gt;=4, 'Adults YEAR5'!D16, "")</f>
        <v/>
      </c>
      <c r="M12" s="273" t="str">
        <f>IF('General Data'!$E$11&gt;=4, 'Adults YEAR5'!E16, "")</f>
        <v/>
      </c>
      <c r="N12" s="272" t="str">
        <f>IF('General Data'!$E$11&gt;=5, 'Adults YEAR5'!F146, "")</f>
        <v/>
      </c>
      <c r="O12" s="273" t="str">
        <f>IF('General Data'!$E$11&gt;=5, 'Adults YEAR5'!G146, "")</f>
        <v/>
      </c>
    </row>
    <row r="13" spans="1:23" x14ac:dyDescent="0.2">
      <c r="B13" s="696"/>
      <c r="C13" s="271" t="str">
        <f>'Adults YEAR1'!C147</f>
        <v>ABC+3TC+LPV/r</v>
      </c>
      <c r="D13" s="272">
        <f>IF('General Data'!$E$11&gt;=1, 'Adults YEAR1'!D17, "")</f>
        <v>0</v>
      </c>
      <c r="E13" s="273">
        <f>IF('General Data'!$E$11&gt;=1, 'Adults YEAR1'!E17, "")</f>
        <v>0</v>
      </c>
      <c r="F13" s="272">
        <f>IF('General Data'!$E$11&gt;=1, 'Adults YEAR2'!D17, "")</f>
        <v>24.169672465693711</v>
      </c>
      <c r="G13" s="273">
        <f>IF('General Data'!$E$11&gt;=1, 'Adults YEAR2'!E17, "")</f>
        <v>1.2264140399079503E-3</v>
      </c>
      <c r="H13" s="272" t="str">
        <f>IF('General Data'!$E$11&gt;=2, 'Adults YEAR3'!D17, "")</f>
        <v/>
      </c>
      <c r="I13" s="273" t="str">
        <f>IF('General Data'!$E$11&gt;=2, 'Adults YEAR3'!E17, "")</f>
        <v/>
      </c>
      <c r="J13" s="272" t="str">
        <f>IF('General Data'!$E$11&gt;=3, 'Adults YEAR4'!D17, "")</f>
        <v/>
      </c>
      <c r="K13" s="273" t="str">
        <f>IF('General Data'!$E$11&gt;=3, 'Adults YEAR4'!E17, "")</f>
        <v/>
      </c>
      <c r="L13" s="272" t="str">
        <f>IF('General Data'!$E$11&gt;=4, 'Adults YEAR5'!D17, "")</f>
        <v/>
      </c>
      <c r="M13" s="273" t="str">
        <f>IF('General Data'!$E$11&gt;=4, 'Adults YEAR5'!E17, "")</f>
        <v/>
      </c>
      <c r="N13" s="272" t="str">
        <f>IF('General Data'!$E$11&gt;=5, 'Adults YEAR5'!F147, "")</f>
        <v/>
      </c>
      <c r="O13" s="273" t="str">
        <f>IF('General Data'!$E$11&gt;=5, 'Adults YEAR5'!G147, "")</f>
        <v/>
      </c>
    </row>
    <row r="14" spans="1:23" x14ac:dyDescent="0.2">
      <c r="B14" s="696"/>
      <c r="C14" s="271" t="str">
        <f>'Adults YEAR1'!C148</f>
        <v>TDF+3TC/FTC+ABC</v>
      </c>
      <c r="D14" s="272">
        <f>IF('General Data'!$E$11&gt;=1, 'Adults YEAR1'!D18, "")</f>
        <v>29.086000000000002</v>
      </c>
      <c r="E14" s="273">
        <f>IF('General Data'!$E$11&gt;=1, 'Adults YEAR1'!E18, "")</f>
        <v>2E-3</v>
      </c>
      <c r="F14" s="272">
        <f>IF('General Data'!$E$11&gt;=1, 'Adults YEAR2'!D18, "")</f>
        <v>52.608147115255498</v>
      </c>
      <c r="G14" s="273">
        <f>IF('General Data'!$E$11&gt;=1, 'Adults YEAR2'!E18, "")</f>
        <v>2.6694350255375074E-3</v>
      </c>
      <c r="H14" s="272" t="str">
        <f>IF('General Data'!$E$11&gt;=2, 'Adults YEAR3'!D18, "")</f>
        <v/>
      </c>
      <c r="I14" s="273" t="str">
        <f>IF('General Data'!$E$11&gt;=2, 'Adults YEAR3'!E18, "")</f>
        <v/>
      </c>
      <c r="J14" s="272" t="str">
        <f>IF('General Data'!$E$11&gt;=3, 'Adults YEAR4'!D18, "")</f>
        <v/>
      </c>
      <c r="K14" s="273" t="str">
        <f>IF('General Data'!$E$11&gt;=3, 'Adults YEAR4'!E18, "")</f>
        <v/>
      </c>
      <c r="L14" s="272" t="str">
        <f>IF('General Data'!$E$11&gt;=4, 'Adults YEAR5'!D18, "")</f>
        <v/>
      </c>
      <c r="M14" s="273" t="str">
        <f>IF('General Data'!$E$11&gt;=4, 'Adults YEAR5'!E18, "")</f>
        <v/>
      </c>
      <c r="N14" s="272" t="str">
        <f>IF('General Data'!$E$11&gt;=5, 'Adults YEAR5'!F148, "")</f>
        <v/>
      </c>
      <c r="O14" s="273" t="str">
        <f>IF('General Data'!$E$11&gt;=5, 'Adults YEAR5'!G148, "")</f>
        <v/>
      </c>
    </row>
    <row r="15" spans="1:23" x14ac:dyDescent="0.2">
      <c r="B15" s="696"/>
      <c r="C15" s="1139">
        <f>'Adults YEAR1'!C149</f>
        <v>0</v>
      </c>
      <c r="D15" s="280">
        <f>IF('General Data'!$E$11&gt;=1, 'Adults YEAR1'!D19, "")</f>
        <v>0</v>
      </c>
      <c r="E15" s="281">
        <f>IF('General Data'!$E$11&gt;=1, 'Adults YEAR1'!E19, "")</f>
        <v>0</v>
      </c>
      <c r="F15" s="280">
        <f>IF('General Data'!$E$11&gt;=1, 'Adults YEAR2'!D19, "")</f>
        <v>0</v>
      </c>
      <c r="G15" s="281">
        <f>IF('General Data'!$E$11&gt;=1, 'Adults YEAR2'!E19, "")</f>
        <v>0</v>
      </c>
      <c r="H15" s="280" t="str">
        <f>IF('General Data'!$E$11&gt;=2, 'Adults YEAR3'!D19, "")</f>
        <v/>
      </c>
      <c r="I15" s="281" t="str">
        <f>IF('General Data'!$E$11&gt;=2, 'Adults YEAR3'!E19, "")</f>
        <v/>
      </c>
      <c r="J15" s="280" t="str">
        <f>IF('General Data'!$E$11&gt;=3, 'Adults YEAR4'!D19, "")</f>
        <v/>
      </c>
      <c r="K15" s="281" t="str">
        <f>IF('General Data'!$E$11&gt;=3, 'Adults YEAR4'!E19, "")</f>
        <v/>
      </c>
      <c r="L15" s="280" t="str">
        <f>IF('General Data'!$E$11&gt;=4, 'Adults YEAR5'!D19, "")</f>
        <v/>
      </c>
      <c r="M15" s="281" t="str">
        <f>IF('General Data'!$E$11&gt;=4, 'Adults YEAR5'!E19, "")</f>
        <v/>
      </c>
      <c r="N15" s="280" t="str">
        <f>IF('General Data'!$E$11&gt;=5, 'Adults YEAR5'!F149, "")</f>
        <v/>
      </c>
      <c r="O15" s="281" t="str">
        <f>IF('General Data'!$E$11&gt;=5, 'Adults YEAR5'!G149, "")</f>
        <v/>
      </c>
    </row>
    <row r="16" spans="1:23" x14ac:dyDescent="0.2">
      <c r="B16" s="701" t="str">
        <f>'Data &amp; hypothesis Adults'!$B$36</f>
        <v>2èmes lignes</v>
      </c>
      <c r="C16" s="276" t="str">
        <f>'Adults YEAR1'!C150</f>
        <v>TDF+FTC/3TC+LPV/r</v>
      </c>
      <c r="D16" s="277">
        <f>IF('General Data'!$E$11&gt;=1, 'Adults YEAR1'!D20, "")</f>
        <v>415.9298</v>
      </c>
      <c r="E16" s="278">
        <f>IF('General Data'!$E$11&gt;=1, 'Adults YEAR1'!E20, "")</f>
        <v>2.86E-2</v>
      </c>
      <c r="F16" s="277">
        <f>IF('General Data'!$E$11&gt;=1, 'Adults YEAR2'!D20, "")</f>
        <v>840.27166668287782</v>
      </c>
      <c r="G16" s="278">
        <f>IF('General Data'!$E$11&gt;=1, 'Adults YEAR2'!E20, "")</f>
        <v>4.263694391471172E-2</v>
      </c>
      <c r="H16" s="277" t="str">
        <f>IF('General Data'!$E$11&gt;=2, 'Adults YEAR3'!D20, "")</f>
        <v/>
      </c>
      <c r="I16" s="278" t="str">
        <f>IF('General Data'!$E$11&gt;=2, 'Adults YEAR3'!E20, "")</f>
        <v/>
      </c>
      <c r="J16" s="277" t="str">
        <f>IF('General Data'!$E$11&gt;=3, 'Adults YEAR4'!D20, "")</f>
        <v/>
      </c>
      <c r="K16" s="278" t="str">
        <f>IF('General Data'!$E$11&gt;=3, 'Adults YEAR4'!E20, "")</f>
        <v/>
      </c>
      <c r="L16" s="277" t="str">
        <f>IF('General Data'!$E$11&gt;=4, 'Adults YEAR5'!D20, "")</f>
        <v/>
      </c>
      <c r="M16" s="278" t="str">
        <f>IF('General Data'!$E$11&gt;=4, 'Adults YEAR5'!E20, "")</f>
        <v/>
      </c>
      <c r="N16" s="277" t="str">
        <f>IF('General Data'!$E$11&gt;=5, 'Adults YEAR5'!F150, "")</f>
        <v/>
      </c>
      <c r="O16" s="278" t="str">
        <f>IF('General Data'!$E$11&gt;=5, 'Adults YEAR5'!G150, "")</f>
        <v/>
      </c>
    </row>
    <row r="17" spans="1:23" x14ac:dyDescent="0.2">
      <c r="B17" s="696"/>
      <c r="C17" s="271" t="str">
        <f>'Adults YEAR1'!C151</f>
        <v>TDF+FTC/3TC+ATV/r</v>
      </c>
      <c r="D17" s="272">
        <f>IF('General Data'!$E$11&gt;=1, 'Adults YEAR1'!D21, "")</f>
        <v>34.903199999999998</v>
      </c>
      <c r="E17" s="273">
        <f>IF('General Data'!$E$11&gt;=1, 'Adults YEAR1'!E21, "")</f>
        <v>2.3999999999999998E-3</v>
      </c>
      <c r="F17" s="272">
        <f>IF('General Data'!$E$11&gt;=1, 'Adults YEAR2'!D21, "")</f>
        <v>34.903199999999998</v>
      </c>
      <c r="G17" s="273">
        <f>IF('General Data'!$E$11&gt;=1, 'Adults YEAR2'!E21, "")</f>
        <v>1.7710531484641933E-3</v>
      </c>
      <c r="H17" s="272" t="str">
        <f>IF('General Data'!$E$11&gt;=2, 'Adults YEAR3'!D21, "")</f>
        <v/>
      </c>
      <c r="I17" s="273" t="str">
        <f>IF('General Data'!$E$11&gt;=2, 'Adults YEAR3'!E21, "")</f>
        <v/>
      </c>
      <c r="J17" s="272" t="str">
        <f>IF('General Data'!$E$11&gt;=3, 'Adults YEAR4'!D21, "")</f>
        <v/>
      </c>
      <c r="K17" s="273" t="str">
        <f>IF('General Data'!$E$11&gt;=3, 'Adults YEAR4'!E21, "")</f>
        <v/>
      </c>
      <c r="L17" s="272" t="str">
        <f>IF('General Data'!$E$11&gt;=4, 'Adults YEAR5'!D21, "")</f>
        <v/>
      </c>
      <c r="M17" s="273" t="str">
        <f>IF('General Data'!$E$11&gt;=4, 'Adults YEAR5'!E21, "")</f>
        <v/>
      </c>
      <c r="N17" s="272" t="str">
        <f>IF('General Data'!$E$11&gt;=5, 'Adults YEAR5'!F151, "")</f>
        <v/>
      </c>
      <c r="O17" s="273" t="str">
        <f>IF('General Data'!$E$11&gt;=5, 'Adults YEAR5'!G151, "")</f>
        <v/>
      </c>
    </row>
    <row r="18" spans="1:23" ht="14.25" customHeight="1" x14ac:dyDescent="0.2">
      <c r="B18" s="696"/>
      <c r="C18" s="271" t="str">
        <f>'Adults YEAR1'!C152</f>
        <v>ABC+DDI+LPV/r</v>
      </c>
      <c r="D18" s="272">
        <f>IF('General Data'!$E$11&gt;=1, 'Adults YEAR1'!D22, "")</f>
        <v>0</v>
      </c>
      <c r="E18" s="273">
        <f>IF('General Data'!$E$11&gt;=1, 'Adults YEAR1'!E22, "")</f>
        <v>0</v>
      </c>
      <c r="F18" s="272">
        <f>IF('General Data'!$E$11&gt;=1, 'Adults YEAR2'!D22, "")</f>
        <v>0</v>
      </c>
      <c r="G18" s="273">
        <f>IF('General Data'!$E$11&gt;=1, 'Adults YEAR2'!E22, "")</f>
        <v>0</v>
      </c>
      <c r="H18" s="272" t="str">
        <f>IF('General Data'!$E$11&gt;=2, 'Adults YEAR3'!D22, "")</f>
        <v/>
      </c>
      <c r="I18" s="273" t="str">
        <f>IF('General Data'!$E$11&gt;=2, 'Adults YEAR3'!E22, "")</f>
        <v/>
      </c>
      <c r="J18" s="272" t="str">
        <f>IF('General Data'!$E$11&gt;=3, 'Adults YEAR4'!D22, "")</f>
        <v/>
      </c>
      <c r="K18" s="273" t="str">
        <f>IF('General Data'!$E$11&gt;=3, 'Adults YEAR4'!E22, "")</f>
        <v/>
      </c>
      <c r="L18" s="272" t="str">
        <f>IF('General Data'!$E$11&gt;=4, 'Adults YEAR5'!D22, "")</f>
        <v/>
      </c>
      <c r="M18" s="273" t="str">
        <f>IF('General Data'!$E$11&gt;=4, 'Adults YEAR5'!E22, "")</f>
        <v/>
      </c>
      <c r="N18" s="272" t="str">
        <f>IF('General Data'!$E$11&gt;=5, 'Adults YEAR5'!F152, "")</f>
        <v/>
      </c>
      <c r="O18" s="273" t="str">
        <f>IF('General Data'!$E$11&gt;=5, 'Adults YEAR5'!G152, "")</f>
        <v/>
      </c>
    </row>
    <row r="19" spans="1:23" ht="14.25" customHeight="1" x14ac:dyDescent="0.2">
      <c r="B19" s="696"/>
      <c r="C19" s="271" t="str">
        <f>'Adults YEAR1'!C153</f>
        <v>TDF+3TC/FTC+ABC</v>
      </c>
      <c r="D19" s="272">
        <f>IF('General Data'!$E$11&gt;=1, 'Adults YEAR1'!D23, "")</f>
        <v>0</v>
      </c>
      <c r="E19" s="273">
        <f>IF('General Data'!$E$11&gt;=1, 'Adults YEAR1'!E23, "")</f>
        <v>0</v>
      </c>
      <c r="F19" s="272">
        <f>IF('General Data'!$E$11&gt;=1, 'Adults YEAR2'!D23, "")</f>
        <v>0</v>
      </c>
      <c r="G19" s="273">
        <f>IF('General Data'!$E$11&gt;=1, 'Adults YEAR2'!E23, "")</f>
        <v>0</v>
      </c>
      <c r="H19" s="272" t="str">
        <f>IF('General Data'!$E$11&gt;=2, 'Adults YEAR3'!D23, "")</f>
        <v/>
      </c>
      <c r="I19" s="273" t="str">
        <f>IF('General Data'!$E$11&gt;=2, 'Adults YEAR3'!E23, "")</f>
        <v/>
      </c>
      <c r="J19" s="272" t="str">
        <f>IF('General Data'!$E$11&gt;=3, 'Adults YEAR4'!D23, "")</f>
        <v/>
      </c>
      <c r="K19" s="273" t="str">
        <f>IF('General Data'!$E$11&gt;=3, 'Adults YEAR4'!E23, "")</f>
        <v/>
      </c>
      <c r="L19" s="272" t="str">
        <f>IF('General Data'!$E$11&gt;=4, 'Adults YEAR5'!D23, "")</f>
        <v/>
      </c>
      <c r="M19" s="273" t="str">
        <f>IF('General Data'!$E$11&gt;=4, 'Adults YEAR5'!E23, "")</f>
        <v/>
      </c>
      <c r="N19" s="272" t="str">
        <f>IF('General Data'!$E$11&gt;=5, 'Adults YEAR5'!F153, "")</f>
        <v/>
      </c>
      <c r="O19" s="273" t="str">
        <f>IF('General Data'!$E$11&gt;=5, 'Adults YEAR5'!G153, "")</f>
        <v/>
      </c>
    </row>
    <row r="20" spans="1:23" ht="14.25" customHeight="1" x14ac:dyDescent="0.2">
      <c r="B20" s="696"/>
      <c r="C20" s="271" t="str">
        <f>'Adults YEAR1'!C154</f>
        <v>AZT+3TC+LPV/r</v>
      </c>
      <c r="D20" s="272">
        <f>IF('General Data'!$E$11&gt;=1, 'Adults YEAR1'!D24, "")</f>
        <v>0</v>
      </c>
      <c r="E20" s="273">
        <f>IF('General Data'!$E$11&gt;=1, 'Adults YEAR1'!E24, "")</f>
        <v>0</v>
      </c>
      <c r="F20" s="272">
        <f>IF('General Data'!$E$11&gt;=1, 'Adults YEAR2'!D24, "")</f>
        <v>195.87603135967444</v>
      </c>
      <c r="G20" s="273">
        <f>IF('General Data'!$E$11&gt;=1, 'Adults YEAR2'!E24, "")</f>
        <v>9.9391133778055449E-3</v>
      </c>
      <c r="H20" s="272" t="str">
        <f>IF('General Data'!$E$11&gt;=2, 'Adults YEAR3'!D24, "")</f>
        <v/>
      </c>
      <c r="I20" s="273" t="str">
        <f>IF('General Data'!$E$11&gt;=2, 'Adults YEAR3'!E24, "")</f>
        <v/>
      </c>
      <c r="J20" s="272" t="str">
        <f>IF('General Data'!$E$11&gt;=3, 'Adults YEAR4'!D24, "")</f>
        <v/>
      </c>
      <c r="K20" s="273" t="str">
        <f>IF('General Data'!$E$11&gt;=3, 'Adults YEAR4'!E24, "")</f>
        <v/>
      </c>
      <c r="L20" s="272" t="str">
        <f>IF('General Data'!$E$11&gt;=4, 'Adults YEAR5'!D24, "")</f>
        <v/>
      </c>
      <c r="M20" s="273" t="str">
        <f>IF('General Data'!$E$11&gt;=4, 'Adults YEAR5'!E24, "")</f>
        <v/>
      </c>
      <c r="N20" s="272" t="str">
        <f>IF('General Data'!$E$11&gt;=5, 'Adults YEAR5'!F154, "")</f>
        <v/>
      </c>
      <c r="O20" s="273" t="str">
        <f>IF('General Data'!$E$11&gt;=5, 'Adults YEAR5'!G154, "")</f>
        <v/>
      </c>
    </row>
    <row r="21" spans="1:23" ht="14.25" customHeight="1" x14ac:dyDescent="0.2">
      <c r="B21" s="696"/>
      <c r="C21" s="271">
        <f>'Adults YEAR1'!C155</f>
        <v>0</v>
      </c>
      <c r="D21" s="272">
        <f>IF('General Data'!$E$11&gt;=1, 'Adults YEAR1'!D25, "")</f>
        <v>0</v>
      </c>
      <c r="E21" s="273">
        <f>IF('General Data'!$E$11&gt;=1, 'Adults YEAR1'!E25, "")</f>
        <v>0</v>
      </c>
      <c r="F21" s="272">
        <f>IF('General Data'!$E$11&gt;=1, 'Adults YEAR2'!D25, "")</f>
        <v>0</v>
      </c>
      <c r="G21" s="273">
        <f>IF('General Data'!$E$11&gt;=1, 'Adults YEAR2'!E25, "")</f>
        <v>0</v>
      </c>
      <c r="H21" s="272" t="str">
        <f>IF('General Data'!$E$11&gt;=2, 'Adults YEAR3'!D25, "")</f>
        <v/>
      </c>
      <c r="I21" s="273" t="str">
        <f>IF('General Data'!$E$11&gt;=2, 'Adults YEAR3'!E25, "")</f>
        <v/>
      </c>
      <c r="J21" s="272" t="str">
        <f>IF('General Data'!$E$11&gt;=3, 'Adults YEAR4'!D25, "")</f>
        <v/>
      </c>
      <c r="K21" s="273" t="str">
        <f>IF('General Data'!$E$11&gt;=3, 'Adults YEAR4'!E25, "")</f>
        <v/>
      </c>
      <c r="L21" s="272" t="str">
        <f>IF('General Data'!$E$11&gt;=4, 'Adults YEAR5'!D25, "")</f>
        <v/>
      </c>
      <c r="M21" s="273" t="str">
        <f>IF('General Data'!$E$11&gt;=4, 'Adults YEAR5'!E25, "")</f>
        <v/>
      </c>
      <c r="N21" s="272" t="str">
        <f>IF('General Data'!$E$11&gt;=5, 'Adults YEAR5'!F155, "")</f>
        <v/>
      </c>
      <c r="O21" s="273" t="str">
        <f>IF('General Data'!$E$11&gt;=5, 'Adults YEAR5'!G155, "")</f>
        <v/>
      </c>
    </row>
    <row r="22" spans="1:23" ht="14.25" customHeight="1" x14ac:dyDescent="0.2">
      <c r="B22" s="696"/>
      <c r="C22" s="279">
        <f>'Adults YEAR1'!C156</f>
        <v>0</v>
      </c>
      <c r="D22" s="280">
        <f>IF('General Data'!$E$11&gt;=1, 'Adults YEAR1'!D26, "")</f>
        <v>0</v>
      </c>
      <c r="E22" s="281">
        <f>IF('General Data'!$E$11&gt;=1, 'Adults YEAR1'!E26, "")</f>
        <v>0</v>
      </c>
      <c r="F22" s="280">
        <f>IF('General Data'!$E$11&gt;=1, 'Adults YEAR2'!D26, "")</f>
        <v>0</v>
      </c>
      <c r="G22" s="281">
        <f>IF('General Data'!$E$11&gt;=1, 'Adults YEAR2'!E26, "")</f>
        <v>0</v>
      </c>
      <c r="H22" s="280" t="str">
        <f>IF('General Data'!$E$11&gt;=2, 'Adults YEAR3'!D26, "")</f>
        <v/>
      </c>
      <c r="I22" s="281" t="str">
        <f>IF('General Data'!$E$11&gt;=2, 'Adults YEAR3'!E26, "")</f>
        <v/>
      </c>
      <c r="J22" s="280" t="str">
        <f>IF('General Data'!$E$11&gt;=3, 'Adults YEAR4'!D26, "")</f>
        <v/>
      </c>
      <c r="K22" s="281" t="str">
        <f>IF('General Data'!$E$11&gt;=3, 'Adults YEAR4'!E26, "")</f>
        <v/>
      </c>
      <c r="L22" s="280" t="str">
        <f>IF('General Data'!$E$11&gt;=4, 'Adults YEAR5'!D26, "")</f>
        <v/>
      </c>
      <c r="M22" s="281" t="str">
        <f>IF('General Data'!$E$11&gt;=4, 'Adults YEAR5'!E26, "")</f>
        <v/>
      </c>
      <c r="N22" s="280" t="str">
        <f>IF('General Data'!$E$11&gt;=5, 'Adults YEAR5'!F156, "")</f>
        <v/>
      </c>
      <c r="O22" s="281" t="str">
        <f>IF('General Data'!$E$11&gt;=5, 'Adults YEAR5'!G156, "")</f>
        <v/>
      </c>
    </row>
    <row r="23" spans="1:23" x14ac:dyDescent="0.2">
      <c r="B23" s="701" t="str">
        <f>'Data &amp; hypothesis Adults'!$B$43</f>
        <v>3èmes lignes</v>
      </c>
      <c r="C23" s="1138" t="str">
        <f>'Adults YEAR1'!C157</f>
        <v>nb de patient total 3èmes lignes</v>
      </c>
      <c r="D23" s="282">
        <f>IF('General Data'!$E$11&gt;=1, 'Adults YEAR1'!D27, "")</f>
        <v>0</v>
      </c>
      <c r="E23" s="283">
        <f>IF('General Data'!$E$11&gt;=1, 'Adults YEAR1'!E27, "")</f>
        <v>0</v>
      </c>
      <c r="F23" s="282">
        <f>IF('General Data'!$E$11&gt;=1, 'Adults YEAR2'!D27, "")</f>
        <v>0</v>
      </c>
      <c r="G23" s="283">
        <f>IF('General Data'!$E$11&gt;=1, 'Adults YEAR2'!E27, "")</f>
        <v>0</v>
      </c>
      <c r="H23" s="282" t="str">
        <f>IF('General Data'!$E$11&gt;=2, 'Adults YEAR3'!D27, "")</f>
        <v/>
      </c>
      <c r="I23" s="283" t="str">
        <f>IF('General Data'!$E$11&gt;=2, 'Adults YEAR3'!E27, "")</f>
        <v/>
      </c>
      <c r="J23" s="282" t="str">
        <f>IF('General Data'!$E$11&gt;=3, 'Adults YEAR4'!D27, "")</f>
        <v/>
      </c>
      <c r="K23" s="283" t="str">
        <f>IF('General Data'!$E$11&gt;=3, 'Adults YEAR4'!E27, "")</f>
        <v/>
      </c>
      <c r="L23" s="282" t="str">
        <f>IF('General Data'!$E$11&gt;=4, 'Adults YEAR5'!D27, "")</f>
        <v/>
      </c>
      <c r="M23" s="283" t="str">
        <f>IF('General Data'!$E$11&gt;=4, 'Adults YEAR5'!E27, "")</f>
        <v/>
      </c>
      <c r="N23" s="282" t="str">
        <f>IF('General Data'!$E$11&gt;=5, 'Adults YEAR5'!F157, "")</f>
        <v/>
      </c>
      <c r="O23" s="283" t="str">
        <f>IF('General Data'!$E$11&gt;=5, 'Adults YEAR5'!G157, "")</f>
        <v/>
      </c>
    </row>
    <row r="24" spans="1:23" ht="13.5" thickBot="1" x14ac:dyDescent="0.25">
      <c r="B24" s="284"/>
      <c r="C24" s="285"/>
      <c r="D24" s="282">
        <f>IF('General Data'!$E$11&gt;=1, 'Adults YEAR1'!D28, "")</f>
        <v>0</v>
      </c>
      <c r="E24" s="283">
        <f>IF('General Data'!$E$11&gt;=1, 'Adults YEAR1'!E28, "")</f>
        <v>0</v>
      </c>
      <c r="F24" s="282">
        <f>IF('General Data'!$E$11&gt;=1, 'Adults YEAR2'!D28, "")</f>
        <v>0</v>
      </c>
      <c r="G24" s="283">
        <f>IF('General Data'!$E$11&gt;=1, 'Adults YEAR2'!E28, "")</f>
        <v>0</v>
      </c>
      <c r="H24" s="282" t="str">
        <f>IF('General Data'!$E$11&gt;=2, 'Adults YEAR3'!D28, "")</f>
        <v/>
      </c>
      <c r="I24" s="283" t="str">
        <f>IF('General Data'!$E$11&gt;=2, 'Adults YEAR3'!E28, "")</f>
        <v/>
      </c>
      <c r="J24" s="282" t="str">
        <f>IF('General Data'!$E$11&gt;=3, 'Adults YEAR4'!D28, "")</f>
        <v/>
      </c>
      <c r="K24" s="283" t="str">
        <f>IF('General Data'!$E$11&gt;=3, 'Adults YEAR4'!E28, "")</f>
        <v/>
      </c>
      <c r="L24" s="282" t="str">
        <f>IF('General Data'!$E$11&gt;=4, 'Adults YEAR5'!D28, "")</f>
        <v/>
      </c>
      <c r="M24" s="283" t="str">
        <f>IF('General Data'!$E$11&gt;=4, 'Adults YEAR5'!E28, "")</f>
        <v/>
      </c>
      <c r="N24" s="282" t="str">
        <f>IF('General Data'!$E$11&gt;=5, 'Adults YEAR5'!F158, "")</f>
        <v/>
      </c>
      <c r="O24" s="283" t="str">
        <f>IF('General Data'!$E$11&gt;=5, 'Adults YEAR5'!G158, "")</f>
        <v/>
      </c>
    </row>
    <row r="25" spans="1:23" ht="14.25" thickTop="1" thickBot="1" x14ac:dyDescent="0.25">
      <c r="B25" s="286"/>
      <c r="C25" s="287" t="str">
        <f>'Adults YEAR1'!C159</f>
        <v>TOTAL</v>
      </c>
      <c r="D25" s="288">
        <f>IF('General Data'!$E$11&gt;=1, 'Adults YEAR1'!D29, "")</f>
        <v>14542.999999999998</v>
      </c>
      <c r="E25" s="289">
        <f>IF('General Data'!$E$11&gt;=1, 'Adults YEAR1'!E29, "")</f>
        <v>0.99999999999999989</v>
      </c>
      <c r="F25" s="288">
        <f>IF('General Data'!$E$11&gt;=1, 'Adults YEAR2'!D29, "")</f>
        <v>19707.596031359677</v>
      </c>
      <c r="G25" s="289">
        <f>IF('General Data'!$E$11&gt;=1, 'Adults YEAR1'!E29, "")</f>
        <v>0.99999999999999989</v>
      </c>
      <c r="H25" s="288" t="str">
        <f>IF('General Data'!$E$11&gt;=2, 'Adults YEAR3'!D29, "")</f>
        <v/>
      </c>
      <c r="I25" s="289" t="str">
        <f>IF('General Data'!$E$11&gt;=2, 'Adults YEAR2'!E29, "")</f>
        <v/>
      </c>
      <c r="J25" s="288" t="str">
        <f>IF('General Data'!$E$11&gt;=3, 'Adults YEAR4'!D29, "")</f>
        <v/>
      </c>
      <c r="K25" s="289" t="str">
        <f>IF('General Data'!$E$11&gt;=3, 'Adults YEAR4'!E29, "")</f>
        <v/>
      </c>
      <c r="L25" s="288" t="str">
        <f>IF('General Data'!$E$11&gt;=4, 'Adults YEAR5'!D29, "")</f>
        <v/>
      </c>
      <c r="M25" s="289" t="str">
        <f>IF('General Data'!$E$11&gt;=4, 'Adults YEAR5'!E29, "")</f>
        <v/>
      </c>
      <c r="N25" s="288" t="str">
        <f>IF('General Data'!$E$11&gt;=5, 'Adults YEAR5'!F159, "")</f>
        <v/>
      </c>
      <c r="O25" s="289" t="str">
        <f>IF('General Data'!$E$11&gt;=5, 'Adults YEAR5'!G159, "")</f>
        <v/>
      </c>
    </row>
    <row r="27" spans="1:23" x14ac:dyDescent="0.2">
      <c r="B27" s="290" t="str">
        <f>'TRAD-Synthesis Adults'!B12</f>
        <v>Commentaires</v>
      </c>
      <c r="C27" s="291"/>
      <c r="D27" s="291"/>
      <c r="E27" s="291"/>
      <c r="F27" s="291"/>
      <c r="G27" s="291"/>
      <c r="H27" s="291"/>
      <c r="I27" s="291"/>
      <c r="J27" s="291"/>
    </row>
    <row r="28" spans="1:23" x14ac:dyDescent="0.2">
      <c r="B28" s="292"/>
      <c r="C28" s="293" t="str">
        <f>'TRAD-Synthesis Adults'!B13</f>
        <v>La répartition en 3ème ligne est une hypothèse. Le Total est supérieur à 100%</v>
      </c>
      <c r="G28" s="958"/>
    </row>
    <row r="31" spans="1:23" s="263" customFormat="1" ht="16.5" thickBot="1" x14ac:dyDescent="0.3">
      <c r="A31" s="261"/>
      <c r="B31" s="2177" t="str">
        <f>'TRAD-Synthesis Adults'!B14</f>
        <v>Résultats N ° 2: LES BESOINS EN ARV POUR ADULTES (sans stocks disponibles au début de la période)</v>
      </c>
      <c r="C31" s="2177"/>
      <c r="D31" s="2177"/>
      <c r="E31" s="2177"/>
      <c r="F31" s="2177"/>
      <c r="G31" s="2177"/>
      <c r="H31" s="2177"/>
      <c r="I31" s="2177"/>
      <c r="J31" s="2177"/>
      <c r="K31" s="2177"/>
      <c r="L31" s="2177"/>
      <c r="M31" s="2177"/>
      <c r="N31" s="262"/>
      <c r="O31" s="262"/>
      <c r="P31" s="262"/>
      <c r="Q31" s="262"/>
      <c r="R31" s="262"/>
      <c r="S31" s="262"/>
      <c r="T31" s="262"/>
      <c r="U31" s="262"/>
      <c r="V31" s="262"/>
      <c r="W31" s="262"/>
    </row>
    <row r="32" spans="1:23" x14ac:dyDescent="0.2">
      <c r="F32" s="958"/>
    </row>
    <row r="33" spans="2:36" ht="13.5" thickBot="1" x14ac:dyDescent="0.25"/>
    <row r="34" spans="2:36" ht="13.5" thickBot="1" x14ac:dyDescent="0.25">
      <c r="I34" s="2214" t="str">
        <f>CONCATENATE("YEAR 1 - ", 'General Data'!G23, "  ", 'General Data'!H23)</f>
        <v>YEAR 1 - 12  mois</v>
      </c>
      <c r="J34" s="2215"/>
      <c r="K34" s="2215"/>
      <c r="L34" s="2216"/>
      <c r="M34" s="2214" t="str">
        <f>CONCATENATE("YEAR 2 - ", 'General Data'!G24, "  ", 'General Data'!H24)</f>
        <v>YEAR 2 - NA  mois</v>
      </c>
      <c r="N34" s="2215"/>
      <c r="O34" s="2215"/>
      <c r="P34" s="2216"/>
      <c r="X34" s="2214" t="str">
        <f>CONCATENATE("YEAR 3 - ", 'General Data'!G25, "  ", 'General Data'!H25)</f>
        <v>YEAR 3 - NA  mois</v>
      </c>
      <c r="Y34" s="2215"/>
      <c r="Z34" s="2215"/>
      <c r="AA34" s="2216"/>
      <c r="AB34" s="2214" t="str">
        <f>CONCATENATE("YEAR 4 - ", 'General Data'!G26, "  ", 'General Data'!H26)</f>
        <v>YEAR 4 - NA  mois</v>
      </c>
      <c r="AC34" s="2215"/>
      <c r="AD34" s="2215"/>
      <c r="AE34" s="2216"/>
      <c r="AF34" s="2214" t="str">
        <f>CONCATENATE("YEAR 5 - ", 'General Data'!G27, "  ", 'General Data'!H27)</f>
        <v>YEAR 5 - NA  mois</v>
      </c>
      <c r="AG34" s="2215"/>
      <c r="AH34" s="2215"/>
      <c r="AI34" s="2216"/>
    </row>
    <row r="35" spans="2:36" ht="64.5" thickBot="1" x14ac:dyDescent="0.25">
      <c r="B35" s="294"/>
      <c r="C35" s="295" t="str">
        <f>'TRAD-Synthesis Adults'!B15</f>
        <v>produit</v>
      </c>
      <c r="D35" s="296" t="str">
        <f>'TRAD-Synthesis Adults'!B16</f>
        <v>Nom de spécialité</v>
      </c>
      <c r="E35" s="296" t="str">
        <f>'TRAD-Synthesis Adults'!B17</f>
        <v>Forme galénique</v>
      </c>
      <c r="F35" s="296" t="str">
        <f>'TRAD-Synthesis Adults'!B18</f>
        <v>Dosage</v>
      </c>
      <c r="G35" s="296" t="str">
        <f>'TRAD-Synthesis Adults'!B19</f>
        <v>unité de mesure</v>
      </c>
      <c r="H35" s="297" t="str">
        <f>'TRAD-Synthesis Adults'!B20</f>
        <v>Prix unitaire par cdt (US$)  [1]</v>
      </c>
      <c r="I35" s="298" t="str">
        <f>'TRAD-Synthesis Adults'!B21</f>
        <v>TOTAL (nbre de btes)</v>
      </c>
      <c r="J35" s="299" t="str">
        <f>'TRAD-Synthesis Adults'!B22</f>
        <v>Tampon (nbre de btes)</v>
      </c>
      <c r="K35" s="300" t="str">
        <f>'TRAD-Synthesis Adults'!B23</f>
        <v>TOTAL + Tampon (nbre de btes)</v>
      </c>
      <c r="L35" s="301" t="str">
        <f>'TRAD-Synthesis Adults'!B24</f>
        <v>PRIX TOTAL (US$)</v>
      </c>
      <c r="M35" s="298" t="str">
        <f>'TRAD-Synthesis Adults'!B21</f>
        <v>TOTAL (nbre de btes)</v>
      </c>
      <c r="N35" s="300" t="str">
        <f>'TRAD-Synthesis Adults'!B25</f>
        <v>Tampon / Année passée (nbre de btes)</v>
      </c>
      <c r="O35" s="300" t="str">
        <f>'TRAD-Synthesis Adults'!B23</f>
        <v>TOTAL + Tampon (nbre de btes)</v>
      </c>
      <c r="P35" s="301" t="str">
        <f>'TRAD-Synthesis Adults'!B24</f>
        <v>PRIX TOTAL (US$)</v>
      </c>
      <c r="Q35" s="294"/>
      <c r="R35" s="295" t="str">
        <f>'TRAD-Synthesis Adults'!B15</f>
        <v>produit</v>
      </c>
      <c r="S35" s="296" t="str">
        <f>'TRAD-Synthesis Adults'!B16</f>
        <v>Nom de spécialité</v>
      </c>
      <c r="T35" s="296" t="str">
        <f>'TRAD-Synthesis Adults'!B17</f>
        <v>Forme galénique</v>
      </c>
      <c r="U35" s="296" t="str">
        <f>'TRAD-Synthesis Adults'!B18</f>
        <v>Dosage</v>
      </c>
      <c r="V35" s="296" t="str">
        <f>'TRAD-Synthesis Adults'!B19</f>
        <v>unité de mesure</v>
      </c>
      <c r="W35" s="297" t="str">
        <f>'TRAD-Synthesis Adults'!B20</f>
        <v>Prix unitaire par cdt (US$)  [1]</v>
      </c>
      <c r="X35" s="298" t="str">
        <f>'TRAD-Synthesis Adults'!B21</f>
        <v>TOTAL (nbre de btes)</v>
      </c>
      <c r="Y35" s="300" t="str">
        <f>'TRAD-Synthesis Adults'!B25</f>
        <v>Tampon / Année passée (nbre de btes)</v>
      </c>
      <c r="Z35" s="300" t="str">
        <f>'TRAD-Synthesis Adults'!B23</f>
        <v>TOTAL + Tampon (nbre de btes)</v>
      </c>
      <c r="AA35" s="301" t="str">
        <f>'TRAD-Synthesis Adults'!B24</f>
        <v>PRIX TOTAL (US$)</v>
      </c>
      <c r="AB35" s="298" t="str">
        <f>'TRAD-Synthesis Adults'!B21</f>
        <v>TOTAL (nbre de btes)</v>
      </c>
      <c r="AC35" s="300" t="str">
        <f>'TRAD-Synthesis Adults'!B25</f>
        <v>Tampon / Année passée (nbre de btes)</v>
      </c>
      <c r="AD35" s="300" t="str">
        <f>'TRAD-Synthesis Adults'!B23</f>
        <v>TOTAL + Tampon (nbre de btes)</v>
      </c>
      <c r="AE35" s="301" t="str">
        <f>'TRAD-Synthesis Adults'!B24</f>
        <v>PRIX TOTAL (US$)</v>
      </c>
      <c r="AF35" s="298" t="str">
        <f>'TRAD-Synthesis Adults'!B21</f>
        <v>TOTAL (nbre de btes)</v>
      </c>
      <c r="AG35" s="300" t="str">
        <f>'TRAD-Synthesis Adults'!B25</f>
        <v>Tampon / Année passée (nbre de btes)</v>
      </c>
      <c r="AH35" s="300" t="str">
        <f>'TRAD-Synthesis Adults'!B23</f>
        <v>TOTAL + Tampon (nbre de btes)</v>
      </c>
      <c r="AI35" s="301" t="str">
        <f>'TRAD-Synthesis Adults'!B24</f>
        <v>PRIX TOTAL (US$)</v>
      </c>
      <c r="AJ35" s="302" t="str">
        <f>'TRAD-Synthesis Adults'!B26</f>
        <v>PRIX TOTAL durant toute la période (US$)</v>
      </c>
    </row>
    <row r="36" spans="2:36" x14ac:dyDescent="0.2">
      <c r="B36" s="303" t="str">
        <f>'Available Stocks'!D13</f>
        <v>CDF</v>
      </c>
      <c r="C36" s="304" t="s">
        <v>7</v>
      </c>
      <c r="D36" s="305" t="s">
        <v>76</v>
      </c>
      <c r="E36" s="305" t="str">
        <f>'Available Stocks'!F13</f>
        <v>Cp</v>
      </c>
      <c r="F36" s="305" t="str">
        <f>'Available Stocks'!G13</f>
        <v>300/150/200 mg</v>
      </c>
      <c r="G36" s="306">
        <v>60</v>
      </c>
      <c r="H36" s="307">
        <f ca="1">'Global Synthesis'!H11</f>
        <v>9.7899999999999991</v>
      </c>
      <c r="I36" s="308">
        <f>IF('General Data'!$E$11&gt;=1, 'Adults YEAR1'!O226, 0)</f>
        <v>128019</v>
      </c>
      <c r="J36" s="309">
        <f>IF('General Data'!$E$11&gt;=1, 'Adults YEAR1'!V226, 0)</f>
        <v>32468</v>
      </c>
      <c r="K36" s="309">
        <f>IF('General Data'!$E$11&gt;=1, 'Adults YEAR1'!U226, 0)</f>
        <v>160487</v>
      </c>
      <c r="L36" s="310">
        <f ca="1">K36*H36</f>
        <v>1571167.7299999997</v>
      </c>
      <c r="M36" s="308">
        <f>IF('General Data'!$E$11&gt;=2, 'Adults YEAR2'!O226, 0)</f>
        <v>0</v>
      </c>
      <c r="N36" s="309">
        <f>IF('General Data'!$E$11&gt;=2, 'Adults YEAR2'!W226, 0)</f>
        <v>0</v>
      </c>
      <c r="O36" s="309">
        <f t="shared" ref="O36:O63" si="0">IF(ISERROR(M36+N36), 0, (M36+N36))</f>
        <v>0</v>
      </c>
      <c r="P36" s="310">
        <f ca="1">O36*H36</f>
        <v>0</v>
      </c>
      <c r="Q36" s="303" t="s">
        <v>75</v>
      </c>
      <c r="R36" s="304" t="str">
        <f>C36</f>
        <v>AZT+3TC+NVP</v>
      </c>
      <c r="S36" s="305" t="str">
        <f t="shared" ref="S36:V53" si="1">D36</f>
        <v>DUOVIR-N</v>
      </c>
      <c r="T36" s="305" t="str">
        <f t="shared" si="1"/>
        <v>Cp</v>
      </c>
      <c r="U36" s="305" t="str">
        <f t="shared" si="1"/>
        <v>300/150/200 mg</v>
      </c>
      <c r="V36" s="306">
        <f t="shared" si="1"/>
        <v>60</v>
      </c>
      <c r="W36" s="307">
        <f t="shared" ref="W36:W63" ca="1" si="2">H36</f>
        <v>9.7899999999999991</v>
      </c>
      <c r="X36" s="308">
        <f>IF('General Data'!$E$11&gt;=3, 'Adults YEAR3'!O226, 0)</f>
        <v>0</v>
      </c>
      <c r="Y36" s="309">
        <f>IF('General Data'!$E$11&gt;=3, 'Adults YEAR3'!W226, 0)</f>
        <v>0</v>
      </c>
      <c r="Z36" s="309">
        <f t="shared" ref="Z36:Z63" si="3">IF(ISERROR(X36+Y36), 0, (X36+Y36))</f>
        <v>0</v>
      </c>
      <c r="AA36" s="310">
        <f ca="1">Z36*H36</f>
        <v>0</v>
      </c>
      <c r="AB36" s="308">
        <f>IF('General Data'!$E$11&gt;=4, 'Adults YEAR4'!O226, 0)</f>
        <v>0</v>
      </c>
      <c r="AC36" s="309">
        <f>IF('General Data'!$E$11&gt;=4, 'Adults YEAR4'!W226, 0)</f>
        <v>0</v>
      </c>
      <c r="AD36" s="309">
        <f t="shared" ref="AD36:AD63" si="4">IF(ISERROR(AB36+AC36), 0, (AB36+AC36))</f>
        <v>0</v>
      </c>
      <c r="AE36" s="310">
        <f ca="1">AD36*H36</f>
        <v>0</v>
      </c>
      <c r="AF36" s="308">
        <f>IF('General Data'!$E$11&gt;=5, 'Adults YEAR5'!O226, 0)</f>
        <v>0</v>
      </c>
      <c r="AG36" s="309">
        <f>IF('General Data'!$E$11&gt;=5, 'Adults YEAR5'!W226, 0)</f>
        <v>0</v>
      </c>
      <c r="AH36" s="309">
        <f t="shared" ref="AH36:AH63" si="5">IF(ISERROR(AF36+AG36), 0, (AF36+AG36))</f>
        <v>0</v>
      </c>
      <c r="AI36" s="310">
        <f ca="1">AH36*H36</f>
        <v>0</v>
      </c>
      <c r="AJ36" s="311">
        <f ca="1">AI36+AE36+AA36+P36+L36</f>
        <v>1571167.7299999997</v>
      </c>
    </row>
    <row r="37" spans="2:36" x14ac:dyDescent="0.2">
      <c r="B37" s="312"/>
      <c r="C37" s="313" t="s">
        <v>140</v>
      </c>
      <c r="D37" s="314"/>
      <c r="E37" s="314" t="str">
        <f>'Available Stocks'!F15</f>
        <v>Cp</v>
      </c>
      <c r="F37" s="314" t="str">
        <f>'Available Stocks'!G15</f>
        <v>300/150/300 mg</v>
      </c>
      <c r="G37" s="315">
        <v>60</v>
      </c>
      <c r="H37" s="316">
        <f ca="1">'Global Synthesis'!H13</f>
        <v>28</v>
      </c>
      <c r="I37" s="317">
        <f>IF('General Data'!$E$11&gt;=1, 'Adults YEAR1'!O227, 0)</f>
        <v>671</v>
      </c>
      <c r="J37" s="318">
        <f>IF('General Data'!$E$11&gt;=1, 'Adults YEAR1'!V227, 0)</f>
        <v>260</v>
      </c>
      <c r="K37" s="318">
        <f>IF('General Data'!$E$11&gt;=1, 'Adults YEAR1'!U227, 0)</f>
        <v>931</v>
      </c>
      <c r="L37" s="319">
        <f ca="1">K37*H37</f>
        <v>26068</v>
      </c>
      <c r="M37" s="317">
        <f>IF('General Data'!$E$11&gt;=2, 'Adults YEAR2'!O227, 0)</f>
        <v>0</v>
      </c>
      <c r="N37" s="318">
        <f>IF('General Data'!$E$11&gt;=2, 'Adults YEAR2'!W227, 0)</f>
        <v>0</v>
      </c>
      <c r="O37" s="318">
        <f t="shared" si="0"/>
        <v>0</v>
      </c>
      <c r="P37" s="319">
        <f ca="1">O37*H37</f>
        <v>0</v>
      </c>
      <c r="Q37" s="312"/>
      <c r="R37" s="313" t="str">
        <f t="shared" ref="R37:R63" si="6">C37</f>
        <v>AZT+3TC+ABC</v>
      </c>
      <c r="S37" s="314"/>
      <c r="T37" s="314" t="str">
        <f t="shared" si="1"/>
        <v>Cp</v>
      </c>
      <c r="U37" s="314" t="str">
        <f t="shared" si="1"/>
        <v>300/150/300 mg</v>
      </c>
      <c r="V37" s="315">
        <f t="shared" si="1"/>
        <v>60</v>
      </c>
      <c r="W37" s="316">
        <f t="shared" ca="1" si="2"/>
        <v>28</v>
      </c>
      <c r="X37" s="317">
        <f>IF('General Data'!$E$11&gt;=3, 'Adults YEAR3'!O227, 0)</f>
        <v>0</v>
      </c>
      <c r="Y37" s="318">
        <f>IF('General Data'!$E$11&gt;=3, 'Adults YEAR3'!W227, 0)</f>
        <v>0</v>
      </c>
      <c r="Z37" s="318">
        <f t="shared" si="3"/>
        <v>0</v>
      </c>
      <c r="AA37" s="319">
        <f ca="1">Z37*H37</f>
        <v>0</v>
      </c>
      <c r="AB37" s="317">
        <f>IF('General Data'!$E$11&gt;=4, 'Adults YEAR4'!O227, 0)</f>
        <v>0</v>
      </c>
      <c r="AC37" s="318">
        <f>IF('General Data'!$E$11&gt;=4, 'Adults YEAR4'!W227, 0)</f>
        <v>0</v>
      </c>
      <c r="AD37" s="318">
        <f t="shared" si="4"/>
        <v>0</v>
      </c>
      <c r="AE37" s="319">
        <f ca="1">AD37*H37</f>
        <v>0</v>
      </c>
      <c r="AF37" s="317">
        <f>IF('General Data'!$E$11&gt;=5, 'Adults YEAR5'!O227, 0)</f>
        <v>0</v>
      </c>
      <c r="AG37" s="318">
        <f>IF('General Data'!$E$11&gt;=5, 'Adults YEAR5'!W227, 0)</f>
        <v>0</v>
      </c>
      <c r="AH37" s="318">
        <f t="shared" si="5"/>
        <v>0</v>
      </c>
      <c r="AI37" s="319">
        <f ca="1">AH37*H37</f>
        <v>0</v>
      </c>
      <c r="AJ37" s="320">
        <f ca="1">AI37+AE37+AA37+P37+L37</f>
        <v>26068</v>
      </c>
    </row>
    <row r="38" spans="2:36" x14ac:dyDescent="0.2">
      <c r="B38" s="312"/>
      <c r="C38" s="313" t="s">
        <v>731</v>
      </c>
      <c r="D38" s="314"/>
      <c r="E38" s="314" t="str">
        <f>'Available Stocks'!F17</f>
        <v>Cp/coblister</v>
      </c>
      <c r="F38" s="314" t="str">
        <f>'Available Stocks'!G17</f>
        <v>[300/150]/600 mg</v>
      </c>
      <c r="G38" s="315">
        <v>60</v>
      </c>
      <c r="H38" s="316">
        <f ca="1">'Global Synthesis'!H15</f>
        <v>17.5</v>
      </c>
      <c r="I38" s="317">
        <f>IF('General Data'!$E$11&gt;=1, 'Adults YEAR1'!O228, 0)</f>
        <v>0</v>
      </c>
      <c r="J38" s="318" t="str">
        <f>IF('General Data'!$E$11&gt;=1, 'Adults YEAR1'!V228, 0)</f>
        <v>0</v>
      </c>
      <c r="K38" s="318">
        <f>IF('General Data'!$E$11&gt;=1, 'Adults YEAR1'!U228, 0)</f>
        <v>0</v>
      </c>
      <c r="L38" s="319">
        <f t="shared" ref="L38:L40" ca="1" si="7">K38*H38</f>
        <v>0</v>
      </c>
      <c r="M38" s="317">
        <f>IF('General Data'!$E$11&gt;=2, 'Adults YEAR2'!O228, 0)</f>
        <v>0</v>
      </c>
      <c r="N38" s="318">
        <f>IF('General Data'!$E$11&gt;=2, 'Adults YEAR2'!W228, 0)</f>
        <v>0</v>
      </c>
      <c r="O38" s="318">
        <f t="shared" si="0"/>
        <v>0</v>
      </c>
      <c r="P38" s="319">
        <f t="shared" ref="P38:P40" ca="1" si="8">O38*H38</f>
        <v>0</v>
      </c>
      <c r="Q38" s="312"/>
      <c r="R38" s="313" t="str">
        <f t="shared" ref="R38:R40" si="9">C38</f>
        <v>[AZT+3TC]+EFV</v>
      </c>
      <c r="S38" s="314"/>
      <c r="T38" s="314" t="str">
        <f t="shared" ref="T38:T40" si="10">E38</f>
        <v>Cp/coblister</v>
      </c>
      <c r="U38" s="314" t="str">
        <f t="shared" ref="U38:U40" si="11">F38</f>
        <v>[300/150]/600 mg</v>
      </c>
      <c r="V38" s="315">
        <f t="shared" ref="V38:V40" si="12">G38</f>
        <v>60</v>
      </c>
      <c r="W38" s="316">
        <f t="shared" ca="1" si="2"/>
        <v>17.5</v>
      </c>
      <c r="X38" s="317">
        <f>IF('General Data'!$E$11&gt;=3, 'Adults YEAR3'!O228, 0)</f>
        <v>0</v>
      </c>
      <c r="Y38" s="318">
        <f>IF('General Data'!$E$11&gt;=3, 'Adults YEAR3'!W228, 0)</f>
        <v>0</v>
      </c>
      <c r="Z38" s="318">
        <f t="shared" si="3"/>
        <v>0</v>
      </c>
      <c r="AA38" s="319">
        <f t="shared" ref="AA38:AA40" ca="1" si="13">Z38*H38</f>
        <v>0</v>
      </c>
      <c r="AB38" s="317">
        <f>IF('General Data'!$E$11&gt;=4, 'Adults YEAR4'!O228, 0)</f>
        <v>0</v>
      </c>
      <c r="AC38" s="318">
        <f>IF('General Data'!$E$11&gt;=4, 'Adults YEAR4'!W228, 0)</f>
        <v>0</v>
      </c>
      <c r="AD38" s="318">
        <f t="shared" si="4"/>
        <v>0</v>
      </c>
      <c r="AE38" s="319">
        <f t="shared" ref="AE38:AE40" ca="1" si="14">AD38*H38</f>
        <v>0</v>
      </c>
      <c r="AF38" s="317">
        <f>IF('General Data'!$E$11&gt;=5, 'Adults YEAR5'!O228, 0)</f>
        <v>0</v>
      </c>
      <c r="AG38" s="318">
        <f>IF('General Data'!$E$11&gt;=5, 'Adults YEAR5'!W228, 0)</f>
        <v>0</v>
      </c>
      <c r="AH38" s="318">
        <f t="shared" si="5"/>
        <v>0</v>
      </c>
      <c r="AI38" s="319">
        <f t="shared" ref="AI38:AI40" ca="1" si="15">AH38*H38</f>
        <v>0</v>
      </c>
      <c r="AJ38" s="320">
        <f t="shared" ref="AJ38:AJ40" ca="1" si="16">AI38+AE38+AA38+P38+L38</f>
        <v>0</v>
      </c>
    </row>
    <row r="39" spans="2:36" x14ac:dyDescent="0.2">
      <c r="B39" s="321"/>
      <c r="C39" s="322" t="s">
        <v>11</v>
      </c>
      <c r="D39" s="323" t="s">
        <v>78</v>
      </c>
      <c r="E39" s="323" t="str">
        <f>'Available Stocks'!F18</f>
        <v>Cp</v>
      </c>
      <c r="F39" s="323" t="str">
        <f>'Available Stocks'!G18</f>
        <v>300/150 mg</v>
      </c>
      <c r="G39" s="324">
        <v>60</v>
      </c>
      <c r="H39" s="325">
        <f ca="1">'Global Synthesis'!H16</f>
        <v>7.65</v>
      </c>
      <c r="I39" s="317">
        <f>IF('General Data'!$E$11&gt;=1, 'Adults YEAR1'!O229, 0)</f>
        <v>24628</v>
      </c>
      <c r="J39" s="318">
        <f>IF('General Data'!$E$11&gt;=1, 'Adults YEAR1'!V229, 0)</f>
        <v>6295</v>
      </c>
      <c r="K39" s="318">
        <f>IF('General Data'!$E$11&gt;=1, 'Adults YEAR1'!U229, 0)</f>
        <v>30923</v>
      </c>
      <c r="L39" s="319">
        <f t="shared" ca="1" si="7"/>
        <v>236560.95</v>
      </c>
      <c r="M39" s="317">
        <f>IF('General Data'!$E$11&gt;=2, 'Adults YEAR2'!O229, 0)</f>
        <v>0</v>
      </c>
      <c r="N39" s="318">
        <f>IF('General Data'!$E$11&gt;=2, 'Adults YEAR2'!W229, 0)</f>
        <v>0</v>
      </c>
      <c r="O39" s="318">
        <f t="shared" si="0"/>
        <v>0</v>
      </c>
      <c r="P39" s="319">
        <f t="shared" ca="1" si="8"/>
        <v>0</v>
      </c>
      <c r="Q39" s="321"/>
      <c r="R39" s="313" t="str">
        <f t="shared" si="9"/>
        <v>AZT+3TC</v>
      </c>
      <c r="S39" s="314" t="str">
        <f t="shared" ref="S39" si="17">D39</f>
        <v>DUOVIR</v>
      </c>
      <c r="T39" s="314" t="str">
        <f t="shared" si="10"/>
        <v>Cp</v>
      </c>
      <c r="U39" s="314" t="str">
        <f t="shared" si="11"/>
        <v>300/150 mg</v>
      </c>
      <c r="V39" s="315">
        <f t="shared" si="12"/>
        <v>60</v>
      </c>
      <c r="W39" s="316">
        <f t="shared" ca="1" si="2"/>
        <v>7.65</v>
      </c>
      <c r="X39" s="317">
        <f>IF('General Data'!$E$11&gt;=3, 'Adults YEAR3'!O229, 0)</f>
        <v>0</v>
      </c>
      <c r="Y39" s="318">
        <f>IF('General Data'!$E$11&gt;=3, 'Adults YEAR3'!W229, 0)</f>
        <v>0</v>
      </c>
      <c r="Z39" s="318">
        <f t="shared" si="3"/>
        <v>0</v>
      </c>
      <c r="AA39" s="319">
        <f t="shared" ca="1" si="13"/>
        <v>0</v>
      </c>
      <c r="AB39" s="317">
        <f>IF('General Data'!$E$11&gt;=4, 'Adults YEAR4'!O229, 0)</f>
        <v>0</v>
      </c>
      <c r="AC39" s="318">
        <f>IF('General Data'!$E$11&gt;=4, 'Adults YEAR4'!W229, 0)</f>
        <v>0</v>
      </c>
      <c r="AD39" s="318">
        <f t="shared" si="4"/>
        <v>0</v>
      </c>
      <c r="AE39" s="319">
        <f t="shared" ca="1" si="14"/>
        <v>0</v>
      </c>
      <c r="AF39" s="317">
        <f>IF('General Data'!$E$11&gt;=5, 'Adults YEAR5'!O229, 0)</f>
        <v>0</v>
      </c>
      <c r="AG39" s="318">
        <f>IF('General Data'!$E$11&gt;=5, 'Adults YEAR5'!W229, 0)</f>
        <v>0</v>
      </c>
      <c r="AH39" s="318">
        <f t="shared" si="5"/>
        <v>0</v>
      </c>
      <c r="AI39" s="319">
        <f t="shared" ca="1" si="15"/>
        <v>0</v>
      </c>
      <c r="AJ39" s="320">
        <f t="shared" ca="1" si="16"/>
        <v>236560.95</v>
      </c>
    </row>
    <row r="40" spans="2:36" x14ac:dyDescent="0.2">
      <c r="B40" s="321"/>
      <c r="C40" s="322" t="s">
        <v>586</v>
      </c>
      <c r="D40" s="323"/>
      <c r="E40" s="323" t="str">
        <f>'Available Stocks'!F20</f>
        <v>Cp</v>
      </c>
      <c r="F40" s="323" t="str">
        <f>'Available Stocks'!G20</f>
        <v>300/600 mg</v>
      </c>
      <c r="G40" s="324">
        <v>60</v>
      </c>
      <c r="H40" s="325">
        <f ca="1">'Global Synthesis'!H22</f>
        <v>17.82</v>
      </c>
      <c r="I40" s="317">
        <f>IF('General Data'!$E$11&gt;=1, 'Adults YEAR1'!O230, 0)</f>
        <v>524</v>
      </c>
      <c r="J40" s="318">
        <f>IF('General Data'!$E$11&gt;=1, 'Adults YEAR1'!V230, 0)</f>
        <v>131</v>
      </c>
      <c r="K40" s="318">
        <f>IF('General Data'!$E$11&gt;=1, 'Adults YEAR1'!U230, 0)</f>
        <v>655</v>
      </c>
      <c r="L40" s="319">
        <f t="shared" ca="1" si="7"/>
        <v>11672.1</v>
      </c>
      <c r="M40" s="317">
        <f>IF('General Data'!$E$11&gt;=2, 'Adults YEAR2'!O230, 0)</f>
        <v>0</v>
      </c>
      <c r="N40" s="318">
        <f>IF('General Data'!$E$11&gt;=2, 'Adults YEAR2'!W230, 0)</f>
        <v>0</v>
      </c>
      <c r="O40" s="318">
        <f t="shared" si="0"/>
        <v>0</v>
      </c>
      <c r="P40" s="319">
        <f t="shared" ca="1" si="8"/>
        <v>0</v>
      </c>
      <c r="Q40" s="321"/>
      <c r="R40" s="313" t="str">
        <f t="shared" si="9"/>
        <v>ABC+3TC</v>
      </c>
      <c r="S40" s="314"/>
      <c r="T40" s="314" t="str">
        <f t="shared" si="10"/>
        <v>Cp</v>
      </c>
      <c r="U40" s="314" t="str">
        <f t="shared" si="11"/>
        <v>300/600 mg</v>
      </c>
      <c r="V40" s="315">
        <f t="shared" si="12"/>
        <v>60</v>
      </c>
      <c r="W40" s="316">
        <f t="shared" ca="1" si="2"/>
        <v>17.82</v>
      </c>
      <c r="X40" s="317">
        <f>IF('General Data'!$E$11&gt;=3, 'Adults YEAR3'!O230, 0)</f>
        <v>0</v>
      </c>
      <c r="Y40" s="318">
        <f>IF('General Data'!$E$11&gt;=3, 'Adults YEAR3'!W230, 0)</f>
        <v>0</v>
      </c>
      <c r="Z40" s="318">
        <f t="shared" si="3"/>
        <v>0</v>
      </c>
      <c r="AA40" s="319">
        <f t="shared" ca="1" si="13"/>
        <v>0</v>
      </c>
      <c r="AB40" s="317">
        <f>IF('General Data'!$E$11&gt;=4, 'Adults YEAR4'!O230, 0)</f>
        <v>0</v>
      </c>
      <c r="AC40" s="318">
        <f>IF('General Data'!$E$11&gt;=4, 'Adults YEAR4'!W230, 0)</f>
        <v>0</v>
      </c>
      <c r="AD40" s="318">
        <f t="shared" si="4"/>
        <v>0</v>
      </c>
      <c r="AE40" s="319">
        <f t="shared" ca="1" si="14"/>
        <v>0</v>
      </c>
      <c r="AF40" s="317">
        <f>IF('General Data'!$E$11&gt;=5, 'Adults YEAR5'!O230, 0)</f>
        <v>0</v>
      </c>
      <c r="AG40" s="318">
        <f>IF('General Data'!$E$11&gt;=5, 'Adults YEAR5'!W230, 0)</f>
        <v>0</v>
      </c>
      <c r="AH40" s="318">
        <f t="shared" si="5"/>
        <v>0</v>
      </c>
      <c r="AI40" s="319">
        <f t="shared" ca="1" si="15"/>
        <v>0</v>
      </c>
      <c r="AJ40" s="320">
        <f t="shared" ca="1" si="16"/>
        <v>11672.1</v>
      </c>
    </row>
    <row r="41" spans="2:36" x14ac:dyDescent="0.2">
      <c r="B41" s="321"/>
      <c r="C41" s="322" t="s">
        <v>50</v>
      </c>
      <c r="D41" s="323" t="s">
        <v>79</v>
      </c>
      <c r="E41" s="323" t="str">
        <f>'Available Stocks'!F22</f>
        <v>Cp</v>
      </c>
      <c r="F41" s="323" t="str">
        <f>'Available Stocks'!G22</f>
        <v>30/150/200 mg</v>
      </c>
      <c r="G41" s="324">
        <v>60</v>
      </c>
      <c r="H41" s="325">
        <f ca="1">'Global Synthesis'!H18</f>
        <v>4.57</v>
      </c>
      <c r="I41" s="326">
        <f>IF('General Data'!$E$11&gt;=1, 'Adults YEAR1'!O231, 0)</f>
        <v>0</v>
      </c>
      <c r="J41" s="327" t="str">
        <f>IF('General Data'!$E$11&gt;=1, 'Adults YEAR1'!V231, 0)</f>
        <v>0</v>
      </c>
      <c r="K41" s="327">
        <f>IF('General Data'!$E$11&gt;=1, 'Adults YEAR1'!U231, 0)</f>
        <v>0</v>
      </c>
      <c r="L41" s="328">
        <f t="shared" ref="L41:L60" ca="1" si="18">K41*H41</f>
        <v>0</v>
      </c>
      <c r="M41" s="326">
        <f>IF('General Data'!$E$11&gt;=2, 'Adults YEAR2'!O231, 0)</f>
        <v>0</v>
      </c>
      <c r="N41" s="327">
        <f>IF('General Data'!$E$11&gt;=2, 'Adults YEAR2'!W231, 0)</f>
        <v>0</v>
      </c>
      <c r="O41" s="327">
        <f t="shared" si="0"/>
        <v>0</v>
      </c>
      <c r="P41" s="328">
        <f t="shared" ref="P41:P59" ca="1" si="19">O41*H41</f>
        <v>0</v>
      </c>
      <c r="Q41" s="321"/>
      <c r="R41" s="322" t="str">
        <f t="shared" si="6"/>
        <v>D4T+3TC+NVP</v>
      </c>
      <c r="S41" s="323" t="str">
        <f t="shared" si="1"/>
        <v>TRIOMUNE</v>
      </c>
      <c r="T41" s="323" t="str">
        <f t="shared" si="1"/>
        <v>Cp</v>
      </c>
      <c r="U41" s="323" t="str">
        <f t="shared" si="1"/>
        <v>30/150/200 mg</v>
      </c>
      <c r="V41" s="324">
        <f t="shared" si="1"/>
        <v>60</v>
      </c>
      <c r="W41" s="325">
        <f t="shared" ca="1" si="2"/>
        <v>4.57</v>
      </c>
      <c r="X41" s="326">
        <f>IF('General Data'!$E$11&gt;=3, 'Adults YEAR3'!O231, 0)</f>
        <v>0</v>
      </c>
      <c r="Y41" s="327">
        <f>IF('General Data'!$E$11&gt;=3, 'Adults YEAR3'!W231, 0)</f>
        <v>0</v>
      </c>
      <c r="Z41" s="327">
        <f t="shared" si="3"/>
        <v>0</v>
      </c>
      <c r="AA41" s="328">
        <f t="shared" ref="AA41:AA59" ca="1" si="20">Z41*H41</f>
        <v>0</v>
      </c>
      <c r="AB41" s="326">
        <f>IF('General Data'!$E$11&gt;=4, 'Adults YEAR4'!O231, 0)</f>
        <v>0</v>
      </c>
      <c r="AC41" s="327">
        <f>IF('General Data'!$E$11&gt;=4, 'Adults YEAR4'!W231, 0)</f>
        <v>0</v>
      </c>
      <c r="AD41" s="327">
        <f t="shared" si="4"/>
        <v>0</v>
      </c>
      <c r="AE41" s="328">
        <f t="shared" ref="AE41:AE59" ca="1" si="21">AD41*H41</f>
        <v>0</v>
      </c>
      <c r="AF41" s="326">
        <f>IF('General Data'!$E$11&gt;=5, 'Adults YEAR5'!O231, 0)</f>
        <v>0</v>
      </c>
      <c r="AG41" s="327">
        <f>IF('General Data'!$E$11&gt;=5, 'Adults YEAR5'!W231, 0)</f>
        <v>0</v>
      </c>
      <c r="AH41" s="327">
        <f t="shared" si="5"/>
        <v>0</v>
      </c>
      <c r="AI41" s="328">
        <f t="shared" ref="AI41:AI59" ca="1" si="22">AH41*H41</f>
        <v>0</v>
      </c>
      <c r="AJ41" s="329">
        <f t="shared" ref="AJ41:AJ60" ca="1" si="23">AI41+AE41+AA41+P41+L41</f>
        <v>0</v>
      </c>
    </row>
    <row r="42" spans="2:36" x14ac:dyDescent="0.2">
      <c r="B42" s="321"/>
      <c r="C42" s="322" t="s">
        <v>81</v>
      </c>
      <c r="D42" s="323" t="s">
        <v>82</v>
      </c>
      <c r="E42" s="323" t="str">
        <f>'Available Stocks'!F24</f>
        <v>Cp</v>
      </c>
      <c r="F42" s="323" t="str">
        <f>'Available Stocks'!G24</f>
        <v>30/150 mg</v>
      </c>
      <c r="G42" s="324">
        <v>60</v>
      </c>
      <c r="H42" s="325">
        <f ca="1">'Global Synthesis'!H20</f>
        <v>2.92</v>
      </c>
      <c r="I42" s="326">
        <f>IF('General Data'!$E$11&gt;=1, 'Adults YEAR1'!O232, 0)</f>
        <v>0</v>
      </c>
      <c r="J42" s="327" t="str">
        <f>IF('General Data'!$E$11&gt;=1, 'Adults YEAR1'!V232, 0)</f>
        <v>0</v>
      </c>
      <c r="K42" s="327">
        <f>IF('General Data'!$E$11&gt;=1, 'Adults YEAR1'!U232, 0)</f>
        <v>0</v>
      </c>
      <c r="L42" s="328">
        <f t="shared" ca="1" si="18"/>
        <v>0</v>
      </c>
      <c r="M42" s="326">
        <f>IF('General Data'!$E$11&gt;=2, 'Adults YEAR2'!O232, 0)</f>
        <v>0</v>
      </c>
      <c r="N42" s="327">
        <f>IF('General Data'!$E$11&gt;=2, 'Adults YEAR2'!W232, 0)</f>
        <v>0</v>
      </c>
      <c r="O42" s="327">
        <f t="shared" si="0"/>
        <v>0</v>
      </c>
      <c r="P42" s="328">
        <f t="shared" ca="1" si="19"/>
        <v>0</v>
      </c>
      <c r="Q42" s="321"/>
      <c r="R42" s="322" t="str">
        <f t="shared" si="6"/>
        <v>D4T+3TC</v>
      </c>
      <c r="S42" s="323" t="str">
        <f t="shared" si="1"/>
        <v>LAMIVIR-S</v>
      </c>
      <c r="T42" s="323" t="str">
        <f t="shared" si="1"/>
        <v>Cp</v>
      </c>
      <c r="U42" s="323" t="str">
        <f t="shared" si="1"/>
        <v>30/150 mg</v>
      </c>
      <c r="V42" s="324">
        <f t="shared" si="1"/>
        <v>60</v>
      </c>
      <c r="W42" s="325">
        <f t="shared" ca="1" si="2"/>
        <v>2.92</v>
      </c>
      <c r="X42" s="326">
        <f>IF('General Data'!$E$11&gt;=3, 'Adults YEAR3'!O232, 0)</f>
        <v>0</v>
      </c>
      <c r="Y42" s="327">
        <f>IF('General Data'!$E$11&gt;=3, 'Adults YEAR3'!W232, 0)</f>
        <v>0</v>
      </c>
      <c r="Z42" s="327">
        <f t="shared" si="3"/>
        <v>0</v>
      </c>
      <c r="AA42" s="328">
        <f t="shared" ca="1" si="20"/>
        <v>0</v>
      </c>
      <c r="AB42" s="326">
        <f>IF('General Data'!$E$11&gt;=4, 'Adults YEAR4'!O232, 0)</f>
        <v>0</v>
      </c>
      <c r="AC42" s="327">
        <f>IF('General Data'!$E$11&gt;=4, 'Adults YEAR4'!W232, 0)</f>
        <v>0</v>
      </c>
      <c r="AD42" s="327">
        <f t="shared" si="4"/>
        <v>0</v>
      </c>
      <c r="AE42" s="328">
        <f t="shared" ca="1" si="21"/>
        <v>0</v>
      </c>
      <c r="AF42" s="326">
        <f>IF('General Data'!$E$11&gt;=5, 'Adults YEAR5'!O232, 0)</f>
        <v>0</v>
      </c>
      <c r="AG42" s="327">
        <f>IF('General Data'!$E$11&gt;=5, 'Adults YEAR5'!W232, 0)</f>
        <v>0</v>
      </c>
      <c r="AH42" s="327">
        <f t="shared" si="5"/>
        <v>0</v>
      </c>
      <c r="AI42" s="328">
        <f t="shared" ca="1" si="22"/>
        <v>0</v>
      </c>
      <c r="AJ42" s="329">
        <f t="shared" ca="1" si="23"/>
        <v>0</v>
      </c>
    </row>
    <row r="43" spans="2:36" x14ac:dyDescent="0.2">
      <c r="B43" s="321"/>
      <c r="C43" s="322" t="s">
        <v>378</v>
      </c>
      <c r="D43" s="323"/>
      <c r="E43" s="323" t="str">
        <f>'Available Stocks'!F26</f>
        <v>Cp</v>
      </c>
      <c r="F43" s="323" t="str">
        <f>'Available Stocks'!G26</f>
        <v>300/200/600 mg</v>
      </c>
      <c r="G43" s="324">
        <v>30</v>
      </c>
      <c r="H43" s="325">
        <f ca="1">'Global Synthesis'!H24</f>
        <v>14.49</v>
      </c>
      <c r="I43" s="326">
        <f>IF('General Data'!$E$11&gt;=1, IF('Data &amp; hypothesis Adults'!$D$221="X", 'Adults YEAR1'!$O233, 0), 0)</f>
        <v>0</v>
      </c>
      <c r="J43" s="327">
        <f>IF('General Data'!$E$11&gt;=1, IF('Data &amp; hypothesis Adults'!$D$221="X", 'Adults YEAR1'!$V233, 0), 0)</f>
        <v>0</v>
      </c>
      <c r="K43" s="327">
        <f>IF('General Data'!$E$11&gt;=1, IF('Data &amp; hypothesis Adults'!$D$221="X", 'Adults YEAR1'!$U233, 0), 0)</f>
        <v>0</v>
      </c>
      <c r="L43" s="328">
        <f ca="1">K43*H43</f>
        <v>0</v>
      </c>
      <c r="M43" s="326">
        <f>IF('General Data'!$E$11&gt;=2, IF('Data &amp; hypothesis Adults'!$D$221="X", 'Adults YEAR2'!$O233, 0), 0)</f>
        <v>0</v>
      </c>
      <c r="N43" s="327">
        <f>IF('General Data'!$E$11&gt;=2, IF('Data &amp; hypothesis Adults'!$D$221="X", 'Adults YEAR2'!$W233, 0), 0)</f>
        <v>0</v>
      </c>
      <c r="O43" s="327">
        <f t="shared" si="0"/>
        <v>0</v>
      </c>
      <c r="P43" s="328">
        <f ca="1">O43*H43</f>
        <v>0</v>
      </c>
      <c r="Q43" s="321"/>
      <c r="R43" s="322" t="str">
        <f t="shared" si="6"/>
        <v>TDF+FTC+EFV [a]</v>
      </c>
      <c r="S43" s="323"/>
      <c r="T43" s="323" t="str">
        <f t="shared" si="1"/>
        <v>Cp</v>
      </c>
      <c r="U43" s="323" t="str">
        <f t="shared" si="1"/>
        <v>300/200/600 mg</v>
      </c>
      <c r="V43" s="324">
        <f t="shared" si="1"/>
        <v>30</v>
      </c>
      <c r="W43" s="325">
        <f t="shared" ca="1" si="2"/>
        <v>14.49</v>
      </c>
      <c r="X43" s="326">
        <f>IF('General Data'!$E$11&gt;=3, IF('Data &amp; hypothesis Adults'!$D$221="X", 'Adults YEAR3'!$O233, 0), 0)</f>
        <v>0</v>
      </c>
      <c r="Y43" s="327">
        <f>IF('General Data'!$E$11&gt;=3, IF('Data &amp; hypothesis Adults'!$D$221="X", 'Adults YEAR3'!$W233, 0), 0)</f>
        <v>0</v>
      </c>
      <c r="Z43" s="327">
        <f t="shared" si="3"/>
        <v>0</v>
      </c>
      <c r="AA43" s="328">
        <f ca="1">Z43*H43</f>
        <v>0</v>
      </c>
      <c r="AB43" s="326">
        <f>IF('General Data'!$E$11&gt;=4, IF('Data &amp; hypothesis Adults'!$D$221="X", 'Adults YEAR4'!$O233, 0), 0)</f>
        <v>0</v>
      </c>
      <c r="AC43" s="327">
        <f>IF('General Data'!$E$11&gt;=4, IF('Data &amp; hypothesis Adults'!$D$221="X", 'Adults YEAR4'!$W233, 0), 0)</f>
        <v>0</v>
      </c>
      <c r="AD43" s="327">
        <f t="shared" si="4"/>
        <v>0</v>
      </c>
      <c r="AE43" s="328">
        <f ca="1">AD43*H43</f>
        <v>0</v>
      </c>
      <c r="AF43" s="326">
        <f>IF('General Data'!$E$11&gt;=5, IF('Data &amp; hypothesis Adults'!$D$221="X", 'Adults YEAR5'!$O233, 0), 0)</f>
        <v>0</v>
      </c>
      <c r="AG43" s="327">
        <f>IF('General Data'!$E$11&gt;=5, IF('Data &amp; hypothesis Adults'!$D$221="X", 'Adults YEAR5'!$W233, 0), 0)</f>
        <v>0</v>
      </c>
      <c r="AH43" s="327">
        <f t="shared" si="5"/>
        <v>0</v>
      </c>
      <c r="AI43" s="328">
        <f ca="1">AH43*H43</f>
        <v>0</v>
      </c>
      <c r="AJ43" s="329">
        <f ca="1">AI43+AE43+AA43+P43+L43</f>
        <v>0</v>
      </c>
    </row>
    <row r="44" spans="2:36" x14ac:dyDescent="0.2">
      <c r="B44" s="321"/>
      <c r="C44" s="322" t="s">
        <v>379</v>
      </c>
      <c r="D44" s="323"/>
      <c r="E44" s="323" t="str">
        <f>'Available Stocks'!F27</f>
        <v>Cp</v>
      </c>
      <c r="F44" s="323" t="str">
        <f>'Available Stocks'!G27</f>
        <v>300/200 mg</v>
      </c>
      <c r="G44" s="324">
        <v>30</v>
      </c>
      <c r="H44" s="325">
        <f ca="1">'Global Synthesis'!H25</f>
        <v>5.93</v>
      </c>
      <c r="I44" s="326">
        <f>IF('General Data'!$E$11&gt;=1, IF('Data &amp; hypothesis Adults'!$D$221="X", 'Adults YEAR1'!$O234, 0), 0)</f>
        <v>0</v>
      </c>
      <c r="J44" s="327">
        <f>IF('General Data'!$E$11&gt;=1, IF('Data &amp; hypothesis Adults'!$D$221="X", 'Adults YEAR1'!$V234, 0), 0)</f>
        <v>0</v>
      </c>
      <c r="K44" s="327">
        <f>IF('General Data'!$E$11&gt;=1, IF('Data &amp; hypothesis Adults'!$D$221="X", 'Adults YEAR1'!$U234, 0), 0)</f>
        <v>0</v>
      </c>
      <c r="L44" s="328">
        <f ca="1">K44*H44</f>
        <v>0</v>
      </c>
      <c r="M44" s="326">
        <f>IF('General Data'!$E$11&gt;=2, IF('Data &amp; hypothesis Adults'!$D$221="X", 'Adults YEAR2'!$O234, 0), 0)</f>
        <v>0</v>
      </c>
      <c r="N44" s="327">
        <f>IF('General Data'!$E$11&gt;=2, IF('Data &amp; hypothesis Adults'!$D$221="X", 'Adults YEAR2'!$W234, 0), 0)</f>
        <v>0</v>
      </c>
      <c r="O44" s="327">
        <f t="shared" si="0"/>
        <v>0</v>
      </c>
      <c r="P44" s="328">
        <f ca="1">O44*H44</f>
        <v>0</v>
      </c>
      <c r="Q44" s="321"/>
      <c r="R44" s="322" t="str">
        <f t="shared" si="6"/>
        <v>TDF+FTC [a]</v>
      </c>
      <c r="S44" s="323"/>
      <c r="T44" s="323" t="str">
        <f t="shared" si="1"/>
        <v>Cp</v>
      </c>
      <c r="U44" s="323" t="str">
        <f t="shared" si="1"/>
        <v>300/200 mg</v>
      </c>
      <c r="V44" s="324">
        <f t="shared" si="1"/>
        <v>30</v>
      </c>
      <c r="W44" s="325">
        <f t="shared" ca="1" si="2"/>
        <v>5.93</v>
      </c>
      <c r="X44" s="326">
        <f>IF('General Data'!$E$11&gt;=3, IF('Data &amp; hypothesis Adults'!$D$221="X", 'Adults YEAR3'!$O234, 0), 0)</f>
        <v>0</v>
      </c>
      <c r="Y44" s="327">
        <f>IF('General Data'!$E$11&gt;=3, IF('Data &amp; hypothesis Adults'!$D$221="X", 'Adults YEAR3'!$W234, 0), 0)</f>
        <v>0</v>
      </c>
      <c r="Z44" s="327">
        <f t="shared" si="3"/>
        <v>0</v>
      </c>
      <c r="AA44" s="328">
        <f ca="1">Z44*H44</f>
        <v>0</v>
      </c>
      <c r="AB44" s="326">
        <f>IF('General Data'!$E$11&gt;=4, IF('Data &amp; hypothesis Adults'!$D$221="X", 'Adults YEAR4'!$O234, 0), 0)</f>
        <v>0</v>
      </c>
      <c r="AC44" s="327">
        <f>IF('General Data'!$E$11&gt;=4, IF('Data &amp; hypothesis Adults'!$D$221="X", 'Adults YEAR4'!$W234, 0), 0)</f>
        <v>0</v>
      </c>
      <c r="AD44" s="327">
        <f t="shared" si="4"/>
        <v>0</v>
      </c>
      <c r="AE44" s="328">
        <f ca="1">AD44*H44</f>
        <v>0</v>
      </c>
      <c r="AF44" s="326">
        <f>IF('General Data'!$E$11&gt;=5, IF('Data &amp; hypothesis Adults'!$D$221="X", 'Adults YEAR5'!$O234, 0), 0)</f>
        <v>0</v>
      </c>
      <c r="AG44" s="327">
        <f>IF('General Data'!$E$11&gt;=5, IF('Data &amp; hypothesis Adults'!$D$221="X", 'Adults YEAR5'!$W234, 0), 0)</f>
        <v>0</v>
      </c>
      <c r="AH44" s="327">
        <f t="shared" si="5"/>
        <v>0</v>
      </c>
      <c r="AI44" s="328">
        <f ca="1">AH44*H44</f>
        <v>0</v>
      </c>
      <c r="AJ44" s="329">
        <f ca="1">AI44+AE44+AA44+P44+L44</f>
        <v>0</v>
      </c>
    </row>
    <row r="45" spans="2:36" x14ac:dyDescent="0.2">
      <c r="B45" s="321"/>
      <c r="C45" s="322" t="s">
        <v>380</v>
      </c>
      <c r="D45" s="323"/>
      <c r="E45" s="323" t="str">
        <f>'Available Stocks'!F28</f>
        <v>Cp</v>
      </c>
      <c r="F45" s="323" t="str">
        <f>'Available Stocks'!G28</f>
        <v>300/200/600 mg</v>
      </c>
      <c r="G45" s="324">
        <v>30</v>
      </c>
      <c r="H45" s="325">
        <f ca="1">'Global Synthesis'!H26</f>
        <v>13</v>
      </c>
      <c r="I45" s="326">
        <f>IF('General Data'!$E$11&gt;=1, IF('Data &amp; hypothesis Adults'!$D$222="X", 'Adults YEAR1'!$O233, 0), 0)</f>
        <v>47017</v>
      </c>
      <c r="J45" s="327">
        <f>IF('General Data'!$E$11&gt;=1, IF('Data &amp; hypothesis Adults'!$D$222="X", 'Adults YEAR1'!$V233, 0), 0)</f>
        <v>20283</v>
      </c>
      <c r="K45" s="327">
        <f>IF('General Data'!$E$11&gt;=1, IF('Data &amp; hypothesis Adults'!$D$222="X", 'Adults YEAR1'!$U233, 0), 0)</f>
        <v>67300</v>
      </c>
      <c r="L45" s="328">
        <f ca="1">K45*H45</f>
        <v>874900</v>
      </c>
      <c r="M45" s="326">
        <f>IF('General Data'!$E$11&gt;=2, IF('Data &amp; hypothesis Adults'!$D$222="X", 'Adults YEAR2'!$O233, 0), 0)</f>
        <v>0</v>
      </c>
      <c r="N45" s="327">
        <f>IF('General Data'!$E$11&gt;=2, IF('Data &amp; hypothesis Adults'!$D$222="X", 'Adults YEAR2'!$W233, 0), 0)</f>
        <v>0</v>
      </c>
      <c r="O45" s="327">
        <f t="shared" si="0"/>
        <v>0</v>
      </c>
      <c r="P45" s="328">
        <f ca="1">O45*H45</f>
        <v>0</v>
      </c>
      <c r="Q45" s="321"/>
      <c r="R45" s="322" t="str">
        <f t="shared" si="6"/>
        <v>TDF+3TC+EFV [a]</v>
      </c>
      <c r="S45" s="323"/>
      <c r="T45" s="323" t="str">
        <f t="shared" si="1"/>
        <v>Cp</v>
      </c>
      <c r="U45" s="323" t="str">
        <f t="shared" si="1"/>
        <v>300/200/600 mg</v>
      </c>
      <c r="V45" s="324">
        <f t="shared" si="1"/>
        <v>30</v>
      </c>
      <c r="W45" s="325">
        <f t="shared" ca="1" si="2"/>
        <v>13</v>
      </c>
      <c r="X45" s="326">
        <f>IF('General Data'!$E$11&gt;=3, IF('Data &amp; hypothesis Adults'!$D$222="X", 'Adults YEAR3'!$O233, 0), 0)</f>
        <v>0</v>
      </c>
      <c r="Y45" s="327">
        <f>IF('General Data'!$E$11&gt;=3, IF('Data &amp; hypothesis Adults'!$D$222="X", 'Adults YEAR3'!$W233, 0), 0)</f>
        <v>0</v>
      </c>
      <c r="Z45" s="327">
        <f t="shared" si="3"/>
        <v>0</v>
      </c>
      <c r="AA45" s="328">
        <f ca="1">Z45*H45</f>
        <v>0</v>
      </c>
      <c r="AB45" s="326">
        <f>IF('General Data'!$E$11&gt;=4, IF('Data &amp; hypothesis Adults'!$D$222="X", 'Adults YEAR4'!$O233, 0), 0)</f>
        <v>0</v>
      </c>
      <c r="AC45" s="327">
        <f>IF('General Data'!$E$11&gt;=4, IF('Data &amp; hypothesis Adults'!$D$222="X", 'Adults YEAR4'!$W233, 0), 0)</f>
        <v>0</v>
      </c>
      <c r="AD45" s="327">
        <f t="shared" si="4"/>
        <v>0</v>
      </c>
      <c r="AE45" s="328">
        <f ca="1">AD45*H45</f>
        <v>0</v>
      </c>
      <c r="AF45" s="326">
        <f>IF('General Data'!$E$11&gt;=5, IF('Data &amp; hypothesis Adults'!$D$222="X", 'Adults YEAR5'!$O233, 0), 0)</f>
        <v>0</v>
      </c>
      <c r="AG45" s="327">
        <f>IF('General Data'!$E$11&gt;=5, IF('Data &amp; hypothesis Adults'!$D$222="X", 'Adults YEAR5'!$W233, 0), 0)</f>
        <v>0</v>
      </c>
      <c r="AH45" s="327">
        <f t="shared" si="5"/>
        <v>0</v>
      </c>
      <c r="AI45" s="328">
        <f ca="1">AH45*H45</f>
        <v>0</v>
      </c>
      <c r="AJ45" s="329">
        <f ca="1">AI45+AE45+AA45+P45+L45</f>
        <v>874900</v>
      </c>
    </row>
    <row r="46" spans="2:36" x14ac:dyDescent="0.2">
      <c r="B46" s="330"/>
      <c r="C46" s="331" t="s">
        <v>381</v>
      </c>
      <c r="D46" s="332"/>
      <c r="E46" s="332" t="str">
        <f>'Available Stocks'!F29</f>
        <v>Cp</v>
      </c>
      <c r="F46" s="332" t="str">
        <f>'Available Stocks'!G29</f>
        <v>300/200 mg</v>
      </c>
      <c r="G46" s="333">
        <v>30</v>
      </c>
      <c r="H46" s="334">
        <f ca="1">'Global Synthesis'!H27</f>
        <v>4.6500000000000004</v>
      </c>
      <c r="I46" s="335">
        <f>IF('General Data'!$E$11&gt;=1, IF('Data &amp; hypothesis Adults'!$D$222="X", 'Adults YEAR1'!$O234, 0), 0)</f>
        <v>8169</v>
      </c>
      <c r="J46" s="336">
        <f>IF('General Data'!$E$11&gt;=1, IF('Data &amp; hypothesis Adults'!$D$222="X", 'Adults YEAR1'!$V234, 0), 0)</f>
        <v>2837</v>
      </c>
      <c r="K46" s="336">
        <f>IF('General Data'!$E$11&gt;=1, IF('Data &amp; hypothesis Adults'!$D$222="X", 'Adults YEAR1'!$U234, 0), 0)</f>
        <v>11006</v>
      </c>
      <c r="L46" s="328">
        <f ca="1">K46*H46</f>
        <v>51177.9</v>
      </c>
      <c r="M46" s="335">
        <f>IF('General Data'!$E$11&gt;=2, IF('Data &amp; hypothesis Adults'!$D$222="X", 'Adults YEAR2'!$O234, 0), 0)</f>
        <v>0</v>
      </c>
      <c r="N46" s="336">
        <f>IF('General Data'!$E$11&gt;=2, IF('Data &amp; hypothesis Adults'!$D$222="X", 'Adults YEAR2'!$W234, 0), 0)</f>
        <v>0</v>
      </c>
      <c r="O46" s="336">
        <f t="shared" si="0"/>
        <v>0</v>
      </c>
      <c r="P46" s="328">
        <f ca="1">O46*H46</f>
        <v>0</v>
      </c>
      <c r="Q46" s="330"/>
      <c r="R46" s="331" t="str">
        <f t="shared" si="6"/>
        <v>TDF+3TC [a]</v>
      </c>
      <c r="S46" s="332"/>
      <c r="T46" s="332" t="str">
        <f t="shared" si="1"/>
        <v>Cp</v>
      </c>
      <c r="U46" s="332" t="str">
        <f t="shared" si="1"/>
        <v>300/200 mg</v>
      </c>
      <c r="V46" s="333">
        <f t="shared" si="1"/>
        <v>30</v>
      </c>
      <c r="W46" s="334">
        <f t="shared" ca="1" si="2"/>
        <v>4.6500000000000004</v>
      </c>
      <c r="X46" s="335">
        <f>IF('General Data'!$E$11&gt;=3, IF('Data &amp; hypothesis Adults'!$D$222="X", 'Adults YEAR3'!$O234, 0), 0)</f>
        <v>0</v>
      </c>
      <c r="Y46" s="336">
        <f>IF('General Data'!$E$11&gt;=3, IF('Data &amp; hypothesis Adults'!$D$222="X", 'Adults YEAR3'!$W234, 0), 0)</f>
        <v>0</v>
      </c>
      <c r="Z46" s="336">
        <f t="shared" si="3"/>
        <v>0</v>
      </c>
      <c r="AA46" s="328">
        <f ca="1">Z46*H46</f>
        <v>0</v>
      </c>
      <c r="AB46" s="335">
        <f>IF('General Data'!$E$11&gt;=4, IF('Data &amp; hypothesis Adults'!$D$222="X", 'Adults YEAR4'!$O234, 0), 0)</f>
        <v>0</v>
      </c>
      <c r="AC46" s="336">
        <f>IF('General Data'!$E$11&gt;=4, IF('Data &amp; hypothesis Adults'!$D$222="X", 'Adults YEAR4'!$W234, 0), 0)</f>
        <v>0</v>
      </c>
      <c r="AD46" s="336">
        <f t="shared" si="4"/>
        <v>0</v>
      </c>
      <c r="AE46" s="328">
        <f ca="1">AD46*H46</f>
        <v>0</v>
      </c>
      <c r="AF46" s="335">
        <f>IF('General Data'!$E$11&gt;=5, IF('Data &amp; hypothesis Adults'!$D$222="X", 'Adults YEAR5'!$O234, 0), 0)</f>
        <v>0</v>
      </c>
      <c r="AG46" s="336">
        <f>IF('General Data'!$E$11&gt;=5, IF('Data &amp; hypothesis Adults'!$D$222="X", 'Adults YEAR5'!$W234, 0), 0)</f>
        <v>0</v>
      </c>
      <c r="AH46" s="336">
        <f t="shared" si="5"/>
        <v>0</v>
      </c>
      <c r="AI46" s="328">
        <f ca="1">AH46*H46</f>
        <v>0</v>
      </c>
      <c r="AJ46" s="329">
        <f ca="1">AI46+AE46+AA46+P46+L46</f>
        <v>51177.9</v>
      </c>
    </row>
    <row r="47" spans="2:36" x14ac:dyDescent="0.2">
      <c r="B47" s="312" t="str">
        <f>'Available Stocks'!D30</f>
        <v>INTI</v>
      </c>
      <c r="C47" s="304" t="s">
        <v>17</v>
      </c>
      <c r="D47" s="305"/>
      <c r="E47" s="305" t="str">
        <f>'Available Stocks'!F32</f>
        <v>Cp</v>
      </c>
      <c r="F47" s="305" t="str">
        <f>'Available Stocks'!G32</f>
        <v>600 mg</v>
      </c>
      <c r="G47" s="306">
        <v>30</v>
      </c>
      <c r="H47" s="307">
        <f ca="1">'Global Synthesis'!H28</f>
        <v>3.99</v>
      </c>
      <c r="I47" s="308">
        <f>IF('General Data'!$E$11&gt;=1, 'Adults YEAR1'!O235, 0)</f>
        <v>17089</v>
      </c>
      <c r="J47" s="309">
        <f>IF('General Data'!$E$11&gt;=1, 'Adults YEAR1'!V235, 0)</f>
        <v>4319</v>
      </c>
      <c r="K47" s="309">
        <f>IF('General Data'!$E$11&gt;=1, 'Adults YEAR1'!U235, 0)</f>
        <v>21408</v>
      </c>
      <c r="L47" s="310">
        <f t="shared" ca="1" si="18"/>
        <v>85417.919999999998</v>
      </c>
      <c r="M47" s="308">
        <f>IF('General Data'!$E$11&gt;=2, 'Adults YEAR2'!O235, 0)</f>
        <v>0</v>
      </c>
      <c r="N47" s="309">
        <f>IF('General Data'!$E$11&gt;=2, 'Adults YEAR2'!W235, 0)</f>
        <v>0</v>
      </c>
      <c r="O47" s="309">
        <f t="shared" si="0"/>
        <v>0</v>
      </c>
      <c r="P47" s="310">
        <f t="shared" ca="1" si="19"/>
        <v>0</v>
      </c>
      <c r="Q47" s="312" t="s">
        <v>84</v>
      </c>
      <c r="R47" s="304" t="str">
        <f t="shared" si="6"/>
        <v>EFV</v>
      </c>
      <c r="S47" s="305"/>
      <c r="T47" s="305" t="str">
        <f t="shared" si="1"/>
        <v>Cp</v>
      </c>
      <c r="U47" s="305" t="str">
        <f t="shared" si="1"/>
        <v>600 mg</v>
      </c>
      <c r="V47" s="306">
        <f t="shared" si="1"/>
        <v>30</v>
      </c>
      <c r="W47" s="307">
        <f t="shared" ca="1" si="2"/>
        <v>3.99</v>
      </c>
      <c r="X47" s="308">
        <f>IF('General Data'!$E$11&gt;=3, 'Adults YEAR3'!O235, 0)</f>
        <v>0</v>
      </c>
      <c r="Y47" s="309">
        <f>IF('General Data'!$E$11&gt;=3, 'Adults YEAR3'!W235, 0)</f>
        <v>0</v>
      </c>
      <c r="Z47" s="309">
        <f t="shared" si="3"/>
        <v>0</v>
      </c>
      <c r="AA47" s="310">
        <f t="shared" ca="1" si="20"/>
        <v>0</v>
      </c>
      <c r="AB47" s="308">
        <f>IF('General Data'!$E$11&gt;=4, 'Adults YEAR4'!O235, 0)</f>
        <v>0</v>
      </c>
      <c r="AC47" s="309">
        <f>IF('General Data'!$E$11&gt;=4, 'Adults YEAR4'!W235, 0)</f>
        <v>0</v>
      </c>
      <c r="AD47" s="309">
        <f t="shared" si="4"/>
        <v>0</v>
      </c>
      <c r="AE47" s="310">
        <f t="shared" ca="1" si="21"/>
        <v>0</v>
      </c>
      <c r="AF47" s="308">
        <f>IF('General Data'!$E$11&gt;=5, 'Adults YEAR5'!O235, 0)</f>
        <v>0</v>
      </c>
      <c r="AG47" s="309">
        <f>IF('General Data'!$E$11&gt;=5, 'Adults YEAR5'!W235, 0)</f>
        <v>0</v>
      </c>
      <c r="AH47" s="309">
        <f t="shared" si="5"/>
        <v>0</v>
      </c>
      <c r="AI47" s="310">
        <f t="shared" ca="1" si="22"/>
        <v>0</v>
      </c>
      <c r="AJ47" s="311">
        <f t="shared" ca="1" si="23"/>
        <v>85417.919999999998</v>
      </c>
    </row>
    <row r="48" spans="2:36" x14ac:dyDescent="0.2">
      <c r="B48" s="330"/>
      <c r="C48" s="331" t="s">
        <v>19</v>
      </c>
      <c r="D48" s="332"/>
      <c r="E48" s="332" t="str">
        <f>'Available Stocks'!F33</f>
        <v>Cp</v>
      </c>
      <c r="F48" s="332" t="str">
        <f>'Available Stocks'!G33</f>
        <v>200 mg</v>
      </c>
      <c r="G48" s="333">
        <v>60</v>
      </c>
      <c r="H48" s="334">
        <f ca="1">'Global Synthesis'!H30</f>
        <v>2.52</v>
      </c>
      <c r="I48" s="335">
        <f>IF('General Data'!$E$11&gt;=1, 'Adults YEAR1'!O236, 0)</f>
        <v>0</v>
      </c>
      <c r="J48" s="336" t="str">
        <f>IF('General Data'!$E$11&gt;=1, 'Adults YEAR1'!V236, 0)</f>
        <v>0</v>
      </c>
      <c r="K48" s="336">
        <f>IF('General Data'!$E$11&gt;=1, 'Adults YEAR1'!U236, 0)</f>
        <v>0</v>
      </c>
      <c r="L48" s="337">
        <f t="shared" ca="1" si="18"/>
        <v>0</v>
      </c>
      <c r="M48" s="335">
        <f>IF('General Data'!$E$11&gt;=2, 'Adults YEAR2'!O236, 0)</f>
        <v>0</v>
      </c>
      <c r="N48" s="336">
        <f>IF('General Data'!$E$11&gt;=2, 'Adults YEAR2'!W236, 0)</f>
        <v>0</v>
      </c>
      <c r="O48" s="336">
        <f t="shared" si="0"/>
        <v>0</v>
      </c>
      <c r="P48" s="337">
        <f t="shared" ca="1" si="19"/>
        <v>0</v>
      </c>
      <c r="Q48" s="330"/>
      <c r="R48" s="331" t="str">
        <f t="shared" si="6"/>
        <v>NVP</v>
      </c>
      <c r="S48" s="332"/>
      <c r="T48" s="332" t="str">
        <f t="shared" si="1"/>
        <v>Cp</v>
      </c>
      <c r="U48" s="332" t="str">
        <f t="shared" si="1"/>
        <v>200 mg</v>
      </c>
      <c r="V48" s="333">
        <f t="shared" si="1"/>
        <v>60</v>
      </c>
      <c r="W48" s="334">
        <f t="shared" ca="1" si="2"/>
        <v>2.52</v>
      </c>
      <c r="X48" s="335">
        <f>IF('General Data'!$E$11&gt;=3, 'Adults YEAR3'!O236, 0)</f>
        <v>0</v>
      </c>
      <c r="Y48" s="336">
        <f>IF('General Data'!$E$11&gt;=3, 'Adults YEAR3'!W236, 0)</f>
        <v>0</v>
      </c>
      <c r="Z48" s="336">
        <f t="shared" si="3"/>
        <v>0</v>
      </c>
      <c r="AA48" s="337">
        <f t="shared" ca="1" si="20"/>
        <v>0</v>
      </c>
      <c r="AB48" s="335">
        <f>IF('General Data'!$E$11&gt;=4, 'Adults YEAR4'!O236, 0)</f>
        <v>0</v>
      </c>
      <c r="AC48" s="336">
        <f>IF('General Data'!$E$11&gt;=4, 'Adults YEAR4'!W236, 0)</f>
        <v>0</v>
      </c>
      <c r="AD48" s="336">
        <f t="shared" si="4"/>
        <v>0</v>
      </c>
      <c r="AE48" s="337">
        <f t="shared" ca="1" si="21"/>
        <v>0</v>
      </c>
      <c r="AF48" s="335">
        <f>IF('General Data'!$E$11&gt;=5, 'Adults YEAR5'!O236, 0)</f>
        <v>0</v>
      </c>
      <c r="AG48" s="336">
        <f>IF('General Data'!$E$11&gt;=5, 'Adults YEAR5'!W236, 0)</f>
        <v>0</v>
      </c>
      <c r="AH48" s="336">
        <f t="shared" si="5"/>
        <v>0</v>
      </c>
      <c r="AI48" s="337">
        <f t="shared" ca="1" si="22"/>
        <v>0</v>
      </c>
      <c r="AJ48" s="338">
        <f t="shared" ca="1" si="23"/>
        <v>0</v>
      </c>
    </row>
    <row r="49" spans="2:36" x14ac:dyDescent="0.2">
      <c r="B49" s="312" t="str">
        <f>'Available Stocks'!D35</f>
        <v>INNTI</v>
      </c>
      <c r="C49" s="304" t="s">
        <v>39</v>
      </c>
      <c r="D49" s="305"/>
      <c r="E49" s="305" t="str">
        <f>'Available Stocks'!F37</f>
        <v>Cp</v>
      </c>
      <c r="F49" s="305" t="str">
        <f>'Available Stocks'!G37</f>
        <v>300 mg</v>
      </c>
      <c r="G49" s="306">
        <v>60</v>
      </c>
      <c r="H49" s="307">
        <f ca="1">'Global Synthesis'!H32</f>
        <v>0</v>
      </c>
      <c r="I49" s="308">
        <f>IF('General Data'!$E$11&gt;=1, 'Adults YEAR1'!O237, 0)</f>
        <v>0</v>
      </c>
      <c r="J49" s="309" t="str">
        <f>IF('General Data'!$E$11&gt;=1, 'Adults YEAR1'!V237, 0)</f>
        <v>0</v>
      </c>
      <c r="K49" s="309">
        <f>IF('General Data'!$E$11&gt;=1, 'Adults YEAR1'!U237, 0)</f>
        <v>0</v>
      </c>
      <c r="L49" s="310">
        <f t="shared" ca="1" si="18"/>
        <v>0</v>
      </c>
      <c r="M49" s="308">
        <f>IF('General Data'!$E$11&gt;=2, 'Adults YEAR2'!O237, 0)</f>
        <v>0</v>
      </c>
      <c r="N49" s="309">
        <f>IF('General Data'!$E$11&gt;=2, 'Adults YEAR2'!W237, 0)</f>
        <v>0</v>
      </c>
      <c r="O49" s="309">
        <f t="shared" si="0"/>
        <v>0</v>
      </c>
      <c r="P49" s="310">
        <f t="shared" ca="1" si="19"/>
        <v>0</v>
      </c>
      <c r="Q49" s="312" t="s">
        <v>85</v>
      </c>
      <c r="R49" s="304" t="str">
        <f t="shared" si="6"/>
        <v>AZT</v>
      </c>
      <c r="S49" s="305"/>
      <c r="T49" s="305" t="str">
        <f t="shared" si="1"/>
        <v>Cp</v>
      </c>
      <c r="U49" s="305" t="str">
        <f t="shared" si="1"/>
        <v>300 mg</v>
      </c>
      <c r="V49" s="306">
        <f t="shared" si="1"/>
        <v>60</v>
      </c>
      <c r="W49" s="307">
        <f t="shared" ca="1" si="2"/>
        <v>0</v>
      </c>
      <c r="X49" s="308">
        <f>IF('General Data'!$E$11&gt;=3, 'Adults YEAR3'!O237, 0)</f>
        <v>0</v>
      </c>
      <c r="Y49" s="309">
        <f>IF('General Data'!$E$11&gt;=3, 'Adults YEAR3'!W237, 0)</f>
        <v>0</v>
      </c>
      <c r="Z49" s="309">
        <f t="shared" si="3"/>
        <v>0</v>
      </c>
      <c r="AA49" s="310">
        <f t="shared" ca="1" si="20"/>
        <v>0</v>
      </c>
      <c r="AB49" s="308">
        <f>IF('General Data'!$E$11&gt;=4, 'Adults YEAR4'!O237, 0)</f>
        <v>0</v>
      </c>
      <c r="AC49" s="309">
        <f>IF('General Data'!$E$11&gt;=4, 'Adults YEAR4'!W237, 0)</f>
        <v>0</v>
      </c>
      <c r="AD49" s="309">
        <f t="shared" si="4"/>
        <v>0</v>
      </c>
      <c r="AE49" s="310">
        <f t="shared" ca="1" si="21"/>
        <v>0</v>
      </c>
      <c r="AF49" s="308">
        <f>IF('General Data'!$E$11&gt;=5, 'Adults YEAR5'!O237, 0)</f>
        <v>0</v>
      </c>
      <c r="AG49" s="309">
        <f>IF('General Data'!$E$11&gt;=5, 'Adults YEAR5'!W237, 0)</f>
        <v>0</v>
      </c>
      <c r="AH49" s="309">
        <f t="shared" si="5"/>
        <v>0</v>
      </c>
      <c r="AI49" s="310">
        <f t="shared" ca="1" si="22"/>
        <v>0</v>
      </c>
      <c r="AJ49" s="311">
        <f t="shared" ca="1" si="23"/>
        <v>0</v>
      </c>
    </row>
    <row r="50" spans="2:36" x14ac:dyDescent="0.2">
      <c r="B50" s="312"/>
      <c r="C50" s="313" t="s">
        <v>15</v>
      </c>
      <c r="D50" s="314"/>
      <c r="E50" s="314" t="str">
        <f>'Available Stocks'!F40</f>
        <v>Cp</v>
      </c>
      <c r="F50" s="314" t="str">
        <f>'Available Stocks'!G40</f>
        <v>150 mg</v>
      </c>
      <c r="G50" s="315">
        <v>60</v>
      </c>
      <c r="H50" s="316">
        <f ca="1">'Global Synthesis'!H33</f>
        <v>2.4</v>
      </c>
      <c r="I50" s="317">
        <f>IF('General Data'!$E$11&gt;=1, IF('Data &amp; hypothesis Adults'!$D$222="X", 'Adults YEAR1'!$O238, 0), 0)</f>
        <v>0</v>
      </c>
      <c r="J50" s="318" t="str">
        <f>IF('General Data'!$E$11&gt;=1, IF('Data &amp; hypothesis Adults'!$D$222="X", 'Adults YEAR1'!$V238, 0), 0)</f>
        <v>0</v>
      </c>
      <c r="K50" s="318">
        <f>IF('General Data'!$E$11&gt;=1, IF('Data &amp; hypothesis Adults'!$D$222="X", 'Adults YEAR1'!$U238, 0), 0)</f>
        <v>0</v>
      </c>
      <c r="L50" s="319">
        <f t="shared" ca="1" si="18"/>
        <v>0</v>
      </c>
      <c r="M50" s="317">
        <f>IF('General Data'!$E$11&gt;=2, IF('Data &amp; hypothesis Adults'!$D$222="X", 'Adults YEAR2'!$O238, 0), 0)</f>
        <v>0</v>
      </c>
      <c r="N50" s="318">
        <f>IF('General Data'!$E$11&gt;=2, IF('Data &amp; hypothesis Adults'!$D$222="X", 'Adults YEAR2'!$W238, 0), 0)</f>
        <v>0</v>
      </c>
      <c r="O50" s="318">
        <f t="shared" si="0"/>
        <v>0</v>
      </c>
      <c r="P50" s="319">
        <f t="shared" ca="1" si="19"/>
        <v>0</v>
      </c>
      <c r="Q50" s="312"/>
      <c r="R50" s="313" t="str">
        <f t="shared" si="6"/>
        <v>3TC</v>
      </c>
      <c r="S50" s="314"/>
      <c r="T50" s="314" t="str">
        <f t="shared" si="1"/>
        <v>Cp</v>
      </c>
      <c r="U50" s="314" t="str">
        <f t="shared" si="1"/>
        <v>150 mg</v>
      </c>
      <c r="V50" s="315">
        <f t="shared" si="1"/>
        <v>60</v>
      </c>
      <c r="W50" s="316">
        <f t="shared" ca="1" si="2"/>
        <v>2.4</v>
      </c>
      <c r="X50" s="317">
        <f>IF('General Data'!$E$11&gt;=3, IF('Data &amp; hypothesis Adults'!$D$222="X", 'Adults YEAR3'!$O238, 0), 0)</f>
        <v>0</v>
      </c>
      <c r="Y50" s="318">
        <f>IF('General Data'!$E$11&gt;=3, IF('Data &amp; hypothesis Adults'!$D$222="X", 'Adults YEAR3'!$W238, 0), 0)</f>
        <v>0</v>
      </c>
      <c r="Z50" s="318">
        <f t="shared" si="3"/>
        <v>0</v>
      </c>
      <c r="AA50" s="319">
        <f t="shared" ca="1" si="20"/>
        <v>0</v>
      </c>
      <c r="AB50" s="317">
        <f>IF('General Data'!$E$11&gt;=4, IF('Data &amp; hypothesis Adults'!$D$222="X", 'Adults YEAR4'!$O238, 0), 0)</f>
        <v>0</v>
      </c>
      <c r="AC50" s="318">
        <f>IF('General Data'!$E$11&gt;=4, IF('Data &amp; hypothesis Adults'!$D$222="X", 'Adults YEAR4'!$W238, 0), 0)</f>
        <v>0</v>
      </c>
      <c r="AD50" s="318">
        <f t="shared" si="4"/>
        <v>0</v>
      </c>
      <c r="AE50" s="319">
        <f t="shared" ca="1" si="21"/>
        <v>0</v>
      </c>
      <c r="AF50" s="317">
        <f>IF('General Data'!$E$11&gt;=5, IF('Data &amp; hypothesis Adults'!$D$222="X", 'Adults YEAR5'!$O238, 0), 0)</f>
        <v>0</v>
      </c>
      <c r="AG50" s="318">
        <f>IF('General Data'!$E$11&gt;=5, IF('Data &amp; hypothesis Adults'!$D$222="X", 'Adults YEAR5'!$W238, 0), 0)</f>
        <v>0</v>
      </c>
      <c r="AH50" s="318">
        <f t="shared" si="5"/>
        <v>0</v>
      </c>
      <c r="AI50" s="319">
        <f t="shared" ca="1" si="22"/>
        <v>0</v>
      </c>
      <c r="AJ50" s="320">
        <f t="shared" ca="1" si="23"/>
        <v>0</v>
      </c>
    </row>
    <row r="51" spans="2:36" x14ac:dyDescent="0.2">
      <c r="B51" s="312"/>
      <c r="C51" s="313" t="s">
        <v>351</v>
      </c>
      <c r="D51" s="314"/>
      <c r="E51" s="314" t="str">
        <f>'Available Stocks'!F41</f>
        <v>Cp</v>
      </c>
      <c r="F51" s="314" t="str">
        <f>'Available Stocks'!G41</f>
        <v>200 mg</v>
      </c>
      <c r="G51" s="315">
        <v>30</v>
      </c>
      <c r="H51" s="316">
        <f ca="1">'Global Synthesis'!H34</f>
        <v>0</v>
      </c>
      <c r="I51" s="317">
        <f>IF('General Data'!$E$11&gt;=1, IF('Data &amp; hypothesis Adults'!$D$221="X", 'Adults YEAR1'!$O238, 0), 0)</f>
        <v>0</v>
      </c>
      <c r="J51" s="318">
        <f>IF('General Data'!$E$11&gt;=1, IF('Data &amp; hypothesis Adults'!$D$221="X", 'Adults YEAR1'!$V238, 0), 0)</f>
        <v>0</v>
      </c>
      <c r="K51" s="318">
        <f>IF('General Data'!$E$11&gt;=1, IF('Data &amp; hypothesis Adults'!$D$221="X", 'Adults YEAR1'!$U238, 0), 0)</f>
        <v>0</v>
      </c>
      <c r="L51" s="319">
        <f t="shared" ca="1" si="18"/>
        <v>0</v>
      </c>
      <c r="M51" s="317">
        <f>IF('General Data'!$E$11&gt;=2, IF('Data &amp; hypothesis Adults'!$D$221="X", 'Adults YEAR2'!$O238, 0), 0)</f>
        <v>0</v>
      </c>
      <c r="N51" s="318">
        <f>IF('General Data'!$E$11&gt;=2, IF('Data &amp; hypothesis Adults'!$D$221="X", 'Adults YEAR2'!$W238, 0), 0)</f>
        <v>0</v>
      </c>
      <c r="O51" s="318">
        <f t="shared" si="0"/>
        <v>0</v>
      </c>
      <c r="P51" s="319">
        <f t="shared" ca="1" si="19"/>
        <v>0</v>
      </c>
      <c r="Q51" s="312"/>
      <c r="R51" s="313" t="str">
        <f t="shared" si="6"/>
        <v>FTC</v>
      </c>
      <c r="S51" s="314"/>
      <c r="T51" s="314" t="str">
        <f t="shared" si="1"/>
        <v>Cp</v>
      </c>
      <c r="U51" s="314" t="str">
        <f t="shared" si="1"/>
        <v>200 mg</v>
      </c>
      <c r="V51" s="315">
        <f t="shared" si="1"/>
        <v>30</v>
      </c>
      <c r="W51" s="316">
        <f t="shared" ca="1" si="2"/>
        <v>0</v>
      </c>
      <c r="X51" s="317">
        <f>IF('General Data'!$E$11&gt;=3, IF('Data &amp; hypothesis Adults'!$D$221="X", 'Adults YEAR3'!$O238, 0), 0)</f>
        <v>0</v>
      </c>
      <c r="Y51" s="318">
        <f>IF('General Data'!$E$11&gt;=3, IF('Data &amp; hypothesis Adults'!$D$221="X", 'Adults YEAR3'!$W238, 0), 0)</f>
        <v>0</v>
      </c>
      <c r="Z51" s="318">
        <f t="shared" si="3"/>
        <v>0</v>
      </c>
      <c r="AA51" s="319">
        <f t="shared" ca="1" si="20"/>
        <v>0</v>
      </c>
      <c r="AB51" s="317">
        <f>IF('General Data'!$E$11&gt;=4, IF('Data &amp; hypothesis Adults'!$D$221="X", 'Adults YEAR4'!$O238, 0), 0)</f>
        <v>0</v>
      </c>
      <c r="AC51" s="318">
        <f>IF('General Data'!$E$11&gt;=4, IF('Data &amp; hypothesis Adults'!$D$221="X", 'Adults YEAR4'!$W238, 0), 0)</f>
        <v>0</v>
      </c>
      <c r="AD51" s="318">
        <f t="shared" si="4"/>
        <v>0</v>
      </c>
      <c r="AE51" s="319">
        <f t="shared" ca="1" si="21"/>
        <v>0</v>
      </c>
      <c r="AF51" s="317">
        <f>IF('General Data'!$E$11&gt;=5, IF('Data &amp; hypothesis Adults'!$D$221="X", 'Adults YEAR5'!$O238, 0), 0)</f>
        <v>0</v>
      </c>
      <c r="AG51" s="318">
        <f>IF('General Data'!$E$11&gt;=5, IF('Data &amp; hypothesis Adults'!$D$221="X", 'Adults YEAR5'!$W238, 0), 0)</f>
        <v>0</v>
      </c>
      <c r="AH51" s="318">
        <f t="shared" si="5"/>
        <v>0</v>
      </c>
      <c r="AI51" s="319">
        <f ca="1">AH51*H51</f>
        <v>0</v>
      </c>
      <c r="AJ51" s="320">
        <f ca="1">AI51+AE51+AA51+P51+L51</f>
        <v>0</v>
      </c>
    </row>
    <row r="52" spans="2:36" x14ac:dyDescent="0.2">
      <c r="B52" s="312"/>
      <c r="C52" s="313" t="s">
        <v>25</v>
      </c>
      <c r="D52" s="314"/>
      <c r="E52" s="314" t="str">
        <f>'Available Stocks'!F35</f>
        <v>Cp</v>
      </c>
      <c r="F52" s="314" t="str">
        <f>'Available Stocks'!G35</f>
        <v>300 mg</v>
      </c>
      <c r="G52" s="315">
        <v>60</v>
      </c>
      <c r="H52" s="316">
        <f ca="1">'Global Synthesis'!H35</f>
        <v>12.99</v>
      </c>
      <c r="I52" s="317">
        <f>IF('General Data'!$E$11&gt;=1, 'Adults YEAR1'!O239, 0)</f>
        <v>0</v>
      </c>
      <c r="J52" s="318" t="str">
        <f>IF('General Data'!$E$11&gt;=1, 'Adults YEAR1'!V239, 0)</f>
        <v>0</v>
      </c>
      <c r="K52" s="318">
        <f>IF('General Data'!$E$11&gt;=1, 'Adults YEAR1'!U239, 0)</f>
        <v>0</v>
      </c>
      <c r="L52" s="319">
        <f t="shared" ca="1" si="18"/>
        <v>0</v>
      </c>
      <c r="M52" s="317">
        <f>IF('General Data'!$E$11&gt;=2, 'Adults YEAR2'!O239, 0)</f>
        <v>0</v>
      </c>
      <c r="N52" s="318">
        <f>IF('General Data'!$E$11&gt;=2, 'Adults YEAR2'!W239, 0)</f>
        <v>0</v>
      </c>
      <c r="O52" s="318">
        <f t="shared" si="0"/>
        <v>0</v>
      </c>
      <c r="P52" s="319">
        <f t="shared" ca="1" si="19"/>
        <v>0</v>
      </c>
      <c r="Q52" s="312"/>
      <c r="R52" s="313" t="str">
        <f t="shared" si="6"/>
        <v>ABC</v>
      </c>
      <c r="S52" s="314"/>
      <c r="T52" s="314" t="str">
        <f t="shared" si="1"/>
        <v>Cp</v>
      </c>
      <c r="U52" s="314" t="str">
        <f t="shared" si="1"/>
        <v>300 mg</v>
      </c>
      <c r="V52" s="315">
        <f t="shared" si="1"/>
        <v>60</v>
      </c>
      <c r="W52" s="316">
        <f t="shared" ca="1" si="2"/>
        <v>12.99</v>
      </c>
      <c r="X52" s="317">
        <f>IF('General Data'!$E$11&gt;=3, 'Adults YEAR3'!O239, 0)</f>
        <v>0</v>
      </c>
      <c r="Y52" s="318">
        <f>IF('General Data'!$E$11&gt;=3, 'Adults YEAR3'!W239, 0)</f>
        <v>0</v>
      </c>
      <c r="Z52" s="318">
        <f t="shared" si="3"/>
        <v>0</v>
      </c>
      <c r="AA52" s="319">
        <f t="shared" ca="1" si="20"/>
        <v>0</v>
      </c>
      <c r="AB52" s="317">
        <f>IF('General Data'!$E$11&gt;=4, 'Adults YEAR4'!O239, 0)</f>
        <v>0</v>
      </c>
      <c r="AC52" s="318">
        <f>IF('General Data'!$E$11&gt;=4, 'Adults YEAR4'!W239, 0)</f>
        <v>0</v>
      </c>
      <c r="AD52" s="318">
        <f t="shared" si="4"/>
        <v>0</v>
      </c>
      <c r="AE52" s="319">
        <f t="shared" ca="1" si="21"/>
        <v>0</v>
      </c>
      <c r="AF52" s="317">
        <f>IF('General Data'!$E$11&gt;=5, 'Adults YEAR5'!O239, 0)</f>
        <v>0</v>
      </c>
      <c r="AG52" s="318">
        <f>IF('General Data'!$E$11&gt;=5, 'Adults YEAR5'!W239, 0)</f>
        <v>0</v>
      </c>
      <c r="AH52" s="318">
        <f t="shared" si="5"/>
        <v>0</v>
      </c>
      <c r="AI52" s="319">
        <f t="shared" ca="1" si="22"/>
        <v>0</v>
      </c>
      <c r="AJ52" s="320">
        <f t="shared" ca="1" si="23"/>
        <v>0</v>
      </c>
    </row>
    <row r="53" spans="2:36" x14ac:dyDescent="0.2">
      <c r="B53" s="321"/>
      <c r="C53" s="322" t="s">
        <v>28</v>
      </c>
      <c r="D53" s="323"/>
      <c r="E53" s="323" t="str">
        <f>'Available Stocks'!F42</f>
        <v>Gél</v>
      </c>
      <c r="F53" s="323" t="str">
        <f>'Available Stocks'!G42</f>
        <v>250 mg</v>
      </c>
      <c r="G53" s="324">
        <v>30</v>
      </c>
      <c r="H53" s="325">
        <f ca="1">'Global Synthesis'!H37</f>
        <v>13</v>
      </c>
      <c r="I53" s="326">
        <f>IF('General Data'!$E$11&gt;=1, 'Adults YEAR1'!O240, 0)</f>
        <v>0</v>
      </c>
      <c r="J53" s="327" t="str">
        <f>IF('General Data'!$E$11&gt;=1, 'Adults YEAR1'!V240, 0)</f>
        <v>0</v>
      </c>
      <c r="K53" s="327">
        <f>IF('General Data'!$E$11&gt;=1, 'Adults YEAR1'!U240, 0)</f>
        <v>0</v>
      </c>
      <c r="L53" s="328">
        <f t="shared" ca="1" si="18"/>
        <v>0</v>
      </c>
      <c r="M53" s="326">
        <f>IF('General Data'!$E$11&gt;=2, 'Adults YEAR2'!O240, 0)</f>
        <v>0</v>
      </c>
      <c r="N53" s="327">
        <f>IF('General Data'!$E$11&gt;=2, 'Adults YEAR2'!W240, 0)</f>
        <v>0</v>
      </c>
      <c r="O53" s="327">
        <f t="shared" si="0"/>
        <v>0</v>
      </c>
      <c r="P53" s="328">
        <f t="shared" ca="1" si="19"/>
        <v>0</v>
      </c>
      <c r="Q53" s="321"/>
      <c r="R53" s="322" t="str">
        <f t="shared" si="6"/>
        <v>DDI</v>
      </c>
      <c r="S53" s="323"/>
      <c r="T53" s="323" t="str">
        <f t="shared" si="1"/>
        <v>Gél</v>
      </c>
      <c r="U53" s="323" t="str">
        <f t="shared" si="1"/>
        <v>250 mg</v>
      </c>
      <c r="V53" s="324">
        <f t="shared" si="1"/>
        <v>30</v>
      </c>
      <c r="W53" s="325">
        <f t="shared" ca="1" si="2"/>
        <v>13</v>
      </c>
      <c r="X53" s="326">
        <f>IF('General Data'!$E$11&gt;=3, 'Adults YEAR3'!O240, 0)</f>
        <v>0</v>
      </c>
      <c r="Y53" s="327">
        <f>IF('General Data'!$E$11&gt;=3, 'Adults YEAR3'!W240, 0)</f>
        <v>0</v>
      </c>
      <c r="Z53" s="327">
        <f t="shared" si="3"/>
        <v>0</v>
      </c>
      <c r="AA53" s="328">
        <f t="shared" ca="1" si="20"/>
        <v>0</v>
      </c>
      <c r="AB53" s="326">
        <f>IF('General Data'!$E$11&gt;=4, 'Adults YEAR4'!O240, 0)</f>
        <v>0</v>
      </c>
      <c r="AC53" s="327">
        <f>IF('General Data'!$E$11&gt;=4, 'Adults YEAR4'!W240, 0)</f>
        <v>0</v>
      </c>
      <c r="AD53" s="327">
        <f t="shared" si="4"/>
        <v>0</v>
      </c>
      <c r="AE53" s="328">
        <f t="shared" ca="1" si="21"/>
        <v>0</v>
      </c>
      <c r="AF53" s="326">
        <f>IF('General Data'!$E$11&gt;=5, 'Adults YEAR5'!O240, 0)</f>
        <v>0</v>
      </c>
      <c r="AG53" s="327">
        <f>IF('General Data'!$E$11&gt;=5, 'Adults YEAR5'!W240, 0)</f>
        <v>0</v>
      </c>
      <c r="AH53" s="327">
        <f t="shared" si="5"/>
        <v>0</v>
      </c>
      <c r="AI53" s="328">
        <f t="shared" ca="1" si="22"/>
        <v>0</v>
      </c>
      <c r="AJ53" s="329">
        <f t="shared" ca="1" si="23"/>
        <v>0</v>
      </c>
    </row>
    <row r="54" spans="2:36" x14ac:dyDescent="0.2">
      <c r="B54" s="321"/>
      <c r="C54" s="322" t="s">
        <v>28</v>
      </c>
      <c r="D54" s="323"/>
      <c r="E54" s="323" t="str">
        <f>'Available Stocks'!F43</f>
        <v>Gél</v>
      </c>
      <c r="F54" s="323" t="str">
        <f>'Available Stocks'!G43</f>
        <v>400 mg</v>
      </c>
      <c r="G54" s="324">
        <v>30</v>
      </c>
      <c r="H54" s="325">
        <f ca="1">'Global Synthesis'!H38</f>
        <v>20</v>
      </c>
      <c r="I54" s="326">
        <f>IF('General Data'!$E$11&gt;=1, 'Adults YEAR1'!O241, 0)</f>
        <v>0</v>
      </c>
      <c r="J54" s="327" t="str">
        <f>IF('General Data'!$E$11&gt;=1, 'Adults YEAR1'!V241, 0)</f>
        <v>0</v>
      </c>
      <c r="K54" s="327">
        <f>IF('General Data'!$E$11&gt;=1, 'Adults YEAR1'!U241, 0)</f>
        <v>0</v>
      </c>
      <c r="L54" s="328">
        <f t="shared" ca="1" si="18"/>
        <v>0</v>
      </c>
      <c r="M54" s="326">
        <f>IF('General Data'!$E$11&gt;=2, 'Adults YEAR2'!O241, 0)</f>
        <v>0</v>
      </c>
      <c r="N54" s="327">
        <f>IF('General Data'!$E$11&gt;=2, 'Adults YEAR2'!W241, 0)</f>
        <v>0</v>
      </c>
      <c r="O54" s="327">
        <f t="shared" si="0"/>
        <v>0</v>
      </c>
      <c r="P54" s="328">
        <f t="shared" ca="1" si="19"/>
        <v>0</v>
      </c>
      <c r="Q54" s="321"/>
      <c r="R54" s="322" t="str">
        <f t="shared" si="6"/>
        <v>DDI</v>
      </c>
      <c r="S54" s="323"/>
      <c r="T54" s="323" t="str">
        <f t="shared" ref="T54:T63" si="24">E54</f>
        <v>Gél</v>
      </c>
      <c r="U54" s="323" t="str">
        <f t="shared" ref="U54:U63" si="25">F54</f>
        <v>400 mg</v>
      </c>
      <c r="V54" s="324">
        <f t="shared" ref="V54:V63" si="26">G54</f>
        <v>30</v>
      </c>
      <c r="W54" s="325">
        <f t="shared" ca="1" si="2"/>
        <v>20</v>
      </c>
      <c r="X54" s="326">
        <f>IF('General Data'!$E$11&gt;=3, 'Adults YEAR3'!O241, 0)</f>
        <v>0</v>
      </c>
      <c r="Y54" s="327">
        <f>IF('General Data'!$E$11&gt;=3, 'Adults YEAR3'!W241, 0)</f>
        <v>0</v>
      </c>
      <c r="Z54" s="327">
        <f t="shared" si="3"/>
        <v>0</v>
      </c>
      <c r="AA54" s="328">
        <f t="shared" ca="1" si="20"/>
        <v>0</v>
      </c>
      <c r="AB54" s="326">
        <f>IF('General Data'!$E$11&gt;=4, 'Adults YEAR4'!O241, 0)</f>
        <v>0</v>
      </c>
      <c r="AC54" s="327">
        <f>IF('General Data'!$E$11&gt;=4, 'Adults YEAR4'!W241, 0)</f>
        <v>0</v>
      </c>
      <c r="AD54" s="327">
        <f t="shared" si="4"/>
        <v>0</v>
      </c>
      <c r="AE54" s="328">
        <f t="shared" ca="1" si="21"/>
        <v>0</v>
      </c>
      <c r="AF54" s="326">
        <f>IF('General Data'!$E$11&gt;=5, 'Adults YEAR5'!O241, 0)</f>
        <v>0</v>
      </c>
      <c r="AG54" s="327">
        <f>IF('General Data'!$E$11&gt;=5, 'Adults YEAR5'!W241, 0)</f>
        <v>0</v>
      </c>
      <c r="AH54" s="327">
        <f t="shared" si="5"/>
        <v>0</v>
      </c>
      <c r="AI54" s="328">
        <f t="shared" ca="1" si="22"/>
        <v>0</v>
      </c>
      <c r="AJ54" s="329">
        <f t="shared" ca="1" si="23"/>
        <v>0</v>
      </c>
    </row>
    <row r="55" spans="2:36" x14ac:dyDescent="0.2">
      <c r="B55" s="330"/>
      <c r="C55" s="331" t="s">
        <v>22</v>
      </c>
      <c r="D55" s="332"/>
      <c r="E55" s="332" t="str">
        <f>'Available Stocks'!F44</f>
        <v>Cp</v>
      </c>
      <c r="F55" s="332" t="str">
        <f>'Available Stocks'!G44</f>
        <v>300 mg</v>
      </c>
      <c r="G55" s="333">
        <v>30</v>
      </c>
      <c r="H55" s="334">
        <f ca="1">'Global Synthesis'!H39</f>
        <v>4</v>
      </c>
      <c r="I55" s="335">
        <f>IF('General Data'!$E$11&gt;=1, 'Adults YEAR1'!O242, 0)</f>
        <v>0</v>
      </c>
      <c r="J55" s="336" t="str">
        <f>IF('General Data'!$E$11&gt;=1, 'Adults YEAR1'!V242, 0)</f>
        <v>0</v>
      </c>
      <c r="K55" s="336">
        <f>IF('General Data'!$E$11&gt;=1, 'Adults YEAR1'!U242, 0)</f>
        <v>0</v>
      </c>
      <c r="L55" s="337">
        <f t="shared" ca="1" si="18"/>
        <v>0</v>
      </c>
      <c r="M55" s="335">
        <f>IF('General Data'!$E$11&gt;=2, 'Adults YEAR2'!O242, 0)</f>
        <v>0</v>
      </c>
      <c r="N55" s="336">
        <f>IF('General Data'!$E$11&gt;=2, 'Adults YEAR2'!W242, 0)</f>
        <v>0</v>
      </c>
      <c r="O55" s="336">
        <f t="shared" si="0"/>
        <v>0</v>
      </c>
      <c r="P55" s="337">
        <f t="shared" ca="1" si="19"/>
        <v>0</v>
      </c>
      <c r="Q55" s="330"/>
      <c r="R55" s="331" t="str">
        <f t="shared" si="6"/>
        <v>TDF</v>
      </c>
      <c r="S55" s="332"/>
      <c r="T55" s="332" t="str">
        <f t="shared" si="24"/>
        <v>Cp</v>
      </c>
      <c r="U55" s="332" t="str">
        <f t="shared" si="25"/>
        <v>300 mg</v>
      </c>
      <c r="V55" s="333">
        <f t="shared" si="26"/>
        <v>30</v>
      </c>
      <c r="W55" s="334">
        <f t="shared" ca="1" si="2"/>
        <v>4</v>
      </c>
      <c r="X55" s="335">
        <f>IF('General Data'!$E$11&gt;=3, 'Adults YEAR3'!O242, 0)</f>
        <v>0</v>
      </c>
      <c r="Y55" s="336">
        <f>IF('General Data'!$E$11&gt;=3, 'Adults YEAR3'!W242, 0)</f>
        <v>0</v>
      </c>
      <c r="Z55" s="336">
        <f t="shared" si="3"/>
        <v>0</v>
      </c>
      <c r="AA55" s="337">
        <f t="shared" ca="1" si="20"/>
        <v>0</v>
      </c>
      <c r="AB55" s="335">
        <f>IF('General Data'!$E$11&gt;=4, 'Adults YEAR4'!O242, 0)</f>
        <v>0</v>
      </c>
      <c r="AC55" s="336">
        <f>IF('General Data'!$E$11&gt;=4, 'Adults YEAR4'!W242, 0)</f>
        <v>0</v>
      </c>
      <c r="AD55" s="336">
        <f t="shared" si="4"/>
        <v>0</v>
      </c>
      <c r="AE55" s="337">
        <f t="shared" ca="1" si="21"/>
        <v>0</v>
      </c>
      <c r="AF55" s="335">
        <f>IF('General Data'!$E$11&gt;=5, 'Adults YEAR5'!O242, 0)</f>
        <v>0</v>
      </c>
      <c r="AG55" s="336">
        <f>IF('General Data'!$E$11&gt;=5, 'Adults YEAR5'!W242, 0)</f>
        <v>0</v>
      </c>
      <c r="AH55" s="336">
        <f t="shared" si="5"/>
        <v>0</v>
      </c>
      <c r="AI55" s="337">
        <f t="shared" ca="1" si="22"/>
        <v>0</v>
      </c>
      <c r="AJ55" s="338">
        <f t="shared" ca="1" si="23"/>
        <v>0</v>
      </c>
    </row>
    <row r="56" spans="2:36" x14ac:dyDescent="0.2">
      <c r="B56" s="312" t="str">
        <f>'Available Stocks'!D45</f>
        <v>IP</v>
      </c>
      <c r="C56" s="304" t="s">
        <v>33</v>
      </c>
      <c r="D56" s="305"/>
      <c r="E56" s="305" t="str">
        <f>'Available Stocks'!F45</f>
        <v>Cp</v>
      </c>
      <c r="F56" s="305" t="str">
        <f>'Available Stocks'!G45</f>
        <v>200/50 mg</v>
      </c>
      <c r="G56" s="306">
        <v>120</v>
      </c>
      <c r="H56" s="307">
        <f ca="1">'Global Synthesis'!H40</f>
        <v>30.749999999999996</v>
      </c>
      <c r="I56" s="308">
        <f>IF('General Data'!$E$11&gt;=1, 'Adults YEAR1'!O243, 0)</f>
        <v>15750</v>
      </c>
      <c r="J56" s="309">
        <f>IF('General Data'!$E$11&gt;=1, 'Adults YEAR1'!V243, 0)</f>
        <v>4826</v>
      </c>
      <c r="K56" s="309">
        <f>IF('General Data'!$E$11&gt;=1, 'Adults YEAR1'!U243, 0)</f>
        <v>20576</v>
      </c>
      <c r="L56" s="310">
        <f t="shared" ca="1" si="18"/>
        <v>632711.99999999988</v>
      </c>
      <c r="M56" s="308">
        <f>IF('General Data'!$E$11&gt;=2, 'Adults YEAR2'!O243, 0)</f>
        <v>0</v>
      </c>
      <c r="N56" s="309">
        <f>IF('General Data'!$E$11&gt;=2, 'Adults YEAR2'!W243, 0)</f>
        <v>0</v>
      </c>
      <c r="O56" s="309">
        <f t="shared" si="0"/>
        <v>0</v>
      </c>
      <c r="P56" s="310">
        <f t="shared" ca="1" si="19"/>
        <v>0</v>
      </c>
      <c r="Q56" s="312" t="s">
        <v>87</v>
      </c>
      <c r="R56" s="304" t="str">
        <f t="shared" si="6"/>
        <v>LPV/r</v>
      </c>
      <c r="S56" s="305"/>
      <c r="T56" s="305" t="str">
        <f t="shared" si="24"/>
        <v>Cp</v>
      </c>
      <c r="U56" s="305" t="str">
        <f t="shared" si="25"/>
        <v>200/50 mg</v>
      </c>
      <c r="V56" s="306">
        <f t="shared" si="26"/>
        <v>120</v>
      </c>
      <c r="W56" s="307">
        <f t="shared" ca="1" si="2"/>
        <v>30.749999999999996</v>
      </c>
      <c r="X56" s="308">
        <f>IF('General Data'!$E$11&gt;=3, 'Adults YEAR3'!O243, 0)</f>
        <v>0</v>
      </c>
      <c r="Y56" s="309">
        <f>IF('General Data'!$E$11&gt;=3, 'Adults YEAR3'!W243, 0)</f>
        <v>0</v>
      </c>
      <c r="Z56" s="309">
        <f t="shared" si="3"/>
        <v>0</v>
      </c>
      <c r="AA56" s="310">
        <f t="shared" ca="1" si="20"/>
        <v>0</v>
      </c>
      <c r="AB56" s="308">
        <f>IF('General Data'!$E$11&gt;=4, 'Adults YEAR4'!O243, 0)</f>
        <v>0</v>
      </c>
      <c r="AC56" s="309">
        <f>IF('General Data'!$E$11&gt;=4, 'Adults YEAR4'!W243, 0)</f>
        <v>0</v>
      </c>
      <c r="AD56" s="309">
        <f t="shared" si="4"/>
        <v>0</v>
      </c>
      <c r="AE56" s="310">
        <f t="shared" ca="1" si="21"/>
        <v>0</v>
      </c>
      <c r="AF56" s="308">
        <f>IF('General Data'!$E$11&gt;=5, 'Adults YEAR5'!O243, 0)</f>
        <v>0</v>
      </c>
      <c r="AG56" s="309">
        <f>IF('General Data'!$E$11&gt;=5, 'Adults YEAR5'!W243, 0)</f>
        <v>0</v>
      </c>
      <c r="AH56" s="309">
        <f t="shared" si="5"/>
        <v>0</v>
      </c>
      <c r="AI56" s="310">
        <f t="shared" ca="1" si="22"/>
        <v>0</v>
      </c>
      <c r="AJ56" s="311">
        <f ca="1">AI56+AE56+AA56+P56+L56</f>
        <v>632711.99999999988</v>
      </c>
    </row>
    <row r="57" spans="2:36" x14ac:dyDescent="0.2">
      <c r="B57" s="321"/>
      <c r="C57" s="313" t="s">
        <v>69</v>
      </c>
      <c r="D57" s="314"/>
      <c r="E57" s="314" t="str">
        <f>'Available Stocks'!F47</f>
        <v>Gél</v>
      </c>
      <c r="F57" s="314" t="str">
        <f>'Available Stocks'!G47</f>
        <v>400 mg</v>
      </c>
      <c r="G57" s="315">
        <v>180</v>
      </c>
      <c r="H57" s="316">
        <f ca="1">'Global Synthesis'!H42</f>
        <v>50</v>
      </c>
      <c r="I57" s="317">
        <f>IF('General Data'!$E$11&gt;=1, 'Adults YEAR1'!O244, 0)</f>
        <v>0</v>
      </c>
      <c r="J57" s="318" t="str">
        <f>IF('General Data'!$E$11&gt;=1, 'Adults YEAR1'!V244, 0)</f>
        <v>0</v>
      </c>
      <c r="K57" s="318">
        <f>IF('General Data'!$E$11&gt;=1, 'Adults YEAR1'!U244, 0)</f>
        <v>0</v>
      </c>
      <c r="L57" s="328">
        <f t="shared" ca="1" si="18"/>
        <v>0</v>
      </c>
      <c r="M57" s="317">
        <f>IF('General Data'!$E$11&gt;=2, 'Adults YEAR2'!O244, 0)</f>
        <v>0</v>
      </c>
      <c r="N57" s="318">
        <f>IF('General Data'!$E$11&gt;=2, 'Adults YEAR2'!W244, 0)</f>
        <v>0</v>
      </c>
      <c r="O57" s="318">
        <f t="shared" si="0"/>
        <v>0</v>
      </c>
      <c r="P57" s="328">
        <f t="shared" ca="1" si="19"/>
        <v>0</v>
      </c>
      <c r="Q57" s="321"/>
      <c r="R57" s="313" t="str">
        <f t="shared" si="6"/>
        <v>IDV</v>
      </c>
      <c r="S57" s="314"/>
      <c r="T57" s="314" t="str">
        <f t="shared" si="24"/>
        <v>Gél</v>
      </c>
      <c r="U57" s="314" t="str">
        <f t="shared" si="25"/>
        <v>400 mg</v>
      </c>
      <c r="V57" s="315">
        <f t="shared" si="26"/>
        <v>180</v>
      </c>
      <c r="W57" s="316">
        <f t="shared" ca="1" si="2"/>
        <v>50</v>
      </c>
      <c r="X57" s="317">
        <f>IF('General Data'!$E$11&gt;=3, 'Adults YEAR3'!O244, 0)</f>
        <v>0</v>
      </c>
      <c r="Y57" s="318">
        <f>IF('General Data'!$E$11&gt;=3, 'Adults YEAR3'!W244, 0)</f>
        <v>0</v>
      </c>
      <c r="Z57" s="318">
        <f t="shared" si="3"/>
        <v>0</v>
      </c>
      <c r="AA57" s="328">
        <f t="shared" ca="1" si="20"/>
        <v>0</v>
      </c>
      <c r="AB57" s="317">
        <f>IF('General Data'!$E$11&gt;=4, 'Adults YEAR4'!O244, 0)</f>
        <v>0</v>
      </c>
      <c r="AC57" s="318">
        <f>IF('General Data'!$E$11&gt;=4, 'Adults YEAR4'!W244, 0)</f>
        <v>0</v>
      </c>
      <c r="AD57" s="318">
        <f t="shared" si="4"/>
        <v>0</v>
      </c>
      <c r="AE57" s="328">
        <f t="shared" ca="1" si="21"/>
        <v>0</v>
      </c>
      <c r="AF57" s="317">
        <f>IF('General Data'!$E$11&gt;=5, 'Adults YEAR5'!O244, 0)</f>
        <v>0</v>
      </c>
      <c r="AG57" s="318">
        <f>IF('General Data'!$E$11&gt;=5, 'Adults YEAR5'!W244, 0)</f>
        <v>0</v>
      </c>
      <c r="AH57" s="318">
        <f t="shared" si="5"/>
        <v>0</v>
      </c>
      <c r="AI57" s="328">
        <f t="shared" ca="1" si="22"/>
        <v>0</v>
      </c>
      <c r="AJ57" s="329">
        <f t="shared" ca="1" si="23"/>
        <v>0</v>
      </c>
    </row>
    <row r="58" spans="2:36" x14ac:dyDescent="0.2">
      <c r="B58" s="321"/>
      <c r="C58" s="322" t="s">
        <v>70</v>
      </c>
      <c r="D58" s="323"/>
      <c r="E58" s="323" t="str">
        <f>'Available Stocks'!F48</f>
        <v>Caps. Molle</v>
      </c>
      <c r="F58" s="323" t="str">
        <f>'Available Stocks'!G48</f>
        <v>100 mg</v>
      </c>
      <c r="G58" s="324">
        <v>84</v>
      </c>
      <c r="H58" s="325">
        <f ca="1">'Global Synthesis'!H43</f>
        <v>9.59</v>
      </c>
      <c r="I58" s="326">
        <f>IF('General Data'!$E$11&gt;=1, 'Adults YEAR1'!O245, 0)</f>
        <v>0</v>
      </c>
      <c r="J58" s="327" t="str">
        <f>IF('General Data'!$E$11&gt;=1, 'Adults YEAR1'!V245, 0)</f>
        <v>0</v>
      </c>
      <c r="K58" s="327">
        <f>IF('General Data'!$E$11&gt;=1, 'Adults YEAR1'!U245, 0)</f>
        <v>0</v>
      </c>
      <c r="L58" s="328">
        <f t="shared" ca="1" si="18"/>
        <v>0</v>
      </c>
      <c r="M58" s="326">
        <f>IF('General Data'!$E$11&gt;=2, 'Adults YEAR2'!O245, 0)</f>
        <v>0</v>
      </c>
      <c r="N58" s="327">
        <f>IF('General Data'!$E$11&gt;=2, 'Adults YEAR2'!W245, 0)</f>
        <v>0</v>
      </c>
      <c r="O58" s="327">
        <f t="shared" si="0"/>
        <v>0</v>
      </c>
      <c r="P58" s="328">
        <f t="shared" ca="1" si="19"/>
        <v>0</v>
      </c>
      <c r="Q58" s="321"/>
      <c r="R58" s="322" t="str">
        <f t="shared" si="6"/>
        <v>RTV</v>
      </c>
      <c r="S58" s="323"/>
      <c r="T58" s="323" t="str">
        <f t="shared" si="24"/>
        <v>Caps. Molle</v>
      </c>
      <c r="U58" s="323" t="str">
        <f t="shared" si="25"/>
        <v>100 mg</v>
      </c>
      <c r="V58" s="324">
        <f t="shared" si="26"/>
        <v>84</v>
      </c>
      <c r="W58" s="325">
        <f t="shared" ca="1" si="2"/>
        <v>9.59</v>
      </c>
      <c r="X58" s="326">
        <f>IF('General Data'!$E$11&gt;=3, 'Adults YEAR3'!O245, 0)</f>
        <v>0</v>
      </c>
      <c r="Y58" s="327">
        <f>IF('General Data'!$E$11&gt;=3, 'Adults YEAR3'!W245, 0)</f>
        <v>0</v>
      </c>
      <c r="Z58" s="327">
        <f t="shared" si="3"/>
        <v>0</v>
      </c>
      <c r="AA58" s="328">
        <f t="shared" ca="1" si="20"/>
        <v>0</v>
      </c>
      <c r="AB58" s="326">
        <f>IF('General Data'!$E$11&gt;=4, 'Adults YEAR4'!O245, 0)</f>
        <v>0</v>
      </c>
      <c r="AC58" s="327">
        <f>IF('General Data'!$E$11&gt;=4, 'Adults YEAR4'!W245, 0)</f>
        <v>0</v>
      </c>
      <c r="AD58" s="327">
        <f t="shared" si="4"/>
        <v>0</v>
      </c>
      <c r="AE58" s="328">
        <f t="shared" ca="1" si="21"/>
        <v>0</v>
      </c>
      <c r="AF58" s="326">
        <f>IF('General Data'!$E$11&gt;=5, 'Adults YEAR5'!O245, 0)</f>
        <v>0</v>
      </c>
      <c r="AG58" s="327">
        <f>IF('General Data'!$E$11&gt;=5, 'Adults YEAR5'!W245, 0)</f>
        <v>0</v>
      </c>
      <c r="AH58" s="327">
        <f t="shared" si="5"/>
        <v>0</v>
      </c>
      <c r="AI58" s="328">
        <f t="shared" ca="1" si="22"/>
        <v>0</v>
      </c>
      <c r="AJ58" s="329">
        <f t="shared" ca="1" si="23"/>
        <v>0</v>
      </c>
    </row>
    <row r="59" spans="2:36" x14ac:dyDescent="0.2">
      <c r="B59" s="321"/>
      <c r="C59" s="322" t="s">
        <v>68</v>
      </c>
      <c r="D59" s="323"/>
      <c r="E59" s="323" t="str">
        <f>'Available Stocks'!F49</f>
        <v>Cp</v>
      </c>
      <c r="F59" s="323" t="str">
        <f>'Available Stocks'!G49</f>
        <v>500 mg</v>
      </c>
      <c r="G59" s="324">
        <v>300</v>
      </c>
      <c r="H59" s="325">
        <f ca="1">'Global Synthesis'!H44</f>
        <v>104.38</v>
      </c>
      <c r="I59" s="326">
        <f>IF('General Data'!$E$11&gt;=1, 'Adults YEAR1'!O246, 0)</f>
        <v>0</v>
      </c>
      <c r="J59" s="327" t="str">
        <f>IF('General Data'!$E$11&gt;=1, 'Adults YEAR1'!V246, 0)</f>
        <v>0</v>
      </c>
      <c r="K59" s="327">
        <f>IF('General Data'!$E$11&gt;=1, 'Adults YEAR1'!U246, 0)</f>
        <v>0</v>
      </c>
      <c r="L59" s="328">
        <f t="shared" ca="1" si="18"/>
        <v>0</v>
      </c>
      <c r="M59" s="326">
        <f>IF('General Data'!$E$11&gt;=2, 'Adults YEAR2'!O246, 0)</f>
        <v>0</v>
      </c>
      <c r="N59" s="327">
        <f>IF('General Data'!$E$11&gt;=2, 'Adults YEAR2'!W246, 0)</f>
        <v>0</v>
      </c>
      <c r="O59" s="327">
        <f t="shared" si="0"/>
        <v>0</v>
      </c>
      <c r="P59" s="328">
        <f t="shared" ca="1" si="19"/>
        <v>0</v>
      </c>
      <c r="Q59" s="321"/>
      <c r="R59" s="322" t="str">
        <f t="shared" si="6"/>
        <v>SQV</v>
      </c>
      <c r="S59" s="323"/>
      <c r="T59" s="323" t="str">
        <f t="shared" si="24"/>
        <v>Cp</v>
      </c>
      <c r="U59" s="323" t="str">
        <f t="shared" si="25"/>
        <v>500 mg</v>
      </c>
      <c r="V59" s="324">
        <f t="shared" si="26"/>
        <v>300</v>
      </c>
      <c r="W59" s="325">
        <f t="shared" ca="1" si="2"/>
        <v>104.38</v>
      </c>
      <c r="X59" s="326">
        <f>IF('General Data'!$E$11&gt;=3, 'Adults YEAR3'!O246, 0)</f>
        <v>0</v>
      </c>
      <c r="Y59" s="327">
        <f>IF('General Data'!$E$11&gt;=3, 'Adults YEAR3'!W246, 0)</f>
        <v>0</v>
      </c>
      <c r="Z59" s="327">
        <f t="shared" si="3"/>
        <v>0</v>
      </c>
      <c r="AA59" s="328">
        <f t="shared" ca="1" si="20"/>
        <v>0</v>
      </c>
      <c r="AB59" s="326">
        <f>IF('General Data'!$E$11&gt;=4, 'Adults YEAR4'!O246, 0)</f>
        <v>0</v>
      </c>
      <c r="AC59" s="327">
        <f>IF('General Data'!$E$11&gt;=4, 'Adults YEAR4'!W246, 0)</f>
        <v>0</v>
      </c>
      <c r="AD59" s="327">
        <f t="shared" si="4"/>
        <v>0</v>
      </c>
      <c r="AE59" s="328">
        <f t="shared" ca="1" si="21"/>
        <v>0</v>
      </c>
      <c r="AF59" s="326">
        <f>IF('General Data'!$E$11&gt;=5, 'Adults YEAR5'!O246, 0)</f>
        <v>0</v>
      </c>
      <c r="AG59" s="327">
        <f>IF('General Data'!$E$11&gt;=5, 'Adults YEAR5'!W246, 0)</f>
        <v>0</v>
      </c>
      <c r="AH59" s="327">
        <f t="shared" si="5"/>
        <v>0</v>
      </c>
      <c r="AI59" s="328">
        <f t="shared" ca="1" si="22"/>
        <v>0</v>
      </c>
      <c r="AJ59" s="329">
        <f t="shared" ca="1" si="23"/>
        <v>0</v>
      </c>
    </row>
    <row r="60" spans="2:36" x14ac:dyDescent="0.2">
      <c r="B60" s="321"/>
      <c r="C60" s="322" t="s">
        <v>576</v>
      </c>
      <c r="D60" s="323"/>
      <c r="E60" s="323" t="str">
        <f>'Available Stocks'!F50</f>
        <v>Cp</v>
      </c>
      <c r="F60" s="323" t="str">
        <f>'Available Stocks'!G50</f>
        <v>300/100 mg</v>
      </c>
      <c r="G60" s="324">
        <f>'Available Stocks'!K50</f>
        <v>30</v>
      </c>
      <c r="H60" s="325">
        <f ca="1">'Global Synthesis'!H45</f>
        <v>22.5</v>
      </c>
      <c r="I60" s="326">
        <f>IF('General Data'!$E$11&gt;=1, 'Adults YEAR1'!O247, 0)</f>
        <v>419</v>
      </c>
      <c r="J60" s="327">
        <f>IF('General Data'!$E$11&gt;=1, 'Adults YEAR1'!V247, 0)</f>
        <v>105</v>
      </c>
      <c r="K60" s="327">
        <f>IF('General Data'!$E$11&gt;=1, 'Adults YEAR1'!U247, 0)</f>
        <v>524</v>
      </c>
      <c r="L60" s="328">
        <f t="shared" ca="1" si="18"/>
        <v>11790</v>
      </c>
      <c r="M60" s="326">
        <f>IF('General Data'!$E$11&gt;=2, 'Adults YEAR2'!O247, 0)</f>
        <v>0</v>
      </c>
      <c r="N60" s="327">
        <f>IF('General Data'!$E$11&gt;=2, 'Adults YEAR2'!W247, 0)</f>
        <v>0</v>
      </c>
      <c r="O60" s="327">
        <f t="shared" si="0"/>
        <v>0</v>
      </c>
      <c r="P60" s="328">
        <f ca="1">O60*H60</f>
        <v>0</v>
      </c>
      <c r="Q60" s="321"/>
      <c r="R60" s="322" t="str">
        <f t="shared" si="6"/>
        <v>ATV/r</v>
      </c>
      <c r="S60" s="323"/>
      <c r="T60" s="323" t="str">
        <f t="shared" si="24"/>
        <v>Cp</v>
      </c>
      <c r="U60" s="323" t="str">
        <f t="shared" si="25"/>
        <v>300/100 mg</v>
      </c>
      <c r="V60" s="324">
        <f t="shared" si="26"/>
        <v>30</v>
      </c>
      <c r="W60" s="325">
        <f t="shared" ca="1" si="2"/>
        <v>22.5</v>
      </c>
      <c r="X60" s="326">
        <f>IF('General Data'!$E$11&gt;=3, 'Adults YEAR3'!O247, 0)</f>
        <v>0</v>
      </c>
      <c r="Y60" s="327">
        <f>IF('General Data'!$E$11&gt;=3, 'Adults YEAR3'!W247, 0)</f>
        <v>0</v>
      </c>
      <c r="Z60" s="327">
        <f t="shared" si="3"/>
        <v>0</v>
      </c>
      <c r="AA60" s="328">
        <f ca="1">Z60*H60</f>
        <v>0</v>
      </c>
      <c r="AB60" s="326">
        <f>IF('General Data'!$E$11&gt;=4, 'Adults YEAR4'!O247, 0)</f>
        <v>0</v>
      </c>
      <c r="AC60" s="327">
        <f>IF('General Data'!$E$11&gt;=4, 'Adults YEAR4'!W247, 0)</f>
        <v>0</v>
      </c>
      <c r="AD60" s="327">
        <f t="shared" si="4"/>
        <v>0</v>
      </c>
      <c r="AE60" s="328">
        <f ca="1">AD60*H60</f>
        <v>0</v>
      </c>
      <c r="AF60" s="326">
        <f>IF('General Data'!$E$11&gt;=5, 'Adults YEAR5'!O247, 0)</f>
        <v>0</v>
      </c>
      <c r="AG60" s="327">
        <f>IF('General Data'!$E$11&gt;=5, 'Adults YEAR5'!W247, 0)</f>
        <v>0</v>
      </c>
      <c r="AH60" s="327">
        <f t="shared" si="5"/>
        <v>0</v>
      </c>
      <c r="AI60" s="328">
        <f ca="1">AH60*H60</f>
        <v>0</v>
      </c>
      <c r="AJ60" s="329">
        <f t="shared" ca="1" si="23"/>
        <v>11790</v>
      </c>
    </row>
    <row r="61" spans="2:36" x14ac:dyDescent="0.2">
      <c r="B61" s="339"/>
      <c r="C61" s="331" t="s">
        <v>328</v>
      </c>
      <c r="D61" s="332"/>
      <c r="E61" s="332" t="str">
        <f>'Available Stocks'!F51</f>
        <v>Cp</v>
      </c>
      <c r="F61" s="332" t="str">
        <f>'Available Stocks'!G51</f>
        <v>600 mg</v>
      </c>
      <c r="G61" s="333">
        <v>60</v>
      </c>
      <c r="H61" s="334">
        <f ca="1">'Global Synthesis'!H46</f>
        <v>0</v>
      </c>
      <c r="I61" s="335">
        <f>IF('General Data'!$E$11&gt;=1, 'Adults YEAR1'!O248, 0)</f>
        <v>0</v>
      </c>
      <c r="J61" s="336" t="str">
        <f>IF('General Data'!$E$11&gt;=1, 'Adults YEAR1'!V248, 0)</f>
        <v>0</v>
      </c>
      <c r="K61" s="336">
        <f>IF('General Data'!$E$11&gt;=1, 'Adults YEAR1'!U248, 0)</f>
        <v>0</v>
      </c>
      <c r="L61" s="337">
        <f ca="1">K61*H61</f>
        <v>0</v>
      </c>
      <c r="M61" s="335">
        <f>IF('General Data'!$E$11&gt;=2, 'Adults YEAR2'!O248, 0)</f>
        <v>0</v>
      </c>
      <c r="N61" s="336">
        <f>IF('General Data'!$E$11&gt;=2, 'Adults YEAR2'!W248, 0)</f>
        <v>0</v>
      </c>
      <c r="O61" s="336">
        <f t="shared" si="0"/>
        <v>0</v>
      </c>
      <c r="P61" s="337">
        <f ca="1">O61*H61</f>
        <v>0</v>
      </c>
      <c r="Q61" s="339"/>
      <c r="R61" s="331" t="str">
        <f t="shared" si="6"/>
        <v>DRV</v>
      </c>
      <c r="S61" s="332"/>
      <c r="T61" s="332" t="str">
        <f t="shared" si="24"/>
        <v>Cp</v>
      </c>
      <c r="U61" s="332" t="str">
        <f t="shared" si="25"/>
        <v>600 mg</v>
      </c>
      <c r="V61" s="333">
        <f t="shared" si="26"/>
        <v>60</v>
      </c>
      <c r="W61" s="334">
        <f t="shared" ca="1" si="2"/>
        <v>0</v>
      </c>
      <c r="X61" s="335">
        <f>IF('General Data'!$E$11&gt;=3, 'Adults YEAR3'!O248, 0)</f>
        <v>0</v>
      </c>
      <c r="Y61" s="336">
        <f>IF('General Data'!$E$11&gt;=3, 'Adults YEAR3'!W248, 0)</f>
        <v>0</v>
      </c>
      <c r="Z61" s="336">
        <f t="shared" si="3"/>
        <v>0</v>
      </c>
      <c r="AA61" s="337">
        <f ca="1">Z61*H61</f>
        <v>0</v>
      </c>
      <c r="AB61" s="335">
        <f>IF('General Data'!$E$11&gt;=4, 'Adults YEAR4'!O248, 0)</f>
        <v>0</v>
      </c>
      <c r="AC61" s="336">
        <f>IF('General Data'!$E$11&gt;=4, 'Adults YEAR4'!W248, 0)</f>
        <v>0</v>
      </c>
      <c r="AD61" s="336">
        <f t="shared" si="4"/>
        <v>0</v>
      </c>
      <c r="AE61" s="337">
        <f ca="1">AD61*H61</f>
        <v>0</v>
      </c>
      <c r="AF61" s="335">
        <f>IF('General Data'!$E$11&gt;=5, 'Adults YEAR5'!O248, 0)</f>
        <v>0</v>
      </c>
      <c r="AG61" s="336">
        <f>IF('General Data'!$E$11&gt;=5, 'Adults YEAR5'!W248, 0)</f>
        <v>0</v>
      </c>
      <c r="AH61" s="336">
        <f t="shared" si="5"/>
        <v>0</v>
      </c>
      <c r="AI61" s="337">
        <f ca="1">AH61*H61</f>
        <v>0</v>
      </c>
      <c r="AJ61" s="338">
        <f ca="1">AI61+AE61+AA61+P61+L61</f>
        <v>0</v>
      </c>
    </row>
    <row r="62" spans="2:36" x14ac:dyDescent="0.2">
      <c r="B62" s="330" t="str">
        <f>'Available Stocks'!D52</f>
        <v>I Int.</v>
      </c>
      <c r="C62" s="331" t="s">
        <v>329</v>
      </c>
      <c r="D62" s="332"/>
      <c r="E62" s="332" t="str">
        <f>'Available Stocks'!F52</f>
        <v>Cp</v>
      </c>
      <c r="F62" s="332" t="str">
        <f>'Available Stocks'!G52</f>
        <v>400 mg</v>
      </c>
      <c r="G62" s="333">
        <v>60</v>
      </c>
      <c r="H62" s="334">
        <f ca="1">'Global Synthesis'!H47</f>
        <v>55.5</v>
      </c>
      <c r="I62" s="335">
        <f>IF('General Data'!$E$11&gt;=1, 'Adults YEAR1'!O249, 0)</f>
        <v>0</v>
      </c>
      <c r="J62" s="336" t="str">
        <f>IF('General Data'!$E$11&gt;=1, 'Adults YEAR1'!V249, 0)</f>
        <v>0</v>
      </c>
      <c r="K62" s="336">
        <f>IF('General Data'!$E$11&gt;=1, 'Adults YEAR1'!U249, 0)</f>
        <v>0</v>
      </c>
      <c r="L62" s="337">
        <f ca="1">K62*H62</f>
        <v>0</v>
      </c>
      <c r="M62" s="335">
        <f>IF('General Data'!$E$11&gt;=2, 'Adults YEAR2'!O249, 0)</f>
        <v>0</v>
      </c>
      <c r="N62" s="336">
        <f>IF('General Data'!$E$11&gt;=2, 'Adults YEAR2'!W249, 0)</f>
        <v>0</v>
      </c>
      <c r="O62" s="336">
        <f t="shared" si="0"/>
        <v>0</v>
      </c>
      <c r="P62" s="337">
        <f ca="1">O62*H62</f>
        <v>0</v>
      </c>
      <c r="Q62" s="330" t="s">
        <v>331</v>
      </c>
      <c r="R62" s="331" t="str">
        <f t="shared" si="6"/>
        <v>RLT = RAL</v>
      </c>
      <c r="S62" s="332"/>
      <c r="T62" s="332" t="str">
        <f t="shared" si="24"/>
        <v>Cp</v>
      </c>
      <c r="U62" s="332" t="str">
        <f t="shared" si="25"/>
        <v>400 mg</v>
      </c>
      <c r="V62" s="333">
        <f t="shared" si="26"/>
        <v>60</v>
      </c>
      <c r="W62" s="334">
        <f t="shared" ca="1" si="2"/>
        <v>55.5</v>
      </c>
      <c r="X62" s="335">
        <f>IF('General Data'!$E$11&gt;=3, 'Adults YEAR3'!O249, 0)</f>
        <v>0</v>
      </c>
      <c r="Y62" s="336">
        <f>IF('General Data'!$E$11&gt;=3, 'Adults YEAR3'!W249, 0)</f>
        <v>0</v>
      </c>
      <c r="Z62" s="336">
        <f t="shared" si="3"/>
        <v>0</v>
      </c>
      <c r="AA62" s="337">
        <f ca="1">Z62*H62</f>
        <v>0</v>
      </c>
      <c r="AB62" s="335">
        <f>IF('General Data'!$E$11&gt;=4, 'Adults YEAR4'!O249, 0)</f>
        <v>0</v>
      </c>
      <c r="AC62" s="336">
        <f>IF('General Data'!$E$11&gt;=4, 'Adults YEAR4'!W249, 0)</f>
        <v>0</v>
      </c>
      <c r="AD62" s="336">
        <f t="shared" si="4"/>
        <v>0</v>
      </c>
      <c r="AE62" s="337">
        <f ca="1">AD62*H62</f>
        <v>0</v>
      </c>
      <c r="AF62" s="335">
        <f>IF('General Data'!$E$11&gt;=5, 'Adults YEAR5'!O249, 0)</f>
        <v>0</v>
      </c>
      <c r="AG62" s="336">
        <f>IF('General Data'!$E$11&gt;=5, 'Adults YEAR5'!W249, 0)</f>
        <v>0</v>
      </c>
      <c r="AH62" s="336">
        <f t="shared" si="5"/>
        <v>0</v>
      </c>
      <c r="AI62" s="337">
        <f ca="1">AH62*H62</f>
        <v>0</v>
      </c>
      <c r="AJ62" s="338">
        <f ca="1">AI62+AE62+AA62+P62+L62</f>
        <v>0</v>
      </c>
    </row>
    <row r="63" spans="2:36" ht="26.25" thickBot="1" x14ac:dyDescent="0.25">
      <c r="B63" s="340" t="str">
        <f>'Available Stocks'!D53</f>
        <v>INNTI 3ème ligne</v>
      </c>
      <c r="C63" s="341" t="s">
        <v>330</v>
      </c>
      <c r="D63" s="342"/>
      <c r="E63" s="342" t="str">
        <f>'Available Stocks'!F53</f>
        <v>Cp</v>
      </c>
      <c r="F63" s="342" t="str">
        <f>'Available Stocks'!G53</f>
        <v>100 mg</v>
      </c>
      <c r="G63" s="343">
        <v>120</v>
      </c>
      <c r="H63" s="344">
        <f ca="1">'Global Synthesis'!H48</f>
        <v>86.73</v>
      </c>
      <c r="I63" s="345">
        <f>IF('General Data'!$E$11&gt;=1, 'Adults YEAR1'!O250, 0)</f>
        <v>0</v>
      </c>
      <c r="J63" s="346" t="str">
        <f>IF('General Data'!$E$11&gt;=1, 'Adults YEAR1'!V250, 0)</f>
        <v>0</v>
      </c>
      <c r="K63" s="346">
        <f>IF('General Data'!$E$11&gt;=1, 'Adults YEAR1'!U250, 0)</f>
        <v>0</v>
      </c>
      <c r="L63" s="337">
        <f ca="1">K63*H63</f>
        <v>0</v>
      </c>
      <c r="M63" s="345">
        <f>IF('General Data'!$E$11&gt;=2, 'Adults YEAR2'!O250, 0)</f>
        <v>0</v>
      </c>
      <c r="N63" s="346">
        <f>IF('General Data'!$E$11&gt;=2, 'Adults YEAR2'!W250, 0)</f>
        <v>0</v>
      </c>
      <c r="O63" s="346">
        <f t="shared" si="0"/>
        <v>0</v>
      </c>
      <c r="P63" s="337">
        <f ca="1">O63*H63</f>
        <v>0</v>
      </c>
      <c r="Q63" s="340" t="s">
        <v>333</v>
      </c>
      <c r="R63" s="341" t="str">
        <f t="shared" si="6"/>
        <v>ETV</v>
      </c>
      <c r="S63" s="342"/>
      <c r="T63" s="342" t="str">
        <f t="shared" si="24"/>
        <v>Cp</v>
      </c>
      <c r="U63" s="342" t="str">
        <f t="shared" si="25"/>
        <v>100 mg</v>
      </c>
      <c r="V63" s="343">
        <f t="shared" si="26"/>
        <v>120</v>
      </c>
      <c r="W63" s="344">
        <f t="shared" ca="1" si="2"/>
        <v>86.73</v>
      </c>
      <c r="X63" s="345">
        <f>IF('General Data'!$E$11&gt;=3, 'Adults YEAR3'!O250, 0)</f>
        <v>0</v>
      </c>
      <c r="Y63" s="346">
        <f>IF('General Data'!$E$11&gt;=3, 'Adults YEAR3'!W250, 0)</f>
        <v>0</v>
      </c>
      <c r="Z63" s="346">
        <f t="shared" si="3"/>
        <v>0</v>
      </c>
      <c r="AA63" s="337">
        <f ca="1">Z63*H63</f>
        <v>0</v>
      </c>
      <c r="AB63" s="345">
        <f>IF('General Data'!$E$11&gt;=4, 'Adults YEAR4'!O250, 0)</f>
        <v>0</v>
      </c>
      <c r="AC63" s="346">
        <f>IF('General Data'!$E$11&gt;=4, 'Adults YEAR4'!W250, 0)</f>
        <v>0</v>
      </c>
      <c r="AD63" s="346">
        <f t="shared" si="4"/>
        <v>0</v>
      </c>
      <c r="AE63" s="337">
        <f ca="1">AD63*H63</f>
        <v>0</v>
      </c>
      <c r="AF63" s="345">
        <f>IF('General Data'!$E$11&gt;=5, 'Adults YEAR5'!O250, 0)</f>
        <v>0</v>
      </c>
      <c r="AG63" s="346">
        <f>IF('General Data'!$E$11&gt;=5, 'Adults YEAR5'!W250, 0)</f>
        <v>0</v>
      </c>
      <c r="AH63" s="346">
        <f t="shared" si="5"/>
        <v>0</v>
      </c>
      <c r="AI63" s="337">
        <f ca="1">AH63*H63</f>
        <v>0</v>
      </c>
      <c r="AJ63" s="338">
        <f ca="1">AI63+AE63+AA63+P63+L63</f>
        <v>0</v>
      </c>
    </row>
    <row r="64" spans="2:36" ht="13.5" thickBot="1" x14ac:dyDescent="0.25">
      <c r="I64" s="347"/>
      <c r="J64" s="347"/>
      <c r="K64" s="347"/>
      <c r="L64" s="348">
        <f ca="1">SUM(L36:L60)</f>
        <v>3501466.5999999996</v>
      </c>
      <c r="M64" s="347"/>
      <c r="N64" s="347"/>
      <c r="O64" s="347"/>
      <c r="P64" s="348">
        <f ca="1">SUM(P36:P60)</f>
        <v>0</v>
      </c>
      <c r="Q64" s="347"/>
      <c r="R64" s="347"/>
      <c r="S64" s="347"/>
      <c r="T64" s="347"/>
      <c r="U64" s="347"/>
      <c r="V64" s="347"/>
      <c r="W64" s="347"/>
      <c r="X64" s="347"/>
      <c r="Y64" s="347"/>
      <c r="Z64" s="347"/>
      <c r="AA64" s="348">
        <f ca="1">SUM(AA36:AA60)</f>
        <v>0</v>
      </c>
      <c r="AB64" s="347"/>
      <c r="AC64" s="347"/>
      <c r="AD64" s="347"/>
      <c r="AE64" s="348">
        <f ca="1">SUM(AE36:AE60)</f>
        <v>0</v>
      </c>
      <c r="AF64" s="347"/>
      <c r="AG64" s="347"/>
      <c r="AH64" s="347"/>
      <c r="AI64" s="348">
        <f ca="1">SUM(AI36:AI60)</f>
        <v>0</v>
      </c>
      <c r="AJ64" s="349">
        <f ca="1">AI64+AE64+AA64+P64+L64</f>
        <v>3501466.5999999996</v>
      </c>
    </row>
    <row r="65" spans="2:36" ht="13.5" thickBot="1" x14ac:dyDescent="0.25">
      <c r="B65" s="350" t="s">
        <v>241</v>
      </c>
      <c r="C65" s="291"/>
      <c r="D65" s="291"/>
      <c r="E65" s="291"/>
      <c r="F65" s="291"/>
      <c r="G65" s="291"/>
      <c r="H65" s="291"/>
      <c r="I65" s="291"/>
      <c r="J65" s="291"/>
    </row>
    <row r="66" spans="2:36" ht="26.25" customHeight="1" thickBot="1" x14ac:dyDescent="0.25">
      <c r="B66" s="351" t="s">
        <v>240</v>
      </c>
      <c r="C66" s="2220" t="str">
        <f>'TRAD-Synthesis Adults'!B30</f>
        <v>D'après GPRM-AMDS-OMS 10/2011, to 'Untangling the web of price reduction' MSF Access report and French price for ETV in 2010</v>
      </c>
      <c r="D66" s="2220"/>
      <c r="E66" s="2220"/>
      <c r="F66" s="2220"/>
      <c r="G66" s="2220"/>
      <c r="H66" s="2220"/>
      <c r="I66" s="2220"/>
      <c r="J66" s="2220"/>
      <c r="K66" s="352"/>
      <c r="L66" s="352"/>
      <c r="AG66" s="1342" t="str">
        <f>'TRAD-Synthesis Adults'!B33</f>
        <v>Tarif de transport, d'assurance, coût de variation du tampon</v>
      </c>
      <c r="AH66" s="1427">
        <f>'General Data'!$E$33</f>
        <v>0.18</v>
      </c>
      <c r="AI66" s="260" t="str">
        <f>'TRAD-Synthesis Adults'!B35</f>
        <v>correspondant à</v>
      </c>
      <c r="AJ66" s="925">
        <f ca="1">AJ64*AH66</f>
        <v>630263.9879999999</v>
      </c>
    </row>
    <row r="67" spans="2:36" ht="26.25" thickBot="1" x14ac:dyDescent="0.25">
      <c r="B67" s="351" t="s">
        <v>337</v>
      </c>
      <c r="C67" s="2219" t="str">
        <f>'TRAD-Synthesis Adults'!B31</f>
        <v xml:space="preserve">Selon les options choisies dans les différents modèles précédents   </v>
      </c>
      <c r="D67" s="2219"/>
      <c r="E67" s="2219"/>
      <c r="F67" s="2219"/>
      <c r="G67" s="2219"/>
      <c r="H67" s="2219"/>
      <c r="I67" s="2219"/>
      <c r="J67" s="2219"/>
      <c r="K67" s="352"/>
      <c r="L67" s="352"/>
      <c r="AG67" s="1342" t="str">
        <f>'TRAD-Synthesis Adults'!B34</f>
        <v>Frais de Gestion</v>
      </c>
      <c r="AH67" s="1427">
        <f>'General Data'!$E$36</f>
        <v>0</v>
      </c>
      <c r="AI67" s="260" t="str">
        <f>'TRAD-Synthesis Adults'!B35</f>
        <v>correspondant à</v>
      </c>
      <c r="AJ67" s="925">
        <f ca="1">AJ64*AH67</f>
        <v>0</v>
      </c>
    </row>
    <row r="69" spans="2:36" ht="13.5" thickBot="1" x14ac:dyDescent="0.25">
      <c r="B69" s="350" t="str">
        <f>'TRAD-Synthesis Adults'!B12</f>
        <v>Commentaires</v>
      </c>
      <c r="C69" s="291"/>
      <c r="D69" s="291"/>
      <c r="E69" s="291"/>
      <c r="F69" s="291"/>
      <c r="G69" s="291"/>
      <c r="H69" s="291"/>
      <c r="I69" s="291"/>
      <c r="J69" s="291"/>
    </row>
    <row r="70" spans="2:36" ht="16.5" thickBot="1" x14ac:dyDescent="0.3">
      <c r="C70" s="959" t="str">
        <f>'TRAD-Synthesis Adults'!B32</f>
        <v>Les prix n'incluent pas les frais de transport ni les frais de gestion de stock</v>
      </c>
      <c r="AI70" s="926" t="str">
        <f>'TRAD-Synthesis Adults'!B36</f>
        <v>Coût Total</v>
      </c>
      <c r="AJ70" s="927">
        <f ca="1">AJ64+AJ66+AJ67</f>
        <v>4131730.5879999995</v>
      </c>
    </row>
    <row r="71" spans="2:36" ht="13.5" thickBot="1" x14ac:dyDescent="0.25">
      <c r="C71" s="959"/>
      <c r="AG71" s="523"/>
      <c r="AH71" s="523"/>
      <c r="AI71" s="523"/>
      <c r="AJ71" s="523"/>
    </row>
    <row r="72" spans="2:36" ht="13.5" thickBot="1" x14ac:dyDescent="0.25">
      <c r="AH72" s="260" t="str">
        <f>'TRAD-Synthesis Adults'!B37</f>
        <v xml:space="preserve">Taux de change 1 $ =  </v>
      </c>
      <c r="AJ72" s="1936">
        <f>'General Data'!$F$39</f>
        <v>0.75</v>
      </c>
    </row>
    <row r="73" spans="2:36" ht="13.5" thickBot="1" x14ac:dyDescent="0.25"/>
    <row r="74" spans="2:36" ht="13.5" thickBot="1" x14ac:dyDescent="0.25">
      <c r="H74" s="260" t="str">
        <f>"X"</f>
        <v>X</v>
      </c>
      <c r="AI74" s="909"/>
      <c r="AJ74" s="909">
        <f ca="1">AJ64*AJ72</f>
        <v>2626099.9499999997</v>
      </c>
    </row>
    <row r="75" spans="2:36" ht="13.5" thickBot="1" x14ac:dyDescent="0.25">
      <c r="AG75" s="523"/>
      <c r="AH75" s="523"/>
      <c r="AI75" s="523"/>
      <c r="AJ75" s="523"/>
    </row>
    <row r="76" spans="2:36" ht="16.5" thickBot="1" x14ac:dyDescent="0.3">
      <c r="AG76" s="523"/>
      <c r="AH76" s="523"/>
      <c r="AI76" s="926" t="str">
        <f>'TRAD-Synthesis Adults'!B36</f>
        <v>Coût Total</v>
      </c>
      <c r="AJ76" s="928">
        <f ca="1">AJ70*AJ72</f>
        <v>3098797.9409999996</v>
      </c>
    </row>
  </sheetData>
  <sheetProtection sheet="1" objects="1" scenarios="1"/>
  <mergeCells count="15">
    <mergeCell ref="C67:J67"/>
    <mergeCell ref="C66:J66"/>
    <mergeCell ref="M34:P34"/>
    <mergeCell ref="X34:AA34"/>
    <mergeCell ref="AB34:AE34"/>
    <mergeCell ref="AF34:AI34"/>
    <mergeCell ref="N4:O4"/>
    <mergeCell ref="D4:E4"/>
    <mergeCell ref="I34:L34"/>
    <mergeCell ref="B2:M2"/>
    <mergeCell ref="B31:M31"/>
    <mergeCell ref="F4:G4"/>
    <mergeCell ref="H4:I4"/>
    <mergeCell ref="J4:K4"/>
    <mergeCell ref="L4:M4"/>
  </mergeCells>
  <phoneticPr fontId="2" type="noConversion"/>
  <pageMargins left="0.25" right="0.25" top="0.75" bottom="0.75" header="0.3" footer="0.3"/>
  <pageSetup paperSize="9" scale="53" orientation="landscape"/>
  <colBreaks count="1" manualBreakCount="1">
    <brk id="16" max="1048575" man="1"/>
  </colBreaks>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
    <tabColor theme="9"/>
  </sheetPr>
  <dimension ref="A2:AK71"/>
  <sheetViews>
    <sheetView showGridLines="0" zoomScale="80" zoomScaleNormal="80" zoomScaleSheetLayoutView="40" zoomScalePageLayoutView="70" workbookViewId="0">
      <selection activeCell="E7" sqref="E7:E16"/>
    </sheetView>
  </sheetViews>
  <sheetFormatPr baseColWidth="10" defaultColWidth="12" defaultRowHeight="12.75" x14ac:dyDescent="0.2"/>
  <cols>
    <col min="1" max="1" width="6.6640625" style="260" customWidth="1"/>
    <col min="2" max="2" width="20.33203125" style="260" bestFit="1" customWidth="1"/>
    <col min="3" max="3" width="17.5" style="260" customWidth="1"/>
    <col min="4" max="4" width="12.1640625" style="260" bestFit="1" customWidth="1"/>
    <col min="5" max="5" width="21.5" style="260" customWidth="1"/>
    <col min="6" max="8" width="12.1640625" style="260" bestFit="1" customWidth="1"/>
    <col min="9" max="9" width="12.6640625" style="260" bestFit="1" customWidth="1"/>
    <col min="10" max="11" width="12.5" style="260" bestFit="1" customWidth="1"/>
    <col min="12" max="12" width="17.6640625" style="260" bestFit="1" customWidth="1"/>
    <col min="13" max="13" width="17" style="260" customWidth="1"/>
    <col min="14" max="15" width="12.5" style="260" bestFit="1" customWidth="1"/>
    <col min="16" max="16" width="14.1640625" style="260" bestFit="1" customWidth="1"/>
    <col min="17" max="17" width="20.1640625" style="260" bestFit="1" customWidth="1"/>
    <col min="18" max="18" width="16.33203125" style="260" customWidth="1"/>
    <col min="19" max="22" width="12.5" style="260" customWidth="1"/>
    <col min="23" max="25" width="10.83203125" style="260" customWidth="1"/>
    <col min="26" max="27" width="12.5" style="260" bestFit="1" customWidth="1"/>
    <col min="28" max="28" width="14.33203125" style="260" customWidth="1"/>
    <col min="29" max="29" width="14.1640625" style="260" bestFit="1" customWidth="1"/>
    <col min="30" max="30" width="12.33203125" style="260" bestFit="1" customWidth="1"/>
    <col min="31" max="31" width="12.83203125" style="260" bestFit="1" customWidth="1"/>
    <col min="32" max="32" width="14" style="260" bestFit="1" customWidth="1"/>
    <col min="33" max="33" width="18.33203125" style="260" bestFit="1" customWidth="1"/>
    <col min="34" max="34" width="12.33203125" style="260" bestFit="1" customWidth="1"/>
    <col min="35" max="35" width="12.83203125" style="260" bestFit="1" customWidth="1"/>
    <col min="36" max="36" width="19.83203125" style="260" bestFit="1" customWidth="1"/>
    <col min="37" max="37" width="21" style="260" bestFit="1" customWidth="1"/>
    <col min="38" max="38" width="15.6640625" style="260" bestFit="1" customWidth="1"/>
    <col min="39" max="16384" width="12" style="260"/>
  </cols>
  <sheetData>
    <row r="2" spans="1:26" s="353" customFormat="1" ht="18" thickBot="1" x14ac:dyDescent="0.3">
      <c r="A2" s="261"/>
      <c r="B2" s="2221" t="str">
        <f>'TRAD-Synthesis Children'!B2</f>
        <v>Résultats N ° 3: Estimations du nombre d'enfants par  schéma thérapeutique sur la période de quantification</v>
      </c>
      <c r="C2" s="2221"/>
      <c r="D2" s="2221"/>
      <c r="E2" s="2221"/>
      <c r="F2" s="2221"/>
      <c r="G2" s="2221"/>
      <c r="H2" s="2221"/>
      <c r="I2" s="2221"/>
      <c r="J2" s="2221"/>
      <c r="K2" s="2221"/>
      <c r="L2" s="2221"/>
      <c r="M2" s="2221"/>
      <c r="N2" s="2221"/>
      <c r="O2" s="2221"/>
      <c r="P2" s="2221"/>
      <c r="Q2" s="2221"/>
      <c r="R2" s="2221"/>
      <c r="S2" s="2221"/>
      <c r="T2" s="2221"/>
      <c r="U2" s="2221"/>
      <c r="V2" s="2221"/>
      <c r="W2" s="2221"/>
      <c r="X2" s="2221"/>
      <c r="Y2" s="2221"/>
      <c r="Z2" s="2221"/>
    </row>
    <row r="3" spans="1:26" ht="13.5" thickBot="1" x14ac:dyDescent="0.25"/>
    <row r="4" spans="1:26" s="2069" customFormat="1" ht="27" customHeight="1" x14ac:dyDescent="0.2">
      <c r="B4" s="2070"/>
      <c r="C4" s="2071"/>
      <c r="D4" s="2217" t="str">
        <f>'TRAD-Synthesis Children'!B3</f>
        <v>Au début de la 1ère année</v>
      </c>
      <c r="E4" s="2218"/>
      <c r="F4" s="2217" t="str">
        <f>'TRAD-Synthesis Children'!B4</f>
        <v>Fin de la 1ère année / Début de la  2ème année</v>
      </c>
      <c r="G4" s="2218"/>
      <c r="H4" s="2217" t="str">
        <f>'TRAD-Synthesis Children'!B5</f>
        <v>Fin de la  2ème année / Début de la 3ème année</v>
      </c>
      <c r="I4" s="2218"/>
      <c r="J4" s="2217" t="str">
        <f>'TRAD-Synthesis Children'!B6</f>
        <v>Fin de la 3ème année / Début de la 4ème année</v>
      </c>
      <c r="K4" s="2218"/>
      <c r="L4" s="2217" t="str">
        <f>'TRAD-Synthesis Children'!B7</f>
        <v>Fin de la  4ème année / Début de la 5ème année</v>
      </c>
      <c r="M4" s="2218"/>
      <c r="N4" s="2217" t="str">
        <f>'TRAD-Synthesis Children'!B8</f>
        <v>Fin de la 5ème année</v>
      </c>
      <c r="O4" s="2218"/>
    </row>
    <row r="5" spans="1:26" x14ac:dyDescent="0.2">
      <c r="B5" s="284"/>
      <c r="C5" s="285"/>
      <c r="D5" s="355"/>
      <c r="E5" s="356"/>
      <c r="F5" s="355"/>
      <c r="G5" s="356"/>
      <c r="H5" s="355"/>
      <c r="I5" s="356"/>
      <c r="J5" s="355"/>
      <c r="K5" s="356"/>
      <c r="L5" s="355"/>
      <c r="M5" s="356"/>
      <c r="N5" s="355"/>
      <c r="O5" s="356"/>
    </row>
    <row r="6" spans="1:26" ht="26.25" thickBot="1" x14ac:dyDescent="0.25">
      <c r="B6" s="284"/>
      <c r="C6" s="357" t="str">
        <f>'Adults YEAR1'!C139</f>
        <v>Schémas</v>
      </c>
      <c r="D6" s="264" t="str">
        <f>'TRAD-Synthesis Children'!B9</f>
        <v>Nbre de patients</v>
      </c>
      <c r="E6" s="265" t="str">
        <f>'Adults YEAR1'!E139</f>
        <v>Proportion</v>
      </c>
      <c r="F6" s="264" t="str">
        <f>'TRAD-Synthesis Children'!B9</f>
        <v>Nbre de patients</v>
      </c>
      <c r="G6" s="265" t="s">
        <v>51</v>
      </c>
      <c r="H6" s="264" t="str">
        <f>'TRAD-Synthesis Children'!B9</f>
        <v>Nbre de patients</v>
      </c>
      <c r="I6" s="265" t="s">
        <v>51</v>
      </c>
      <c r="J6" s="264" t="str">
        <f>'TRAD-Synthesis Children'!B9</f>
        <v>Nbre de patients</v>
      </c>
      <c r="K6" s="265" t="s">
        <v>51</v>
      </c>
      <c r="L6" s="264" t="str">
        <f>'TRAD-Synthesis Children'!B9</f>
        <v>Nbre de patients</v>
      </c>
      <c r="M6" s="265" t="s">
        <v>51</v>
      </c>
      <c r="N6" s="264" t="str">
        <f>'TRAD-Synthesis Children'!B9</f>
        <v>Nbre de patients</v>
      </c>
      <c r="O6" s="265" t="s">
        <v>51</v>
      </c>
    </row>
    <row r="7" spans="1:26" x14ac:dyDescent="0.2">
      <c r="B7" s="266" t="str">
        <f>'Data &amp; hypothesis Children'!B26</f>
        <v>1ères lignes</v>
      </c>
      <c r="C7" s="358" t="str">
        <f t="array" ref="C7:C16">'Data &amp; hypothesis Children'!$C$26:$C$35</f>
        <v>D4T+3TC+NVP</v>
      </c>
      <c r="D7" s="359">
        <f>IF('General Data'!$E$11&gt;=1, 'Children YEAR1'!C10, "")</f>
        <v>0</v>
      </c>
      <c r="E7" s="269">
        <f>IF('General Data'!$E$11&gt;=1, 'Children YEAR1'!D10, "")</f>
        <v>0</v>
      </c>
      <c r="F7" s="359">
        <f>IF('General Data'!$E$11&gt;=1, 'Children YEAR2'!C10, "")</f>
        <v>0</v>
      </c>
      <c r="G7" s="269">
        <f>IF('General Data'!$E$11&gt;=1, 'Children YEAR2'!D10, "")</f>
        <v>0</v>
      </c>
      <c r="H7" s="359" t="str">
        <f>IF('General Data'!$E$11&gt;=2, 'Children YEAR3'!C10, "")</f>
        <v/>
      </c>
      <c r="I7" s="269" t="str">
        <f>IF('General Data'!$E$11&gt;=2, 'Children YEAR3'!D10, "")</f>
        <v/>
      </c>
      <c r="J7" s="359" t="str">
        <f>IF('General Data'!$E$11&gt;=3, 'Children YEAR4'!C10, "")</f>
        <v/>
      </c>
      <c r="K7" s="269" t="str">
        <f>IF('General Data'!$E$11&gt;=3, 'Children YEAR4'!D10, "")</f>
        <v/>
      </c>
      <c r="L7" s="359" t="str">
        <f>IF('General Data'!$E$11&gt;=4, 'Children YEAR5'!C10, "")</f>
        <v/>
      </c>
      <c r="M7" s="269" t="str">
        <f>IF('General Data'!$E$11&gt;=4, 'Children YEAR5'!D10, "")</f>
        <v/>
      </c>
      <c r="N7" s="359" t="str">
        <f>IF('General Data'!$E$11&gt;=5, 'Children YEAR5'!H473, "")</f>
        <v/>
      </c>
      <c r="O7" s="269" t="str">
        <f>IF('General Data'!$E$11&gt;=5, 'Children YEAR5'!I473, "")</f>
        <v/>
      </c>
    </row>
    <row r="8" spans="1:26" x14ac:dyDescent="0.2">
      <c r="B8" s="270"/>
      <c r="C8" s="360" t="str">
        <v>AZT+3TC+NVP</v>
      </c>
      <c r="D8" s="361">
        <f>IF('General Data'!$E$11&gt;=1, 'Children YEAR1'!C11, "")</f>
        <v>515.22</v>
      </c>
      <c r="E8" s="273">
        <f>IF('General Data'!$E$11&gt;=1, 'Children YEAR1'!D11, "")</f>
        <v>0.93</v>
      </c>
      <c r="F8" s="361">
        <f>IF('General Data'!$E$11&gt;=1, 'Children YEAR2'!C11, "")</f>
        <v>500.75812500000001</v>
      </c>
      <c r="G8" s="273">
        <f>IF('General Data'!$E$11&gt;=1, 'Children YEAR2'!D11, "")</f>
        <v>0.62128799627791564</v>
      </c>
      <c r="H8" s="361" t="str">
        <f>IF('General Data'!$E$11&gt;=2, 'Children YEAR3'!C11, "")</f>
        <v/>
      </c>
      <c r="I8" s="273" t="str">
        <f>IF('General Data'!$E$11&gt;=2, 'Children YEAR3'!D11, "")</f>
        <v/>
      </c>
      <c r="J8" s="361" t="str">
        <f>IF('General Data'!$E$11&gt;=3, 'Children YEAR4'!C11, "")</f>
        <v/>
      </c>
      <c r="K8" s="273" t="str">
        <f>IF('General Data'!$E$11&gt;=3, 'Children YEAR4'!D11, "")</f>
        <v/>
      </c>
      <c r="L8" s="361" t="str">
        <f>IF('General Data'!$E$11&gt;=4, 'Children YEAR5'!C11, "")</f>
        <v/>
      </c>
      <c r="M8" s="273" t="str">
        <f>IF('General Data'!$E$11&gt;=4, 'Children YEAR5'!D11, "")</f>
        <v/>
      </c>
      <c r="N8" s="361" t="str">
        <f>IF('General Data'!$E$11&gt;=5, 'Children YEAR5'!H474, "")</f>
        <v/>
      </c>
      <c r="O8" s="273" t="str">
        <f>IF('General Data'!$E$11&gt;=5, 'Children YEAR5'!I474, "")</f>
        <v/>
      </c>
    </row>
    <row r="9" spans="1:26" x14ac:dyDescent="0.2">
      <c r="B9" s="270"/>
      <c r="C9" s="360" t="str">
        <v>AZT+3TC+EFV</v>
      </c>
      <c r="D9" s="361">
        <f>IF('General Data'!$E$11&gt;=1, 'Children YEAR1'!C12, "")</f>
        <v>12.187999999999999</v>
      </c>
      <c r="E9" s="273">
        <f>IF('General Data'!$E$11&gt;=1, 'Children YEAR1'!D12, "")</f>
        <v>2.1999999999999999E-2</v>
      </c>
      <c r="F9" s="361">
        <f>IF('General Data'!$E$11&gt;=1, 'Children YEAR2'!C12, "")</f>
        <v>11.845891129032257</v>
      </c>
      <c r="G9" s="273">
        <f>IF('General Data'!$E$11&gt;=1, 'Children YEAR2'!D12, "")</f>
        <v>1.4697135395821658E-2</v>
      </c>
      <c r="H9" s="361" t="str">
        <f>IF('General Data'!$E$11&gt;=2, 'Children YEAR3'!C12, "")</f>
        <v/>
      </c>
      <c r="I9" s="273" t="str">
        <f>IF('General Data'!$E$11&gt;=2, 'Children YEAR3'!D12, "")</f>
        <v/>
      </c>
      <c r="J9" s="361" t="str">
        <f>IF('General Data'!$E$11&gt;=3, 'Children YEAR4'!C12, "")</f>
        <v/>
      </c>
      <c r="K9" s="273" t="str">
        <f>IF('General Data'!$E$11&gt;=3, 'Children YEAR4'!D12, "")</f>
        <v/>
      </c>
      <c r="L9" s="361" t="str">
        <f>IF('General Data'!$E$11&gt;=4, 'Children YEAR5'!C12, "")</f>
        <v/>
      </c>
      <c r="M9" s="273" t="str">
        <f>IF('General Data'!$E$11&gt;=4, 'Children YEAR5'!D12, "")</f>
        <v/>
      </c>
      <c r="N9" s="361" t="str">
        <f>IF('General Data'!$E$11&gt;=5, 'Children YEAR5'!H475, "")</f>
        <v/>
      </c>
      <c r="O9" s="273" t="str">
        <f>IF('General Data'!$E$11&gt;=5, 'Children YEAR5'!I475, "")</f>
        <v/>
      </c>
    </row>
    <row r="10" spans="1:26" x14ac:dyDescent="0.2">
      <c r="B10" s="270"/>
      <c r="C10" s="360" t="str">
        <v>LPV/r+3TC+ABC</v>
      </c>
      <c r="D10" s="361">
        <f>IF('General Data'!$E$11&gt;=1, 'Children YEAR1'!C13, "")</f>
        <v>0</v>
      </c>
      <c r="E10" s="273">
        <f>IF('General Data'!$E$11&gt;=1, 'Children YEAR1'!D13, "")</f>
        <v>0</v>
      </c>
      <c r="F10" s="361">
        <f>IF('General Data'!$E$11&gt;=1, 'Children YEAR2'!C13, "")</f>
        <v>17.64</v>
      </c>
      <c r="G10" s="273">
        <f>IF('General Data'!$E$11&gt;=1, 'Children YEAR2'!D13, "")</f>
        <v>2.1885856079404468E-2</v>
      </c>
      <c r="H10" s="361" t="str">
        <f>IF('General Data'!$E$11&gt;=2, 'Children YEAR3'!C13, "")</f>
        <v/>
      </c>
      <c r="I10" s="273" t="str">
        <f>IF('General Data'!$E$11&gt;=2, 'Children YEAR3'!D13, "")</f>
        <v/>
      </c>
      <c r="J10" s="361" t="str">
        <f>IF('General Data'!$E$11&gt;=3, 'Children YEAR4'!C13, "")</f>
        <v/>
      </c>
      <c r="K10" s="273" t="str">
        <f>IF('General Data'!$E$11&gt;=3, 'Children YEAR4'!D13, "")</f>
        <v/>
      </c>
      <c r="L10" s="361" t="str">
        <f>IF('General Data'!$E$11&gt;=4, 'Children YEAR5'!C13, "")</f>
        <v/>
      </c>
      <c r="M10" s="273" t="str">
        <f>IF('General Data'!$E$11&gt;=4, 'Children YEAR5'!D13, "")</f>
        <v/>
      </c>
      <c r="N10" s="361" t="str">
        <f>IF('General Data'!$E$11&gt;=5, 'Children YEAR5'!H476, "")</f>
        <v/>
      </c>
      <c r="O10" s="273" t="str">
        <f>IF('General Data'!$E$11&gt;=5, 'Children YEAR5'!I476, "")</f>
        <v/>
      </c>
    </row>
    <row r="11" spans="1:26" x14ac:dyDescent="0.2">
      <c r="B11" s="270"/>
      <c r="C11" s="360" t="str">
        <v>ABC+3TC+NVP</v>
      </c>
      <c r="D11" s="361">
        <f>IF('General Data'!$E$11&gt;=1, 'Children YEAR1'!C14, "")</f>
        <v>4.4320000000000004</v>
      </c>
      <c r="E11" s="273">
        <f>IF('General Data'!$E$11&gt;=1, 'Children YEAR1'!D14, "")</f>
        <v>8.0000000000000002E-3</v>
      </c>
      <c r="F11" s="361">
        <f>IF('General Data'!$E$11&gt;=1, 'Children YEAR2'!C14, "")</f>
        <v>4.3075967741935486</v>
      </c>
      <c r="G11" s="273">
        <f>IF('General Data'!$E$11&gt;=1, 'Children YEAR2'!D14, "")</f>
        <v>5.3444128712078764E-3</v>
      </c>
      <c r="H11" s="361" t="str">
        <f>IF('General Data'!$E$11&gt;=2, 'Children YEAR3'!C14, "")</f>
        <v/>
      </c>
      <c r="I11" s="273" t="str">
        <f>IF('General Data'!$E$11&gt;=2, 'Children YEAR3'!D14, "")</f>
        <v/>
      </c>
      <c r="J11" s="361" t="str">
        <f>IF('General Data'!$E$11&gt;=3, 'Children YEAR4'!C14, "")</f>
        <v/>
      </c>
      <c r="K11" s="273" t="str">
        <f>IF('General Data'!$E$11&gt;=3, 'Children YEAR4'!D14, "")</f>
        <v/>
      </c>
      <c r="L11" s="361" t="str">
        <f>IF('General Data'!$E$11&gt;=4, 'Children YEAR5'!C14, "")</f>
        <v/>
      </c>
      <c r="M11" s="273" t="str">
        <f>IF('General Data'!$E$11&gt;=4, 'Children YEAR5'!D14, "")</f>
        <v/>
      </c>
      <c r="N11" s="361" t="str">
        <f>IF('General Data'!$E$11&gt;=5, 'Children YEAR5'!H477, "")</f>
        <v/>
      </c>
      <c r="O11" s="273" t="str">
        <f>IF('General Data'!$E$11&gt;=5, 'Children YEAR5'!I477, "")</f>
        <v/>
      </c>
    </row>
    <row r="12" spans="1:26" x14ac:dyDescent="0.2">
      <c r="B12" s="270"/>
      <c r="C12" s="360" t="str">
        <v>AZT+3TC+LPV/r</v>
      </c>
      <c r="D12" s="361">
        <f>IF('General Data'!$E$11&gt;=1, 'Children YEAR1'!C15, "")</f>
        <v>17.728000000000002</v>
      </c>
      <c r="E12" s="273">
        <f>IF('General Data'!$E$11&gt;=1, 'Children YEAR1'!D15, "")</f>
        <v>3.2000000000000001E-2</v>
      </c>
      <c r="F12" s="361">
        <f>IF('General Data'!$E$11&gt;=1, 'Children YEAR2'!C15, "")</f>
        <v>251.59038709677421</v>
      </c>
      <c r="G12" s="273">
        <f>IF('General Data'!$E$11&gt;=1, 'Children YEAR2'!D15, "")</f>
        <v>0.31214688225406229</v>
      </c>
      <c r="H12" s="361" t="str">
        <f>IF('General Data'!$E$11&gt;=2, 'Children YEAR3'!C15, "")</f>
        <v/>
      </c>
      <c r="I12" s="273" t="str">
        <f>IF('General Data'!$E$11&gt;=2, 'Children YEAR3'!D15, "")</f>
        <v/>
      </c>
      <c r="J12" s="361" t="str">
        <f>IF('General Data'!$E$11&gt;=3, 'Children YEAR4'!C15, "")</f>
        <v/>
      </c>
      <c r="K12" s="273" t="str">
        <f>IF('General Data'!$E$11&gt;=3, 'Children YEAR4'!D15, "")</f>
        <v/>
      </c>
      <c r="L12" s="361" t="str">
        <f>IF('General Data'!$E$11&gt;=4, 'Children YEAR5'!C15, "")</f>
        <v/>
      </c>
      <c r="M12" s="273" t="str">
        <f>IF('General Data'!$E$11&gt;=4, 'Children YEAR5'!D15, "")</f>
        <v/>
      </c>
      <c r="N12" s="361" t="str">
        <f>IF('General Data'!$E$11&gt;=5, 'Children YEAR5'!H478, "")</f>
        <v/>
      </c>
      <c r="O12" s="273" t="str">
        <f>IF('General Data'!$E$11&gt;=5, 'Children YEAR5'!I478, "")</f>
        <v/>
      </c>
    </row>
    <row r="13" spans="1:26" x14ac:dyDescent="0.2">
      <c r="B13" s="275" t="str">
        <f>'Data &amp; hypothesis Children'!B32</f>
        <v>2èmes lignes</v>
      </c>
      <c r="C13" s="363" t="str">
        <v>ABC+3TC+EFV</v>
      </c>
      <c r="D13" s="364">
        <f>IF('General Data'!$E$11&gt;=1, 'Children YEAR1'!C16, "")</f>
        <v>4.4320000000000004</v>
      </c>
      <c r="E13" s="278">
        <f>IF('General Data'!$E$11&gt;=1, 'Children YEAR1'!D16, "")</f>
        <v>8.0000000000000002E-3</v>
      </c>
      <c r="F13" s="364">
        <f>IF('General Data'!$E$11&gt;=1, 'Children YEAR2'!C16, "")</f>
        <v>16.772799999999997</v>
      </c>
      <c r="G13" s="278">
        <f>IF('General Data'!$E$11&gt;=1, 'Children YEAR2'!D16, "")</f>
        <v>2.080992555831265E-2</v>
      </c>
      <c r="H13" s="364" t="str">
        <f>IF('General Data'!$E$11&gt;=2, 'Children YEAR3'!C16, "")</f>
        <v/>
      </c>
      <c r="I13" s="278" t="str">
        <f>IF('General Data'!$E$11&gt;=2, 'Children YEAR3'!D16, "")</f>
        <v/>
      </c>
      <c r="J13" s="364" t="str">
        <f>IF('General Data'!$E$11&gt;=3, 'Children YEAR4'!C16, "")</f>
        <v/>
      </c>
      <c r="K13" s="278" t="str">
        <f>IF('General Data'!$E$11&gt;=3, 'Children YEAR4'!D16, "")</f>
        <v/>
      </c>
      <c r="L13" s="364" t="str">
        <f>IF('General Data'!$E$11&gt;=4, 'Children YEAR5'!C16, "")</f>
        <v/>
      </c>
      <c r="M13" s="278" t="str">
        <f>IF('General Data'!$E$11&gt;=4, 'Children YEAR5'!D16, "")</f>
        <v/>
      </c>
      <c r="N13" s="364" t="str">
        <f>IF('General Data'!$E$11&gt;=5, 'Children YEAR5'!H479, "")</f>
        <v/>
      </c>
      <c r="O13" s="278" t="str">
        <f>IF('General Data'!$E$11&gt;=5, 'Children YEAR5'!I479, "")</f>
        <v/>
      </c>
    </row>
    <row r="14" spans="1:26" x14ac:dyDescent="0.2">
      <c r="B14" s="270"/>
      <c r="C14" s="360" t="str">
        <v>TDF+3TC+LPV/r</v>
      </c>
      <c r="D14" s="361">
        <f>IF('General Data'!$E$11&gt;=1, 'Children YEAR1'!C17, "")</f>
        <v>0</v>
      </c>
      <c r="E14" s="273">
        <f>IF('General Data'!$E$11&gt;=1, 'Children YEAR1'!D17, "")</f>
        <v>0</v>
      </c>
      <c r="F14" s="361">
        <f>IF('General Data'!$E$11&gt;=1, 'Children YEAR2'!C17, "")</f>
        <v>2.4681599999999997</v>
      </c>
      <c r="G14" s="273">
        <f>IF('General Data'!$E$11&gt;=1, 'Children YEAR2'!D17, "")</f>
        <v>3.0622332506203471E-3</v>
      </c>
      <c r="H14" s="361" t="str">
        <f>IF('General Data'!$E$11&gt;=2, 'Children YEAR3'!C17, "")</f>
        <v/>
      </c>
      <c r="I14" s="273" t="str">
        <f>IF('General Data'!$E$11&gt;=2, 'Children YEAR3'!D17, "")</f>
        <v/>
      </c>
      <c r="J14" s="361" t="str">
        <f>IF('General Data'!$E$11&gt;=3, 'Children YEAR4'!C17, "")</f>
        <v/>
      </c>
      <c r="K14" s="273" t="str">
        <f>IF('General Data'!$E$11&gt;=3, 'Children YEAR4'!D17, "")</f>
        <v/>
      </c>
      <c r="L14" s="361" t="str">
        <f>IF('General Data'!$E$11&gt;=4, 'Children YEAR5'!C17, "")</f>
        <v/>
      </c>
      <c r="M14" s="273" t="str">
        <f>IF('General Data'!$E$11&gt;=4, 'Children YEAR5'!D17, "")</f>
        <v/>
      </c>
      <c r="N14" s="361" t="str">
        <f>IF('General Data'!$E$11&gt;=5, 'Children YEAR5'!H480, "")</f>
        <v/>
      </c>
      <c r="O14" s="273" t="str">
        <f>IF('General Data'!$E$11&gt;=5, 'Children YEAR5'!I480, "")</f>
        <v/>
      </c>
    </row>
    <row r="15" spans="1:26" x14ac:dyDescent="0.2">
      <c r="B15" s="270"/>
      <c r="C15" s="360" t="str">
        <v>AZT+3TC+EFV</v>
      </c>
      <c r="D15" s="361">
        <f>IF('General Data'!$E$11&gt;=1, 'Children YEAR1'!C18, "")</f>
        <v>0</v>
      </c>
      <c r="E15" s="273">
        <f>IF('General Data'!$E$11&gt;=1, 'Children YEAR1'!D18, "")</f>
        <v>0</v>
      </c>
      <c r="F15" s="361">
        <f>IF('General Data'!$E$11&gt;=1, 'Children YEAR2'!C18, "")</f>
        <v>0.61703999999999992</v>
      </c>
      <c r="G15" s="273">
        <f>IF('General Data'!$E$11&gt;=1, 'Children YEAR2'!D18, "")</f>
        <v>7.6555831265508678E-4</v>
      </c>
      <c r="H15" s="361" t="str">
        <f>IF('General Data'!$E$11&gt;=2, 'Children YEAR3'!C18, "")</f>
        <v/>
      </c>
      <c r="I15" s="273" t="str">
        <f>IF('General Data'!$E$11&gt;=2, 'Children YEAR3'!D18, "")</f>
        <v/>
      </c>
      <c r="J15" s="361" t="str">
        <f>IF('General Data'!$E$11&gt;=3, 'Children YEAR4'!C18, "")</f>
        <v/>
      </c>
      <c r="K15" s="273" t="str">
        <f>IF('General Data'!$E$11&gt;=3, 'Children YEAR4'!D18, "")</f>
        <v/>
      </c>
      <c r="L15" s="361" t="str">
        <f>IF('General Data'!$E$11&gt;=4, 'Children YEAR5'!C18, "")</f>
        <v/>
      </c>
      <c r="M15" s="273" t="str">
        <f>IF('General Data'!$E$11&gt;=4, 'Children YEAR5'!D18, "")</f>
        <v/>
      </c>
      <c r="N15" s="361" t="str">
        <f>IF('General Data'!$E$11&gt;=5, 'Children YEAR5'!H481, "")</f>
        <v/>
      </c>
      <c r="O15" s="273" t="str">
        <f>IF('General Data'!$E$11&gt;=5, 'Children YEAR5'!I481, "")</f>
        <v/>
      </c>
    </row>
    <row r="16" spans="1:26" ht="13.5" thickBot="1" x14ac:dyDescent="0.25">
      <c r="B16" s="1259"/>
      <c r="C16" s="1260">
        <v>0</v>
      </c>
      <c r="D16" s="2067">
        <f>IF('General Data'!$E$11&gt;=1, 'Children YEAR1'!C19, "")</f>
        <v>0</v>
      </c>
      <c r="E16" s="2068">
        <f>IF('General Data'!$E$11&gt;=1, 'Children YEAR1'!D19, "")</f>
        <v>0</v>
      </c>
      <c r="F16" s="2067">
        <f>IF('General Data'!$E$11&gt;=1, 'Children YEAR2'!C19, "")</f>
        <v>0</v>
      </c>
      <c r="G16" s="2068">
        <f>IF('General Data'!$E$11&gt;=1, 'Children YEAR2'!D19, "")</f>
        <v>0</v>
      </c>
      <c r="H16" s="2067" t="str">
        <f>IF('General Data'!$E$11&gt;=2, 'Children YEAR3'!C19, "")</f>
        <v/>
      </c>
      <c r="I16" s="2068" t="str">
        <f>IF('General Data'!$E$11&gt;=2, 'Children YEAR3'!D19, "")</f>
        <v/>
      </c>
      <c r="J16" s="2067" t="str">
        <f>IF('General Data'!$E$11&gt;=3, 'Children YEAR4'!C19, "")</f>
        <v/>
      </c>
      <c r="K16" s="2068" t="str">
        <f>IF('General Data'!$E$11&gt;=3, 'Children YEAR4'!D19, "")</f>
        <v/>
      </c>
      <c r="L16" s="2067" t="str">
        <f>IF('General Data'!$E$11&gt;=4, 'Children YEAR5'!C19, "")</f>
        <v/>
      </c>
      <c r="M16" s="2068" t="str">
        <f>IF('General Data'!$E$11&gt;=4, 'Children YEAR5'!D19, "")</f>
        <v/>
      </c>
      <c r="N16" s="2067" t="str">
        <f>IF('General Data'!$E$11&gt;=5, 'Children YEAR5'!H482, "")</f>
        <v/>
      </c>
      <c r="O16" s="2068" t="str">
        <f>IF('General Data'!$E$11&gt;=5, 'Children YEAR5'!I482, "")</f>
        <v/>
      </c>
    </row>
    <row r="17" spans="1:36" ht="14.25" thickTop="1" thickBot="1" x14ac:dyDescent="0.25">
      <c r="B17" s="286"/>
      <c r="C17" s="287" t="str">
        <f>'Adults YEAR1'!C159</f>
        <v>TOTAL</v>
      </c>
      <c r="D17" s="365">
        <f>SUM(D7:D16)</f>
        <v>554</v>
      </c>
      <c r="E17" s="366"/>
      <c r="F17" s="365">
        <f>SUM(F7:F16)</f>
        <v>806</v>
      </c>
      <c r="G17" s="366"/>
      <c r="H17" s="365">
        <f>SUM(H7:H16)</f>
        <v>0</v>
      </c>
      <c r="I17" s="366"/>
      <c r="J17" s="365">
        <f>SUM(J7:J16)</f>
        <v>0</v>
      </c>
      <c r="K17" s="366"/>
      <c r="L17" s="365">
        <f>SUM(L7:L16)</f>
        <v>0</v>
      </c>
      <c r="M17" s="366"/>
      <c r="N17" s="365">
        <f>SUM(N7:N16)</f>
        <v>0</v>
      </c>
      <c r="O17" s="287"/>
    </row>
    <row r="20" spans="1:36" s="367" customFormat="1" ht="18" thickBot="1" x14ac:dyDescent="0.35">
      <c r="A20" s="261"/>
      <c r="B20" s="2222" t="str">
        <f>'TRAD-Synthesis Children'!B10</f>
        <v>Résultats N ° 4: LES BESOINS EN ARV POUR ENFANTS (sans stocks disponibles au début de la période)</v>
      </c>
      <c r="C20" s="2222"/>
      <c r="D20" s="2222"/>
      <c r="E20" s="2222"/>
      <c r="F20" s="2222"/>
      <c r="G20" s="2222"/>
      <c r="H20" s="2222"/>
      <c r="I20" s="2222"/>
      <c r="J20" s="2222"/>
      <c r="K20" s="2222"/>
      <c r="L20" s="2222"/>
      <c r="M20" s="2222"/>
      <c r="N20" s="2222"/>
      <c r="O20" s="2222"/>
      <c r="P20" s="2222"/>
      <c r="Q20" s="2222"/>
      <c r="R20" s="2222"/>
      <c r="S20" s="2222"/>
      <c r="T20" s="2222"/>
      <c r="U20" s="2222"/>
      <c r="V20" s="2222"/>
      <c r="W20" s="2222"/>
      <c r="X20" s="2222"/>
      <c r="Y20" s="2222"/>
      <c r="Z20" s="2222"/>
    </row>
    <row r="21" spans="1:36" x14ac:dyDescent="0.2">
      <c r="F21" s="958"/>
    </row>
    <row r="22" spans="1:36" ht="13.5" thickBot="1" x14ac:dyDescent="0.25"/>
    <row r="23" spans="1:36" ht="13.5" thickBot="1" x14ac:dyDescent="0.25">
      <c r="I23" s="2214" t="str">
        <f>CONCATENATE("AN 1 - ", 'General Data'!G23, "  ", 'General Data'!H23)</f>
        <v>AN 1 - 12  mois</v>
      </c>
      <c r="J23" s="2215"/>
      <c r="K23" s="2215"/>
      <c r="L23" s="2216"/>
      <c r="M23" s="2214" t="str">
        <f>CONCATENATE("AN 2 - ",'General Data'!G24,"  ",'General Data'!H24)</f>
        <v>AN 2 - NA  mois</v>
      </c>
      <c r="N23" s="2215"/>
      <c r="O23" s="2215"/>
      <c r="P23" s="2216"/>
      <c r="Q23" s="1159"/>
      <c r="R23" s="1159"/>
      <c r="S23" s="1159"/>
      <c r="T23" s="1159"/>
      <c r="U23" s="1159"/>
      <c r="V23" s="1159"/>
      <c r="W23" s="1159"/>
      <c r="X23" s="2214" t="str">
        <f>CONCATENATE("AN 3 - ", 'General Data'!G25, "  ", 'General Data'!H25)</f>
        <v>AN 3 - NA  mois</v>
      </c>
      <c r="Y23" s="2215"/>
      <c r="Z23" s="2215"/>
      <c r="AA23" s="2216"/>
      <c r="AB23" s="2214" t="str">
        <f>CONCATENATE("AN 4 - ", 'General Data'!G26, "  ", 'General Data'!H26)</f>
        <v>AN 4 - NA  mois</v>
      </c>
      <c r="AC23" s="2215"/>
      <c r="AD23" s="2215"/>
      <c r="AE23" s="2216"/>
      <c r="AF23" s="2214" t="str">
        <f>CONCATENATE("AN 5 - ", 'General Data'!G27, "  ", 'General Data'!H27)</f>
        <v>AN 5 - NA  mois</v>
      </c>
      <c r="AG23" s="2215"/>
      <c r="AH23" s="2215"/>
      <c r="AI23" s="2216"/>
    </row>
    <row r="24" spans="1:36" ht="64.5" thickBot="1" x14ac:dyDescent="0.25">
      <c r="B24" s="368" t="str">
        <f>'TRAD-Synthesis Children'!B11</f>
        <v>Produit</v>
      </c>
      <c r="C24" s="369" t="str">
        <f>'TRAD-Synthesis Children'!B12</f>
        <v>Forme galénique</v>
      </c>
      <c r="D24" s="369" t="str">
        <f>'TRAD-Synthesis Children'!B14</f>
        <v>Dosage</v>
      </c>
      <c r="E24" s="369" t="str">
        <f>'TRAD-Synthesis Children'!B13</f>
        <v>DCI</v>
      </c>
      <c r="F24" s="369" t="str">
        <f>'TRAD-Synthesis Children'!B15</f>
        <v>unité de mesure (ml) [1]</v>
      </c>
      <c r="G24" s="370" t="str">
        <f>'TRAD-Synthesis Children'!B16</f>
        <v>unité de mesure (bouteille) [1]</v>
      </c>
      <c r="H24" s="370" t="str">
        <f>'TRAD-Synthesis Children'!B17</f>
        <v>Unité  de prix par bouteille unitaire (US$)  [2]</v>
      </c>
      <c r="I24" s="298" t="str">
        <f>'TRAD-Synthesis Children'!B18</f>
        <v>TOTAL (nbre de paquets)</v>
      </c>
      <c r="J24" s="299" t="str">
        <f>'TRAD-Synthesis Children'!B19</f>
        <v>Tampon (nbre de paquets)</v>
      </c>
      <c r="K24" s="300" t="str">
        <f>'TRAD-Synthesis Children'!B20</f>
        <v>TOTAL + Tampon (nbre de paquets)</v>
      </c>
      <c r="L24" s="301" t="str">
        <f>'TRAD-Synthesis Children'!B21</f>
        <v>PRIX TOTAL (US$)</v>
      </c>
      <c r="M24" s="405" t="str">
        <f>'TRAD-Synthesis Children'!B18</f>
        <v>TOTAL (nbre de paquets)</v>
      </c>
      <c r="N24" s="296" t="str">
        <f>'TRAD-Synthesis Children'!B22</f>
        <v>Tampon / Année précédente (nbre de paquets)</v>
      </c>
      <c r="O24" s="296" t="str">
        <f>'TRAD-Synthesis Children'!B20</f>
        <v>TOTAL + Tampon (nbre de paquets)</v>
      </c>
      <c r="P24" s="407" t="str">
        <f>'TRAD-Synthesis Children'!B21</f>
        <v>PRIX TOTAL (US$)</v>
      </c>
      <c r="Q24" s="368" t="str">
        <f>'TRAD-Synthesis Children'!B11</f>
        <v>Produit</v>
      </c>
      <c r="R24" s="369" t="str">
        <f>'TRAD-Synthesis Children'!B12</f>
        <v>Forme galénique</v>
      </c>
      <c r="S24" s="369" t="str">
        <f>'TRAD-Synthesis Children'!B14</f>
        <v>Dosage</v>
      </c>
      <c r="T24" s="369" t="str">
        <f>'TRAD-Synthesis Children'!B13</f>
        <v>DCI</v>
      </c>
      <c r="U24" s="369" t="str">
        <f>'TRAD-Synthesis Children'!B15</f>
        <v>unité de mesure (ml) [1]</v>
      </c>
      <c r="V24" s="370" t="str">
        <f>'TRAD-Synthesis Children'!B16</f>
        <v>unité de mesure (bouteille) [1]</v>
      </c>
      <c r="W24" s="370" t="str">
        <f>'TRAD-Synthesis Children'!B17</f>
        <v>Unité  de prix par bouteille unitaire (US$)  [2]</v>
      </c>
      <c r="X24" s="405" t="str">
        <f>'TRAD-Synthesis Children'!B18</f>
        <v>TOTAL (nbre de paquets)</v>
      </c>
      <c r="Y24" s="296" t="str">
        <f>'TRAD-Synthesis Children'!B22</f>
        <v>Tampon / Année précédente (nbre de paquets)</v>
      </c>
      <c r="Z24" s="296" t="str">
        <f>'TRAD-Synthesis Children'!B20</f>
        <v>TOTAL + Tampon (nbre de paquets)</v>
      </c>
      <c r="AA24" s="407" t="str">
        <f>'TRAD-Synthesis Children'!B21</f>
        <v>PRIX TOTAL (US$)</v>
      </c>
      <c r="AB24" s="405" t="str">
        <f>'TRAD-Synthesis Children'!B18</f>
        <v>TOTAL (nbre de paquets)</v>
      </c>
      <c r="AC24" s="296" t="str">
        <f>'TRAD-Synthesis Children'!B22</f>
        <v>Tampon / Année précédente (nbre de paquets)</v>
      </c>
      <c r="AD24" s="296" t="str">
        <f>'TRAD-Synthesis Children'!B20</f>
        <v>TOTAL + Tampon (nbre de paquets)</v>
      </c>
      <c r="AE24" s="407" t="str">
        <f>'TRAD-Synthesis Children'!B21</f>
        <v>PRIX TOTAL (US$)</v>
      </c>
      <c r="AF24" s="405" t="str">
        <f>'TRAD-Synthesis Children'!B18</f>
        <v>TOTAL (nbre de paquets)</v>
      </c>
      <c r="AG24" s="296" t="str">
        <f>'TRAD-Synthesis Children'!B22</f>
        <v>Tampon / Année précédente (nbre de paquets)</v>
      </c>
      <c r="AH24" s="296" t="str">
        <f>'TRAD-Synthesis Children'!B20</f>
        <v>TOTAL + Tampon (nbre de paquets)</v>
      </c>
      <c r="AI24" s="407" t="str">
        <f>'TRAD-Synthesis Children'!B21</f>
        <v>PRIX TOTAL (US$)</v>
      </c>
      <c r="AJ24" s="302" t="str">
        <f>'TRAD-Synthesis Children'!B31</f>
        <v>PRIX TOTAL durant toute la période (US$)</v>
      </c>
    </row>
    <row r="25" spans="1:36" x14ac:dyDescent="0.2">
      <c r="B25" s="371" t="s">
        <v>39</v>
      </c>
      <c r="C25" s="372" t="str">
        <f>'Available Stocks'!F55</f>
        <v>Susp. Buv.</v>
      </c>
      <c r="D25" s="372" t="str">
        <f>'Available Stocks'!G55</f>
        <v>10 mg/mL</v>
      </c>
      <c r="E25" s="373" t="str">
        <f>'Available Stocks'!H55</f>
        <v>Zidovudine</v>
      </c>
      <c r="F25" s="375">
        <f>'Available Stocks'!K55</f>
        <v>240</v>
      </c>
      <c r="G25" s="376">
        <f>'Available Stocks'!L55</f>
        <v>1</v>
      </c>
      <c r="H25" s="377">
        <f t="array" aca="1" ref="H25:H32" ca="1">'Global Synthesis'!H51:H58</f>
        <v>2.1</v>
      </c>
      <c r="I25" s="378">
        <f>IF('General Data'!$E$11&gt;=1, 'Children YEAR1'!J435, 0)</f>
        <v>0</v>
      </c>
      <c r="J25" s="379">
        <f>IF('General Data'!$E$11&gt;=1, 'Children YEAR1'!K435, 0)</f>
        <v>0</v>
      </c>
      <c r="K25" s="379">
        <f>IF('General Data'!$E$11&gt;=1, 'Children YEAR1'!L435, 0)</f>
        <v>0</v>
      </c>
      <c r="L25" s="380">
        <f ca="1">K25*$H25</f>
        <v>0</v>
      </c>
      <c r="M25" s="378">
        <f>IF('General Data'!$E$11&gt;=2, 'Children YEAR2'!J435, 0)</f>
        <v>0</v>
      </c>
      <c r="N25" s="379">
        <f>IF('General Data'!$E$11&gt;=2, 'Children YEAR2'!K435, 0)</f>
        <v>0</v>
      </c>
      <c r="O25" s="379">
        <f>IF('General Data'!$E$11&gt;=2, 'Children YEAR2'!L435, 0)</f>
        <v>0</v>
      </c>
      <c r="P25" s="380">
        <f t="shared" ref="P25:P32" ca="1" si="0">O25*$H25</f>
        <v>0</v>
      </c>
      <c r="Q25" s="371" t="str">
        <f t="shared" ref="Q25:Q32" si="1">B25</f>
        <v>AZT</v>
      </c>
      <c r="R25" s="372" t="str">
        <f t="shared" ref="R25:R32" si="2">C25</f>
        <v>Susp. Buv.</v>
      </c>
      <c r="S25" s="372" t="str">
        <f t="shared" ref="S25:S32" si="3">D25</f>
        <v>10 mg/mL</v>
      </c>
      <c r="T25" s="373" t="str">
        <f t="shared" ref="T25:T32" si="4">E25</f>
        <v>Zidovudine</v>
      </c>
      <c r="U25" s="375">
        <f t="shared" ref="U25:U32" si="5">F25</f>
        <v>240</v>
      </c>
      <c r="V25" s="376">
        <f t="shared" ref="V25:V32" si="6">G25</f>
        <v>1</v>
      </c>
      <c r="W25" s="377">
        <f t="shared" ref="W25:W32" ca="1" si="7">H25</f>
        <v>2.1</v>
      </c>
      <c r="X25" s="378">
        <f>IF('General Data'!$E$11&gt;=3, 'Children YEAR3'!J435, 0)</f>
        <v>0</v>
      </c>
      <c r="Y25" s="379">
        <f>IF('General Data'!$E$11&gt;=3, 'Children YEAR3'!K435, 0)</f>
        <v>0</v>
      </c>
      <c r="Z25" s="379">
        <f>IF('General Data'!$E$11&gt;=3, 'Children YEAR3'!L435, 0)</f>
        <v>0</v>
      </c>
      <c r="AA25" s="380">
        <f t="shared" ref="AA25:AA32" ca="1" si="8">Z25*$H25</f>
        <v>0</v>
      </c>
      <c r="AB25" s="378">
        <f>IF('General Data'!$E$11&gt;=4, 'Children YEAR4'!J435, 0)</f>
        <v>0</v>
      </c>
      <c r="AC25" s="379">
        <f>IF('General Data'!$E$11&gt;=4, 'Children YEAR4'!K435, 0)</f>
        <v>0</v>
      </c>
      <c r="AD25" s="379">
        <f>IF('General Data'!$E$11&gt;=4, 'Children YEAR4'!L435, 0)</f>
        <v>0</v>
      </c>
      <c r="AE25" s="380">
        <f t="shared" ref="AE25:AE32" ca="1" si="9">AD25*$H25</f>
        <v>0</v>
      </c>
      <c r="AF25" s="378">
        <f>IF('General Data'!$E$11&gt;=5, 'Children YEAR5'!J435, 0)</f>
        <v>0</v>
      </c>
      <c r="AG25" s="379">
        <f>IF('General Data'!$E$11&gt;=5, 'Children YEAR5'!K435, 0)</f>
        <v>0</v>
      </c>
      <c r="AH25" s="379">
        <f>IF('General Data'!$E$11&gt;=5, 'Children YEAR5'!L435, 0)</f>
        <v>0</v>
      </c>
      <c r="AI25" s="380">
        <f t="shared" ref="AI25:AI32" ca="1" si="10">AH25*$H25</f>
        <v>0</v>
      </c>
      <c r="AJ25" s="861">
        <f t="shared" ref="AJ25:AJ32" ca="1" si="11">AI25+AE25+AA25+P25+L25</f>
        <v>0</v>
      </c>
    </row>
    <row r="26" spans="1:36" x14ac:dyDescent="0.2">
      <c r="B26" s="381" t="s">
        <v>61</v>
      </c>
      <c r="C26" s="128" t="str">
        <f>'Available Stocks'!F56</f>
        <v>Susp. Buv.</v>
      </c>
      <c r="D26" s="128" t="str">
        <f>'Available Stocks'!G56</f>
        <v>10 mg/mL</v>
      </c>
      <c r="E26" s="130" t="str">
        <f>'Available Stocks'!$H56</f>
        <v>Stavudine</v>
      </c>
      <c r="F26" s="383">
        <f>'Available Stocks'!K56</f>
        <v>240</v>
      </c>
      <c r="G26" s="384">
        <f>'Available Stocks'!L56</f>
        <v>1</v>
      </c>
      <c r="H26" s="385">
        <f ca="1"/>
        <v>1.5</v>
      </c>
      <c r="I26" s="386">
        <f>IF('General Data'!$E$11&gt;=1, 'Children YEAR1'!J436, 0)</f>
        <v>0</v>
      </c>
      <c r="J26" s="387">
        <f>IF('General Data'!$E$11&gt;=1, 'Children YEAR1'!K436, 0)</f>
        <v>0</v>
      </c>
      <c r="K26" s="387">
        <f>IF('General Data'!$E$11&gt;=1, 'Children YEAR1'!L436, 0)</f>
        <v>0</v>
      </c>
      <c r="L26" s="388">
        <f t="shared" ref="L26:L32" ca="1" si="12">K26*$H26</f>
        <v>0</v>
      </c>
      <c r="M26" s="386">
        <f>IF('General Data'!$E$11&gt;=2, 'Children YEAR2'!J436, 0)</f>
        <v>0</v>
      </c>
      <c r="N26" s="387">
        <f>IF('General Data'!$E$11&gt;=2, 'Children YEAR2'!K436, 0)</f>
        <v>0</v>
      </c>
      <c r="O26" s="387">
        <f>IF('General Data'!$E$11&gt;=2, 'Children YEAR2'!L436, 0)</f>
        <v>0</v>
      </c>
      <c r="P26" s="388">
        <f t="shared" ca="1" si="0"/>
        <v>0</v>
      </c>
      <c r="Q26" s="381" t="str">
        <f t="shared" si="1"/>
        <v>D4T</v>
      </c>
      <c r="R26" s="128" t="str">
        <f t="shared" si="2"/>
        <v>Susp. Buv.</v>
      </c>
      <c r="S26" s="128" t="str">
        <f t="shared" si="3"/>
        <v>10 mg/mL</v>
      </c>
      <c r="T26" s="130" t="str">
        <f t="shared" si="4"/>
        <v>Stavudine</v>
      </c>
      <c r="U26" s="383">
        <f t="shared" si="5"/>
        <v>240</v>
      </c>
      <c r="V26" s="384">
        <f t="shared" si="6"/>
        <v>1</v>
      </c>
      <c r="W26" s="385">
        <f t="shared" ca="1" si="7"/>
        <v>1.5</v>
      </c>
      <c r="X26" s="386">
        <f>IF('General Data'!$E$11&gt;=3, 'Children YEAR3'!J436, 0)</f>
        <v>0</v>
      </c>
      <c r="Y26" s="387">
        <f>IF('General Data'!$E$11&gt;=3, 'Children YEAR3'!K436, 0)</f>
        <v>0</v>
      </c>
      <c r="Z26" s="387">
        <f>IF('General Data'!$E$11&gt;=3, 'Children YEAR3'!L436, 0)</f>
        <v>0</v>
      </c>
      <c r="AA26" s="388">
        <f t="shared" ca="1" si="8"/>
        <v>0</v>
      </c>
      <c r="AB26" s="386">
        <f>IF('General Data'!$E$11&gt;=4, 'Children YEAR4'!J436, 0)</f>
        <v>0</v>
      </c>
      <c r="AC26" s="387">
        <f>IF('General Data'!$E$11&gt;=4, 'Children YEAR4'!K436, 0)</f>
        <v>0</v>
      </c>
      <c r="AD26" s="387">
        <f>IF('General Data'!$E$11&gt;=4, 'Children YEAR4'!L436, 0)</f>
        <v>0</v>
      </c>
      <c r="AE26" s="388">
        <f t="shared" ca="1" si="9"/>
        <v>0</v>
      </c>
      <c r="AF26" s="386">
        <f>IF('General Data'!$E$11&gt;=5, 'Children YEAR5'!J436, 0)</f>
        <v>0</v>
      </c>
      <c r="AG26" s="387">
        <f>IF('General Data'!$E$11&gt;=5, 'Children YEAR5'!K436, 0)</f>
        <v>0</v>
      </c>
      <c r="AH26" s="387">
        <f>IF('General Data'!$E$11&gt;=5, 'Children YEAR5'!L436, 0)</f>
        <v>0</v>
      </c>
      <c r="AI26" s="388">
        <f t="shared" ca="1" si="10"/>
        <v>0</v>
      </c>
      <c r="AJ26" s="863">
        <f t="shared" ca="1" si="11"/>
        <v>0</v>
      </c>
    </row>
    <row r="27" spans="1:36" x14ac:dyDescent="0.2">
      <c r="B27" s="389" t="s">
        <v>15</v>
      </c>
      <c r="C27" s="129" t="str">
        <f>'Available Stocks'!F57</f>
        <v>Susp. Buv.</v>
      </c>
      <c r="D27" s="129" t="str">
        <f>'Available Stocks'!G57</f>
        <v>10 mg/mL</v>
      </c>
      <c r="E27" s="390" t="str">
        <f>'Available Stocks'!$H57</f>
        <v>Lamivudine</v>
      </c>
      <c r="F27" s="392">
        <f>'Available Stocks'!K57</f>
        <v>240</v>
      </c>
      <c r="G27" s="393">
        <f>'Available Stocks'!L57</f>
        <v>1</v>
      </c>
      <c r="H27" s="385">
        <f ca="1"/>
        <v>2.1</v>
      </c>
      <c r="I27" s="394">
        <f>IF('General Data'!$E$11&gt;=1, 'Children YEAR1'!J437, 0)</f>
        <v>0</v>
      </c>
      <c r="J27" s="395">
        <f>IF('General Data'!$E$11&gt;=1, 'Children YEAR1'!K437, 0)</f>
        <v>0</v>
      </c>
      <c r="K27" s="395">
        <f>IF('General Data'!$E$11&gt;=1, 'Children YEAR1'!L437, 0)</f>
        <v>0</v>
      </c>
      <c r="L27" s="388">
        <f t="shared" ca="1" si="12"/>
        <v>0</v>
      </c>
      <c r="M27" s="394">
        <f>IF('General Data'!$E$11&gt;=2, 'Children YEAR2'!J437, 0)</f>
        <v>0</v>
      </c>
      <c r="N27" s="395">
        <f>IF('General Data'!$E$11&gt;=2, 'Children YEAR2'!K437, 0)</f>
        <v>0</v>
      </c>
      <c r="O27" s="395">
        <f>IF('General Data'!$E$11&gt;=2, 'Children YEAR2'!L437, 0)</f>
        <v>0</v>
      </c>
      <c r="P27" s="388">
        <f t="shared" ca="1" si="0"/>
        <v>0</v>
      </c>
      <c r="Q27" s="389" t="str">
        <f t="shared" si="1"/>
        <v>3TC</v>
      </c>
      <c r="R27" s="129" t="str">
        <f t="shared" si="2"/>
        <v>Susp. Buv.</v>
      </c>
      <c r="S27" s="129" t="str">
        <f t="shared" si="3"/>
        <v>10 mg/mL</v>
      </c>
      <c r="T27" s="390" t="str">
        <f t="shared" si="4"/>
        <v>Lamivudine</v>
      </c>
      <c r="U27" s="392">
        <f t="shared" si="5"/>
        <v>240</v>
      </c>
      <c r="V27" s="393">
        <f t="shared" si="6"/>
        <v>1</v>
      </c>
      <c r="W27" s="385">
        <f t="shared" ca="1" si="7"/>
        <v>2.1</v>
      </c>
      <c r="X27" s="394">
        <f>IF('General Data'!$E$11&gt;=3, 'Children YEAR3'!J437, 0)</f>
        <v>0</v>
      </c>
      <c r="Y27" s="395">
        <f>IF('General Data'!$E$11&gt;=3, 'Children YEAR3'!K437, 0)</f>
        <v>0</v>
      </c>
      <c r="Z27" s="395">
        <f>IF('General Data'!$E$11&gt;=3, 'Children YEAR3'!L437, 0)</f>
        <v>0</v>
      </c>
      <c r="AA27" s="388">
        <f t="shared" ca="1" si="8"/>
        <v>0</v>
      </c>
      <c r="AB27" s="394">
        <f>IF('General Data'!$E$11&gt;=4, 'Children YEAR4'!J437, 0)</f>
        <v>0</v>
      </c>
      <c r="AC27" s="395">
        <f>IF('General Data'!$E$11&gt;=4, 'Children YEAR4'!K437, 0)</f>
        <v>0</v>
      </c>
      <c r="AD27" s="395">
        <f>IF('General Data'!$E$11&gt;=4, 'Children YEAR4'!L437, 0)</f>
        <v>0</v>
      </c>
      <c r="AE27" s="388">
        <f t="shared" ca="1" si="9"/>
        <v>0</v>
      </c>
      <c r="AF27" s="394">
        <f>IF('General Data'!$E$11&gt;=5, 'Children YEAR5'!J437, 0)</f>
        <v>0</v>
      </c>
      <c r="AG27" s="395">
        <f>IF('General Data'!$E$11&gt;=5, 'Children YEAR5'!K437, 0)</f>
        <v>0</v>
      </c>
      <c r="AH27" s="395">
        <f>IF('General Data'!$E$11&gt;=5, 'Children YEAR5'!L437, 0)</f>
        <v>0</v>
      </c>
      <c r="AI27" s="388">
        <f t="shared" ca="1" si="10"/>
        <v>0</v>
      </c>
      <c r="AJ27" s="863">
        <f t="shared" ca="1" si="11"/>
        <v>0</v>
      </c>
    </row>
    <row r="28" spans="1:36" x14ac:dyDescent="0.2">
      <c r="B28" s="381" t="s">
        <v>25</v>
      </c>
      <c r="C28" s="128" t="str">
        <f>'Available Stocks'!F58</f>
        <v>Susp. Buv.</v>
      </c>
      <c r="D28" s="128" t="str">
        <f>'Available Stocks'!G58</f>
        <v>20 mg/mL</v>
      </c>
      <c r="E28" s="130" t="str">
        <f>'Available Stocks'!$H58</f>
        <v>Abacavir</v>
      </c>
      <c r="F28" s="392">
        <f>'Available Stocks'!K58</f>
        <v>240</v>
      </c>
      <c r="G28" s="393">
        <f>'Available Stocks'!L58</f>
        <v>1</v>
      </c>
      <c r="H28" s="385">
        <f ca="1"/>
        <v>12.5</v>
      </c>
      <c r="I28" s="394">
        <f>IF('General Data'!$E$11&gt;=1, 'Children YEAR1'!J438, 0)</f>
        <v>0</v>
      </c>
      <c r="J28" s="395">
        <f>IF('General Data'!$E$11&gt;=1, 'Children YEAR1'!K438, 0)</f>
        <v>0</v>
      </c>
      <c r="K28" s="395">
        <f>IF('General Data'!$E$11&gt;=1, 'Children YEAR1'!L438, 0)</f>
        <v>0</v>
      </c>
      <c r="L28" s="388">
        <f t="shared" ca="1" si="12"/>
        <v>0</v>
      </c>
      <c r="M28" s="394">
        <f>IF('General Data'!$E$11&gt;=2, 'Children YEAR2'!J438, 0)</f>
        <v>0</v>
      </c>
      <c r="N28" s="395">
        <f>IF('General Data'!$E$11&gt;=2, 'Children YEAR2'!K438, 0)</f>
        <v>0</v>
      </c>
      <c r="O28" s="395">
        <f>IF('General Data'!$E$11&gt;=2, 'Children YEAR2'!L438, 0)</f>
        <v>0</v>
      </c>
      <c r="P28" s="388">
        <f t="shared" ca="1" si="0"/>
        <v>0</v>
      </c>
      <c r="Q28" s="381" t="str">
        <f t="shared" si="1"/>
        <v>ABC</v>
      </c>
      <c r="R28" s="128" t="str">
        <f t="shared" si="2"/>
        <v>Susp. Buv.</v>
      </c>
      <c r="S28" s="128" t="str">
        <f t="shared" si="3"/>
        <v>20 mg/mL</v>
      </c>
      <c r="T28" s="130" t="str">
        <f t="shared" si="4"/>
        <v>Abacavir</v>
      </c>
      <c r="U28" s="392">
        <f t="shared" si="5"/>
        <v>240</v>
      </c>
      <c r="V28" s="393">
        <f t="shared" si="6"/>
        <v>1</v>
      </c>
      <c r="W28" s="385">
        <f t="shared" ca="1" si="7"/>
        <v>12.5</v>
      </c>
      <c r="X28" s="394">
        <f>IF('General Data'!$E$11&gt;=3, 'Children YEAR3'!J438, 0)</f>
        <v>0</v>
      </c>
      <c r="Y28" s="395">
        <f>IF('General Data'!$E$11&gt;=3, 'Children YEAR3'!K438, 0)</f>
        <v>0</v>
      </c>
      <c r="Z28" s="395">
        <f>IF('General Data'!$E$11&gt;=3, 'Children YEAR3'!L438, 0)</f>
        <v>0</v>
      </c>
      <c r="AA28" s="388">
        <f t="shared" ca="1" si="8"/>
        <v>0</v>
      </c>
      <c r="AB28" s="394">
        <f>IF('General Data'!$E$11&gt;=4, 'Children YEAR4'!J438, 0)</f>
        <v>0</v>
      </c>
      <c r="AC28" s="395">
        <f>IF('General Data'!$E$11&gt;=4, 'Children YEAR4'!K438, 0)</f>
        <v>0</v>
      </c>
      <c r="AD28" s="395">
        <f>IF('General Data'!$E$11&gt;=4, 'Children YEAR4'!L438, 0)</f>
        <v>0</v>
      </c>
      <c r="AE28" s="388">
        <f t="shared" ca="1" si="9"/>
        <v>0</v>
      </c>
      <c r="AF28" s="394">
        <f>IF('General Data'!$E$11&gt;=5, 'Children YEAR5'!J438, 0)</f>
        <v>0</v>
      </c>
      <c r="AG28" s="395">
        <f>IF('General Data'!$E$11&gt;=5, 'Children YEAR5'!K438, 0)</f>
        <v>0</v>
      </c>
      <c r="AH28" s="395">
        <f>IF('General Data'!$E$11&gt;=5, 'Children YEAR5'!L438, 0)</f>
        <v>0</v>
      </c>
      <c r="AI28" s="388">
        <f t="shared" ca="1" si="10"/>
        <v>0</v>
      </c>
      <c r="AJ28" s="863">
        <f t="shared" ca="1" si="11"/>
        <v>0</v>
      </c>
    </row>
    <row r="29" spans="1:36" ht="25.5" x14ac:dyDescent="0.2">
      <c r="B29" s="396" t="s">
        <v>28</v>
      </c>
      <c r="C29" s="397" t="str">
        <f>'Available Stocks'!F59</f>
        <v>Poudre pr Susp. Buv.</v>
      </c>
      <c r="D29" s="397" t="str">
        <f>'Available Stocks'!G59</f>
        <v>2 g</v>
      </c>
      <c r="E29" s="398" t="str">
        <f>'Available Stocks'!$H59</f>
        <v>Didanosine</v>
      </c>
      <c r="F29" s="513">
        <f>'Available Stocks'!K59</f>
        <v>200</v>
      </c>
      <c r="G29" s="1373">
        <f>'Available Stocks'!L59</f>
        <v>1</v>
      </c>
      <c r="H29" s="480">
        <f ca="1"/>
        <v>0</v>
      </c>
      <c r="I29" s="514">
        <f>IF('General Data'!$E$11&gt;=1, 'Children YEAR1'!J439, 0)</f>
        <v>0</v>
      </c>
      <c r="J29" s="515">
        <f>IF('General Data'!$E$11&gt;=1, 'Children YEAR1'!K439, 0)</f>
        <v>0</v>
      </c>
      <c r="K29" s="515">
        <f>IF('General Data'!$E$11&gt;=1, 'Children YEAR1'!L439, 0)</f>
        <v>0</v>
      </c>
      <c r="L29" s="517">
        <f t="shared" ca="1" si="12"/>
        <v>0</v>
      </c>
      <c r="M29" s="514">
        <f>IF('General Data'!$E$11&gt;=2, 'Children YEAR2'!J439, 0)</f>
        <v>0</v>
      </c>
      <c r="N29" s="515">
        <f>IF('General Data'!$E$11&gt;=2, 'Children YEAR2'!K439, 0)</f>
        <v>0</v>
      </c>
      <c r="O29" s="515">
        <f>IF('General Data'!$E$11&gt;=2, 'Children YEAR2'!L439, 0)</f>
        <v>0</v>
      </c>
      <c r="P29" s="517">
        <f t="shared" ca="1" si="0"/>
        <v>0</v>
      </c>
      <c r="Q29" s="396" t="str">
        <f t="shared" si="1"/>
        <v>DDI</v>
      </c>
      <c r="R29" s="397" t="str">
        <f t="shared" si="2"/>
        <v>Poudre pr Susp. Buv.</v>
      </c>
      <c r="S29" s="397" t="str">
        <f t="shared" si="3"/>
        <v>2 g</v>
      </c>
      <c r="T29" s="398" t="str">
        <f t="shared" si="4"/>
        <v>Didanosine</v>
      </c>
      <c r="U29" s="513">
        <f t="shared" si="5"/>
        <v>200</v>
      </c>
      <c r="V29" s="1373">
        <f t="shared" si="6"/>
        <v>1</v>
      </c>
      <c r="W29" s="480">
        <f t="shared" ca="1" si="7"/>
        <v>0</v>
      </c>
      <c r="X29" s="514">
        <f>IF('General Data'!$E$11&gt;=3, 'Children YEAR3'!J439, 0)</f>
        <v>0</v>
      </c>
      <c r="Y29" s="515">
        <f>IF('General Data'!$E$11&gt;=3, 'Children YEAR3'!K439, 0)</f>
        <v>0</v>
      </c>
      <c r="Z29" s="515">
        <f>IF('General Data'!$E$11&gt;=3, 'Children YEAR3'!L439, 0)</f>
        <v>0</v>
      </c>
      <c r="AA29" s="517">
        <f t="shared" ca="1" si="8"/>
        <v>0</v>
      </c>
      <c r="AB29" s="514">
        <f>IF('General Data'!$E$11&gt;=4, 'Children YEAR4'!J439, 0)</f>
        <v>0</v>
      </c>
      <c r="AC29" s="515">
        <f>IF('General Data'!$E$11&gt;=4, 'Children YEAR4'!K439, 0)</f>
        <v>0</v>
      </c>
      <c r="AD29" s="515">
        <f>IF('General Data'!$E$11&gt;=4, 'Children YEAR4'!L439, 0)</f>
        <v>0</v>
      </c>
      <c r="AE29" s="517">
        <f t="shared" ca="1" si="9"/>
        <v>0</v>
      </c>
      <c r="AF29" s="514">
        <f>IF('General Data'!$E$11&gt;=5, 'Children YEAR5'!J439, 0)</f>
        <v>0</v>
      </c>
      <c r="AG29" s="515">
        <f>IF('General Data'!$E$11&gt;=5, 'Children YEAR5'!K439, 0)</f>
        <v>0</v>
      </c>
      <c r="AH29" s="515">
        <f>IF('General Data'!$E$11&gt;=5, 'Children YEAR5'!L439, 0)</f>
        <v>0</v>
      </c>
      <c r="AI29" s="517">
        <f t="shared" ca="1" si="10"/>
        <v>0</v>
      </c>
      <c r="AJ29" s="1374">
        <f t="shared" ca="1" si="11"/>
        <v>0</v>
      </c>
    </row>
    <row r="30" spans="1:36" x14ac:dyDescent="0.2">
      <c r="B30" s="1375" t="s">
        <v>19</v>
      </c>
      <c r="C30" s="505" t="str">
        <f>'Available Stocks'!F60</f>
        <v>Susp. Buv.</v>
      </c>
      <c r="D30" s="505" t="str">
        <f>'Available Stocks'!G60</f>
        <v>10 mg/mL</v>
      </c>
      <c r="E30" s="506" t="str">
        <f>'Available Stocks'!$H60</f>
        <v>Névirapine</v>
      </c>
      <c r="F30" s="507">
        <f>'Available Stocks'!K60</f>
        <v>240</v>
      </c>
      <c r="G30" s="1376">
        <f>'Available Stocks'!L60</f>
        <v>1</v>
      </c>
      <c r="H30" s="449">
        <f ca="1"/>
        <v>1.9500000000000002</v>
      </c>
      <c r="I30" s="508">
        <f>IF('General Data'!$E$11&gt;=1, 'Children YEAR1'!J440, 0)</f>
        <v>89.748000000000005</v>
      </c>
      <c r="J30" s="509">
        <f>IF('General Data'!$E$11&gt;=1, 'Children YEAR1'!K440, 0)</f>
        <v>22.436999999999998</v>
      </c>
      <c r="K30" s="509">
        <f>IF('General Data'!$E$11&gt;=1, 'Children YEAR1'!L440, 0)</f>
        <v>112.185</v>
      </c>
      <c r="L30" s="511">
        <f ca="1">K30*$H30</f>
        <v>218.76075000000003</v>
      </c>
      <c r="M30" s="508">
        <f>IF('General Data'!$E$11&gt;=2, 'Children YEAR2'!J440, 0)</f>
        <v>0</v>
      </c>
      <c r="N30" s="509">
        <f>IF('General Data'!$E$11&gt;=2, 'Children YEAR2'!K440, 0)</f>
        <v>0</v>
      </c>
      <c r="O30" s="509">
        <f>IF('General Data'!$E$11&gt;=2, 'Children YEAR2'!L440, 0)</f>
        <v>0</v>
      </c>
      <c r="P30" s="511">
        <f ca="1">O30*$H30</f>
        <v>0</v>
      </c>
      <c r="Q30" s="1375" t="str">
        <f t="shared" si="1"/>
        <v>NVP</v>
      </c>
      <c r="R30" s="505" t="str">
        <f t="shared" si="2"/>
        <v>Susp. Buv.</v>
      </c>
      <c r="S30" s="505" t="str">
        <f t="shared" si="3"/>
        <v>10 mg/mL</v>
      </c>
      <c r="T30" s="506" t="str">
        <f t="shared" si="4"/>
        <v>Névirapine</v>
      </c>
      <c r="U30" s="507">
        <f t="shared" si="5"/>
        <v>240</v>
      </c>
      <c r="V30" s="1376">
        <f t="shared" si="6"/>
        <v>1</v>
      </c>
      <c r="W30" s="449">
        <f t="shared" ca="1" si="7"/>
        <v>1.9500000000000002</v>
      </c>
      <c r="X30" s="508">
        <f>IF('General Data'!$E$11&gt;=3, 'Children YEAR3'!J440, 0)</f>
        <v>0</v>
      </c>
      <c r="Y30" s="509">
        <f>IF('General Data'!$E$11&gt;=3, 'Children YEAR3'!K440, 0)</f>
        <v>0</v>
      </c>
      <c r="Z30" s="509">
        <f>IF('General Data'!$E$11&gt;=3, 'Children YEAR3'!L440, 0)</f>
        <v>0</v>
      </c>
      <c r="AA30" s="511">
        <f ca="1">Z30*$H30</f>
        <v>0</v>
      </c>
      <c r="AB30" s="508">
        <f>IF('General Data'!$E$11&gt;=4, 'Children YEAR4'!J440, 0)</f>
        <v>0</v>
      </c>
      <c r="AC30" s="509">
        <f>IF('General Data'!$E$11&gt;=4, 'Children YEAR4'!K440, 0)</f>
        <v>0</v>
      </c>
      <c r="AD30" s="509">
        <f>IF('General Data'!$E$11&gt;=4, 'Children YEAR4'!L440, 0)</f>
        <v>0</v>
      </c>
      <c r="AE30" s="511">
        <f ca="1">AD30*$H30</f>
        <v>0</v>
      </c>
      <c r="AF30" s="508">
        <f>IF('General Data'!$E$11&gt;=5, 'Children YEAR5'!J440, 0)</f>
        <v>0</v>
      </c>
      <c r="AG30" s="509">
        <f>IF('General Data'!$E$11&gt;=5, 'Children YEAR5'!K440, 0)</f>
        <v>0</v>
      </c>
      <c r="AH30" s="509">
        <f>IF('General Data'!$E$11&gt;=5, 'Children YEAR5'!L440, 0)</f>
        <v>0</v>
      </c>
      <c r="AI30" s="511">
        <f ca="1">AH30*$H30</f>
        <v>0</v>
      </c>
      <c r="AJ30" s="1377">
        <f t="shared" ca="1" si="11"/>
        <v>218.76075000000003</v>
      </c>
    </row>
    <row r="31" spans="1:36" x14ac:dyDescent="0.2">
      <c r="B31" s="396" t="s">
        <v>17</v>
      </c>
      <c r="C31" s="397" t="str">
        <f>'Available Stocks'!F61</f>
        <v>Susp. Buv.</v>
      </c>
      <c r="D31" s="397" t="str">
        <f>'Available Stocks'!G61</f>
        <v>30 mg/mL</v>
      </c>
      <c r="E31" s="398" t="str">
        <f>'Available Stocks'!$H61</f>
        <v>Efavirenz</v>
      </c>
      <c r="F31" s="513">
        <f>'Available Stocks'!K61</f>
        <v>180</v>
      </c>
      <c r="G31" s="1373">
        <f>'Available Stocks'!L61</f>
        <v>1</v>
      </c>
      <c r="H31" s="480">
        <f ca="1"/>
        <v>16.96</v>
      </c>
      <c r="I31" s="514">
        <f>IF('General Data'!$E$11&gt;=1, 'Children YEAR1'!J441, 0)</f>
        <v>247.88309759999999</v>
      </c>
      <c r="J31" s="515">
        <f>IF('General Data'!$E$11&gt;=1, 'Children YEAR1'!K441, 0)</f>
        <v>83.289506399999993</v>
      </c>
      <c r="K31" s="515">
        <f>IF('General Data'!$E$11&gt;=1, 'Children YEAR1'!L441, 0)</f>
        <v>331.17260399999998</v>
      </c>
      <c r="L31" s="517">
        <f ca="1">K31*$H31</f>
        <v>5616.6873638400002</v>
      </c>
      <c r="M31" s="514">
        <f>IF('General Data'!$E$11&gt;=2, 'Children YEAR2'!J441, 0)</f>
        <v>0</v>
      </c>
      <c r="N31" s="515">
        <f>IF('General Data'!$E$11&gt;=2, 'Children YEAR2'!K441, 0)</f>
        <v>0</v>
      </c>
      <c r="O31" s="515">
        <f>IF('General Data'!$E$11&gt;=2, 'Children YEAR2'!L441, 0)</f>
        <v>0</v>
      </c>
      <c r="P31" s="517">
        <f ca="1">O31*$H31</f>
        <v>0</v>
      </c>
      <c r="Q31" s="396" t="str">
        <f t="shared" si="1"/>
        <v>EFV</v>
      </c>
      <c r="R31" s="397" t="str">
        <f t="shared" si="2"/>
        <v>Susp. Buv.</v>
      </c>
      <c r="S31" s="397" t="str">
        <f t="shared" si="3"/>
        <v>30 mg/mL</v>
      </c>
      <c r="T31" s="398" t="str">
        <f t="shared" si="4"/>
        <v>Efavirenz</v>
      </c>
      <c r="U31" s="513">
        <f t="shared" si="5"/>
        <v>180</v>
      </c>
      <c r="V31" s="1373">
        <f t="shared" si="6"/>
        <v>1</v>
      </c>
      <c r="W31" s="480">
        <f t="shared" ca="1" si="7"/>
        <v>16.96</v>
      </c>
      <c r="X31" s="514">
        <f>IF('General Data'!$E$11&gt;=3, 'Children YEAR3'!J441, 0)</f>
        <v>0</v>
      </c>
      <c r="Y31" s="515">
        <f>IF('General Data'!$E$11&gt;=3, 'Children YEAR3'!K441, 0)</f>
        <v>0</v>
      </c>
      <c r="Z31" s="515">
        <f>IF('General Data'!$E$11&gt;=3, 'Children YEAR3'!L441, 0)</f>
        <v>0</v>
      </c>
      <c r="AA31" s="517">
        <f ca="1">Z31*$H31</f>
        <v>0</v>
      </c>
      <c r="AB31" s="514">
        <f>IF('General Data'!$E$11&gt;=4, 'Children YEAR4'!J441, 0)</f>
        <v>0</v>
      </c>
      <c r="AC31" s="515">
        <f>IF('General Data'!$E$11&gt;=4, 'Children YEAR4'!K441, 0)</f>
        <v>0</v>
      </c>
      <c r="AD31" s="515">
        <f>IF('General Data'!$E$11&gt;=4, 'Children YEAR4'!L441, 0)</f>
        <v>0</v>
      </c>
      <c r="AE31" s="517">
        <f ca="1">AD31*$H31</f>
        <v>0</v>
      </c>
      <c r="AF31" s="514">
        <f>IF('General Data'!$E$11&gt;=5, 'Children YEAR5'!J441, 0)</f>
        <v>0</v>
      </c>
      <c r="AG31" s="515">
        <f>IF('General Data'!$E$11&gt;=5, 'Children YEAR5'!K441, 0)</f>
        <v>0</v>
      </c>
      <c r="AH31" s="515">
        <f>IF('General Data'!$E$11&gt;=5, 'Children YEAR5'!L441, 0)</f>
        <v>0</v>
      </c>
      <c r="AI31" s="517">
        <f ca="1">AH31*$H31</f>
        <v>0</v>
      </c>
      <c r="AJ31" s="1374">
        <f t="shared" ca="1" si="11"/>
        <v>5616.6873638400002</v>
      </c>
    </row>
    <row r="32" spans="1:36" ht="26.25" thickBot="1" x14ac:dyDescent="0.25">
      <c r="B32" s="1381" t="s">
        <v>33</v>
      </c>
      <c r="C32" s="1382" t="str">
        <f>'Available Stocks'!F62</f>
        <v>Sol. Buv.</v>
      </c>
      <c r="D32" s="1382" t="str">
        <f>'Available Stocks'!G62</f>
        <v>80/20 mg/mL</v>
      </c>
      <c r="E32" s="1383" t="str">
        <f>'Available Stocks'!$H62</f>
        <v>Lopinavir/ritonavir</v>
      </c>
      <c r="F32" s="1384">
        <f>'Available Stocks'!K62</f>
        <v>60</v>
      </c>
      <c r="G32" s="1385">
        <f>'Available Stocks'!L62</f>
        <v>4</v>
      </c>
      <c r="H32" s="1386">
        <f ca="1"/>
        <v>6.1639999999999997</v>
      </c>
      <c r="I32" s="1387">
        <f>IF('General Data'!$E$11&gt;=1, 'Children YEAR1'!J442, 0)</f>
        <v>2502</v>
      </c>
      <c r="J32" s="1388">
        <f>IF('General Data'!$E$11&gt;=1, 'Children YEAR1'!K442, 0)</f>
        <v>1262.7255000000005</v>
      </c>
      <c r="K32" s="1388">
        <f>IF('General Data'!$E$11&gt;=1, 'Children YEAR1'!L442, 0)</f>
        <v>3764.7255000000005</v>
      </c>
      <c r="L32" s="1389">
        <f t="shared" ca="1" si="12"/>
        <v>23205.767982000001</v>
      </c>
      <c r="M32" s="1387">
        <f>IF('General Data'!$E$11&gt;=2, 'Children YEAR2'!J442, 0)</f>
        <v>0</v>
      </c>
      <c r="N32" s="1388">
        <f>IF('General Data'!$E$11&gt;=2, 'Children YEAR2'!K442, 0)</f>
        <v>0</v>
      </c>
      <c r="O32" s="1388">
        <f>IF('General Data'!$E$11&gt;=2, 'Children YEAR2'!L442, 0)</f>
        <v>0</v>
      </c>
      <c r="P32" s="1389">
        <f t="shared" ca="1" si="0"/>
        <v>0</v>
      </c>
      <c r="Q32" s="1381" t="str">
        <f t="shared" si="1"/>
        <v>LPV/r</v>
      </c>
      <c r="R32" s="1382" t="str">
        <f t="shared" si="2"/>
        <v>Sol. Buv.</v>
      </c>
      <c r="S32" s="1382" t="str">
        <f t="shared" si="3"/>
        <v>80/20 mg/mL</v>
      </c>
      <c r="T32" s="1383" t="str">
        <f t="shared" si="4"/>
        <v>Lopinavir/ritonavir</v>
      </c>
      <c r="U32" s="1384">
        <f t="shared" si="5"/>
        <v>60</v>
      </c>
      <c r="V32" s="1385">
        <f t="shared" si="6"/>
        <v>4</v>
      </c>
      <c r="W32" s="1386">
        <f t="shared" ca="1" si="7"/>
        <v>6.1639999999999997</v>
      </c>
      <c r="X32" s="1387">
        <f>IF('General Data'!$E$11&gt;=3, 'Children YEAR3'!J442, 0)</f>
        <v>0</v>
      </c>
      <c r="Y32" s="1388">
        <f>IF('General Data'!$E$11&gt;=3, 'Children YEAR3'!K442, 0)</f>
        <v>0</v>
      </c>
      <c r="Z32" s="1388">
        <f>IF('General Data'!$E$11&gt;=3, 'Children YEAR3'!L442, 0)</f>
        <v>0</v>
      </c>
      <c r="AA32" s="1389">
        <f t="shared" ca="1" si="8"/>
        <v>0</v>
      </c>
      <c r="AB32" s="1387">
        <f>IF('General Data'!$E$11&gt;=4, 'Children YEAR4'!J442, 0)</f>
        <v>0</v>
      </c>
      <c r="AC32" s="1388">
        <f>IF('General Data'!$E$11&gt;=4, 'Children YEAR4'!K442, 0)</f>
        <v>0</v>
      </c>
      <c r="AD32" s="1388">
        <f>IF('General Data'!$E$11&gt;=4, 'Children YEAR4'!L442, 0)</f>
        <v>0</v>
      </c>
      <c r="AE32" s="1389">
        <f t="shared" ca="1" si="9"/>
        <v>0</v>
      </c>
      <c r="AF32" s="1387">
        <f>IF('General Data'!$E$11&gt;=5, 'Children YEAR5'!J442, 0)</f>
        <v>0</v>
      </c>
      <c r="AG32" s="1388">
        <f>IF('General Data'!$E$11&gt;=5, 'Children YEAR5'!K442, 0)</f>
        <v>0</v>
      </c>
      <c r="AH32" s="1388">
        <f>IF('General Data'!$E$11&gt;=5, 'Children YEAR5'!L442, 0)</f>
        <v>0</v>
      </c>
      <c r="AI32" s="1389">
        <f t="shared" ca="1" si="10"/>
        <v>0</v>
      </c>
      <c r="AJ32" s="1390">
        <f t="shared" ca="1" si="11"/>
        <v>23205.767982000001</v>
      </c>
    </row>
    <row r="33" spans="2:36" ht="64.5" thickBot="1" x14ac:dyDescent="0.25">
      <c r="B33" s="1378" t="str">
        <f>'TRAD-Synthesis Children'!B11</f>
        <v>Produit</v>
      </c>
      <c r="C33" s="686" t="str">
        <f>'TRAD-Synthesis Children'!B12</f>
        <v>Forme galénique</v>
      </c>
      <c r="D33" s="686" t="str">
        <f>'TRAD-Synthesis Children'!B14</f>
        <v>Dosage</v>
      </c>
      <c r="E33" s="369" t="str">
        <f>'TRAD-Synthesis Children'!B13</f>
        <v>DCI</v>
      </c>
      <c r="F33" s="686" t="str">
        <f>'TRAD-Synthesis Children'!B15</f>
        <v>unité de mesure (ml) [1]</v>
      </c>
      <c r="G33" s="1379" t="str">
        <f>'TRAD-Synthesis Children'!B16</f>
        <v>unité de mesure (bouteille) [1]</v>
      </c>
      <c r="H33" s="1379" t="str">
        <f>'TRAD-Synthesis Children'!B17</f>
        <v>Unité  de prix par bouteille unitaire (US$)  [2]</v>
      </c>
      <c r="I33" s="298" t="str">
        <f>'TRAD-Synthesis Children'!B18</f>
        <v>TOTAL (nbre de paquets)</v>
      </c>
      <c r="J33" s="299" t="str">
        <f>'TRAD-Synthesis Children'!B19</f>
        <v>Tampon (nbre de paquets)</v>
      </c>
      <c r="K33" s="300" t="str">
        <f>'TRAD-Synthesis Children'!B20</f>
        <v>TOTAL + Tampon (nbre de paquets)</v>
      </c>
      <c r="L33" s="301" t="str">
        <f>'TRAD-Synthesis Children'!B21</f>
        <v>PRIX TOTAL (US$)</v>
      </c>
      <c r="M33" s="298" t="str">
        <f>'TRAD-Synthesis Children'!B18</f>
        <v>TOTAL (nbre de paquets)</v>
      </c>
      <c r="N33" s="300" t="str">
        <f>'TRAD-Synthesis Children'!B22</f>
        <v>Tampon / Année précédente (nbre de paquets)</v>
      </c>
      <c r="O33" s="300" t="str">
        <f>'TRAD-Synthesis Children'!B20</f>
        <v>TOTAL + Tampon (nbre de paquets)</v>
      </c>
      <c r="P33" s="301" t="str">
        <f>'TRAD-Synthesis Children'!B21</f>
        <v>PRIX TOTAL (US$)</v>
      </c>
      <c r="Q33" s="1378" t="str">
        <f>'TRAD-Synthesis Children'!B11</f>
        <v>Produit</v>
      </c>
      <c r="R33" s="686" t="str">
        <f>'TRAD-Synthesis Children'!B12</f>
        <v>Forme galénique</v>
      </c>
      <c r="S33" s="686" t="str">
        <f>'TRAD-Synthesis Children'!B14</f>
        <v>Dosage</v>
      </c>
      <c r="T33" s="686" t="str">
        <f>'TRAD-Synthesis Children'!B13</f>
        <v>DCI</v>
      </c>
      <c r="U33" s="686" t="str">
        <f>'TRAD-Synthesis Children'!B15</f>
        <v>unité de mesure (ml) [1]</v>
      </c>
      <c r="V33" s="1379" t="str">
        <f>'TRAD-Synthesis Children'!B16</f>
        <v>unité de mesure (bouteille) [1]</v>
      </c>
      <c r="W33" s="1379" t="str">
        <f>'TRAD-Synthesis Children'!B17</f>
        <v>Unité  de prix par bouteille unitaire (US$)  [2]</v>
      </c>
      <c r="X33" s="298" t="str">
        <f>'TRAD-Synthesis Children'!B18</f>
        <v>TOTAL (nbre de paquets)</v>
      </c>
      <c r="Y33" s="300" t="str">
        <f>'TRAD-Synthesis Children'!B22</f>
        <v>Tampon / Année précédente (nbre de paquets)</v>
      </c>
      <c r="Z33" s="300" t="str">
        <f>'TRAD-Synthesis Children'!B20</f>
        <v>TOTAL + Tampon (nbre de paquets)</v>
      </c>
      <c r="AA33" s="301" t="str">
        <f>'TRAD-Synthesis Children'!B21</f>
        <v>PRIX TOTAL (US$)</v>
      </c>
      <c r="AB33" s="298" t="str">
        <f>'TRAD-Synthesis Children'!B18</f>
        <v>TOTAL (nbre de paquets)</v>
      </c>
      <c r="AC33" s="300" t="str">
        <f>'TRAD-Synthesis Children'!B22</f>
        <v>Tampon / Année précédente (nbre de paquets)</v>
      </c>
      <c r="AD33" s="300" t="str">
        <f>'TRAD-Synthesis Children'!B20</f>
        <v>TOTAL + Tampon (nbre de paquets)</v>
      </c>
      <c r="AE33" s="301" t="str">
        <f>'TRAD-Synthesis Children'!B21</f>
        <v>PRIX TOTAL (US$)</v>
      </c>
      <c r="AF33" s="298" t="str">
        <f>'TRAD-Synthesis Children'!B18</f>
        <v>TOTAL (nbre de paquets)</v>
      </c>
      <c r="AG33" s="300" t="str">
        <f>'TRAD-Synthesis Children'!B22</f>
        <v>Tampon / Année précédente (nbre de paquets)</v>
      </c>
      <c r="AH33" s="300" t="str">
        <f>'TRAD-Synthesis Children'!B20</f>
        <v>TOTAL + Tampon (nbre de paquets)</v>
      </c>
      <c r="AI33" s="301" t="str">
        <f>'TRAD-Synthesis Children'!B21</f>
        <v>PRIX TOTAL (US$)</v>
      </c>
      <c r="AJ33" s="1380" t="str">
        <f>'TRAD-Synthesis Children'!B31</f>
        <v>PRIX TOTAL durant toute la période (US$)</v>
      </c>
    </row>
    <row r="34" spans="2:36" ht="38.25" x14ac:dyDescent="0.2">
      <c r="B34" s="408" t="s">
        <v>7</v>
      </c>
      <c r="C34" s="409" t="str">
        <f>'Available Stocks'!F13</f>
        <v>Cp</v>
      </c>
      <c r="D34" s="409" t="str">
        <f>'Available Stocks'!G13</f>
        <v>300/150/200 mg</v>
      </c>
      <c r="E34" s="611" t="str">
        <f>'Available Stocks'!$H13</f>
        <v>Zidovudine + Lamivudine + Névirapine</v>
      </c>
      <c r="F34" s="858">
        <f>'Available Stocks'!K13</f>
        <v>60</v>
      </c>
      <c r="G34" s="411"/>
      <c r="H34" s="412">
        <f ca="1">'Global Synthesis'!H11</f>
        <v>9.7899999999999991</v>
      </c>
      <c r="I34" s="378">
        <f>IF('General Data'!$E$11&gt;=1, 'Children YEAR1'!J444, 0)</f>
        <v>0</v>
      </c>
      <c r="J34" s="379">
        <f>IF('General Data'!$E$11&gt;=1, 'Children YEAR1'!K444, 0)</f>
        <v>0</v>
      </c>
      <c r="K34" s="379">
        <f>IF('General Data'!$E$11&gt;=1, 'Children YEAR1'!L444, 0)</f>
        <v>0</v>
      </c>
      <c r="L34" s="380">
        <f t="shared" ref="L34:L58" ca="1" si="13">K34*$H34</f>
        <v>0</v>
      </c>
      <c r="M34" s="378">
        <f>IF('General Data'!$E$11&gt;=2, 'Children YEAR2'!J444, 0)</f>
        <v>0</v>
      </c>
      <c r="N34" s="379">
        <f>IF('General Data'!$E$11&gt;=2, 'Children YEAR2'!K444, 0)</f>
        <v>0</v>
      </c>
      <c r="O34" s="379">
        <f>IF('General Data'!$E$11&gt;=2, 'Children YEAR2'!L444, 0)</f>
        <v>0</v>
      </c>
      <c r="P34" s="380">
        <f t="shared" ref="P34:P58" ca="1" si="14">O34*$H34</f>
        <v>0</v>
      </c>
      <c r="Q34" s="408" t="str">
        <f>B34</f>
        <v>AZT+3TC+NVP</v>
      </c>
      <c r="R34" s="409" t="str">
        <f>C34</f>
        <v>Cp</v>
      </c>
      <c r="S34" s="409" t="str">
        <f>D34</f>
        <v>300/150/200 mg</v>
      </c>
      <c r="T34" s="374" t="str">
        <f>E34</f>
        <v>Zidovudine + Lamivudine + Névirapine</v>
      </c>
      <c r="U34" s="410">
        <f t="shared" ref="U34:W34" si="15">F34</f>
        <v>60</v>
      </c>
      <c r="V34" s="411">
        <f t="shared" si="15"/>
        <v>0</v>
      </c>
      <c r="W34" s="412">
        <f t="shared" ca="1" si="15"/>
        <v>9.7899999999999991</v>
      </c>
      <c r="X34" s="378">
        <f>IF('General Data'!$E$11&gt;=3, 'Children YEAR3'!J444, 0)</f>
        <v>0</v>
      </c>
      <c r="Y34" s="379">
        <f>IF('General Data'!$E$11&gt;=3, 'Children YEAR3'!K444, 0)</f>
        <v>0</v>
      </c>
      <c r="Z34" s="379">
        <f>IF('General Data'!$E$11&gt;=3, 'Children YEAR3'!L444, 0)</f>
        <v>0</v>
      </c>
      <c r="AA34" s="380">
        <f t="shared" ref="AA34:AA58" ca="1" si="16">Z34*$H34</f>
        <v>0</v>
      </c>
      <c r="AB34" s="378">
        <f>IF('General Data'!$E$11&gt;=4, 'Children YEAR4'!J444, 0)</f>
        <v>0</v>
      </c>
      <c r="AC34" s="379">
        <f>IF('General Data'!$E$11&gt;=4, 'Children YEAR4'!K444, 0)</f>
        <v>0</v>
      </c>
      <c r="AD34" s="379">
        <f>IF('General Data'!$E$11&gt;=4, 'Children YEAR4'!L444, 0)</f>
        <v>0</v>
      </c>
      <c r="AE34" s="380">
        <f t="shared" ref="AE34:AE58" ca="1" si="17">AD34*$H34</f>
        <v>0</v>
      </c>
      <c r="AF34" s="378">
        <f>IF('General Data'!$E$11&gt;=5, 'Children YEAR5'!J444, 0)</f>
        <v>0</v>
      </c>
      <c r="AG34" s="379">
        <f>IF('General Data'!$E$11&gt;=5, 'Children YEAR5'!K444, 0)</f>
        <v>0</v>
      </c>
      <c r="AH34" s="379">
        <f>IF('General Data'!$E$11&gt;=5, 'Children YEAR5'!L444, 0)</f>
        <v>0</v>
      </c>
      <c r="AI34" s="380">
        <f t="shared" ref="AI34:AI58" ca="1" si="18">AH34*$H34</f>
        <v>0</v>
      </c>
      <c r="AJ34" s="861">
        <f t="shared" ref="AJ34:AJ59" ca="1" si="19">AI34+AE34+AA34+P34+L34</f>
        <v>0</v>
      </c>
    </row>
    <row r="35" spans="2:36" ht="38.25" x14ac:dyDescent="0.2">
      <c r="B35" s="413" t="s">
        <v>386</v>
      </c>
      <c r="C35" s="414" t="str">
        <f>'Available Stocks'!F14</f>
        <v>Cp</v>
      </c>
      <c r="D35" s="414" t="str">
        <f>'Available Stocks'!G14</f>
        <v>60/30/50 mg</v>
      </c>
      <c r="E35" s="613" t="str">
        <f>'Available Stocks'!$H14</f>
        <v>Zidovudine + Lamivudine + Névirapine</v>
      </c>
      <c r="F35" s="859">
        <f>'Available Stocks'!K14</f>
        <v>60</v>
      </c>
      <c r="G35" s="416"/>
      <c r="H35" s="856">
        <f ca="1">'Global Synthesis'!H12</f>
        <v>4.1500000000000004</v>
      </c>
      <c r="I35" s="386">
        <f>IF('General Data'!$E$11&gt;=1, 'Children YEAR1'!J445, 0)</f>
        <v>12736.238400000002</v>
      </c>
      <c r="J35" s="387">
        <f>IF('General Data'!$E$11&gt;=1, 'Children YEAR1'!K445, 0)</f>
        <v>3184.0595999999987</v>
      </c>
      <c r="K35" s="387">
        <f>IF('General Data'!$E$11&gt;=1, 'Children YEAR1'!L445, 0)</f>
        <v>15920.298000000001</v>
      </c>
      <c r="L35" s="857">
        <f t="shared" ca="1" si="13"/>
        <v>66069.236700000009</v>
      </c>
      <c r="M35" s="386">
        <f>IF('General Data'!$E$11&gt;=2, 'Children YEAR2'!J445, 0)</f>
        <v>0</v>
      </c>
      <c r="N35" s="387">
        <f>IF('General Data'!$E$11&gt;=2, 'Children YEAR2'!K445, 0)</f>
        <v>0</v>
      </c>
      <c r="O35" s="387">
        <f>IF('General Data'!$E$11&gt;=2, 'Children YEAR2'!L445, 0)</f>
        <v>0</v>
      </c>
      <c r="P35" s="857">
        <f t="shared" ca="1" si="14"/>
        <v>0</v>
      </c>
      <c r="Q35" s="413" t="str">
        <f t="shared" ref="Q35:Q58" si="20">B35</f>
        <v>AZT+3TC+NVP baby</v>
      </c>
      <c r="R35" s="414" t="str">
        <f t="shared" ref="R35:R58" si="21">C35</f>
        <v>Cp</v>
      </c>
      <c r="S35" s="414" t="str">
        <f t="shared" ref="S35:S58" si="22">D35</f>
        <v>60/30/50 mg</v>
      </c>
      <c r="T35" s="382" t="str">
        <f t="shared" ref="T35:T58" si="23">E35</f>
        <v>Zidovudine + Lamivudine + Névirapine</v>
      </c>
      <c r="U35" s="415">
        <f t="shared" ref="U35:U58" si="24">F35</f>
        <v>60</v>
      </c>
      <c r="V35" s="416">
        <f t="shared" ref="V35:V58" si="25">G35</f>
        <v>0</v>
      </c>
      <c r="W35" s="856">
        <f t="shared" ref="W35:W58" ca="1" si="26">H35</f>
        <v>4.1500000000000004</v>
      </c>
      <c r="X35" s="386">
        <f>IF('General Data'!$E$11&gt;=3, 'Children YEAR3'!J445, 0)</f>
        <v>0</v>
      </c>
      <c r="Y35" s="387">
        <f>IF('General Data'!$E$11&gt;=3, 'Children YEAR3'!K445, 0)</f>
        <v>0</v>
      </c>
      <c r="Z35" s="387">
        <f>IF('General Data'!$E$11&gt;=3, 'Children YEAR3'!L445, 0)</f>
        <v>0</v>
      </c>
      <c r="AA35" s="857">
        <f t="shared" ca="1" si="16"/>
        <v>0</v>
      </c>
      <c r="AB35" s="386">
        <f>IF('General Data'!$E$11&gt;=4, 'Children YEAR4'!J445, 0)</f>
        <v>0</v>
      </c>
      <c r="AC35" s="387">
        <f>IF('General Data'!$E$11&gt;=4, 'Children YEAR4'!K445, 0)</f>
        <v>0</v>
      </c>
      <c r="AD35" s="387">
        <f>IF('General Data'!$E$11&gt;=4, 'Children YEAR4'!L445, 0)</f>
        <v>0</v>
      </c>
      <c r="AE35" s="857">
        <f t="shared" ca="1" si="17"/>
        <v>0</v>
      </c>
      <c r="AF35" s="386">
        <f>IF('General Data'!$E$11&gt;=5, 'Children YEAR5'!J445, 0)</f>
        <v>0</v>
      </c>
      <c r="AG35" s="387">
        <f>IF('General Data'!$E$11&gt;=5, 'Children YEAR5'!K445, 0)</f>
        <v>0</v>
      </c>
      <c r="AH35" s="387">
        <f>IF('General Data'!$E$11&gt;=5, 'Children YEAR5'!L445, 0)</f>
        <v>0</v>
      </c>
      <c r="AI35" s="857">
        <f t="shared" ca="1" si="18"/>
        <v>0</v>
      </c>
      <c r="AJ35" s="862">
        <f t="shared" ca="1" si="19"/>
        <v>66069.236700000009</v>
      </c>
    </row>
    <row r="36" spans="2:36" ht="25.5" x14ac:dyDescent="0.2">
      <c r="B36" s="413" t="s">
        <v>11</v>
      </c>
      <c r="C36" s="414" t="str">
        <f>'Available Stocks'!F18</f>
        <v>Cp</v>
      </c>
      <c r="D36" s="414" t="str">
        <f>'Available Stocks'!G18</f>
        <v>300/150 mg</v>
      </c>
      <c r="E36" s="613" t="str">
        <f>'Available Stocks'!$H18</f>
        <v>Zidovudine + Lamivudine</v>
      </c>
      <c r="F36" s="859">
        <f>'Available Stocks'!K18</f>
        <v>60</v>
      </c>
      <c r="G36" s="416"/>
      <c r="H36" s="417">
        <f ca="1">'Global Synthesis'!H16</f>
        <v>7.65</v>
      </c>
      <c r="I36" s="386">
        <f>IF('General Data'!$E$11&gt;=1, 'Children YEAR1'!J446, 0)</f>
        <v>0</v>
      </c>
      <c r="J36" s="387">
        <f>IF('General Data'!$E$11&gt;=1, 'Children YEAR1'!K446, 0)</f>
        <v>0</v>
      </c>
      <c r="K36" s="387">
        <f>IF('General Data'!$E$11&gt;=1, 'Children YEAR1'!L446, 0)</f>
        <v>0</v>
      </c>
      <c r="L36" s="388">
        <f t="shared" ca="1" si="13"/>
        <v>0</v>
      </c>
      <c r="M36" s="386">
        <f>IF('General Data'!$E$11&gt;=2, 'Children YEAR2'!J446, 0)</f>
        <v>0</v>
      </c>
      <c r="N36" s="387">
        <f>IF('General Data'!$E$11&gt;=2, 'Children YEAR2'!K446, 0)</f>
        <v>0</v>
      </c>
      <c r="O36" s="387">
        <f>IF('General Data'!$E$11&gt;=2, 'Children YEAR2'!L446, 0)</f>
        <v>0</v>
      </c>
      <c r="P36" s="388">
        <f t="shared" ca="1" si="14"/>
        <v>0</v>
      </c>
      <c r="Q36" s="413" t="str">
        <f t="shared" si="20"/>
        <v>AZT+3TC</v>
      </c>
      <c r="R36" s="414" t="str">
        <f t="shared" si="21"/>
        <v>Cp</v>
      </c>
      <c r="S36" s="414" t="str">
        <f t="shared" si="22"/>
        <v>300/150 mg</v>
      </c>
      <c r="T36" s="382" t="str">
        <f t="shared" si="23"/>
        <v>Zidovudine + Lamivudine</v>
      </c>
      <c r="U36" s="415">
        <f t="shared" si="24"/>
        <v>60</v>
      </c>
      <c r="V36" s="416">
        <f t="shared" si="25"/>
        <v>0</v>
      </c>
      <c r="W36" s="417">
        <f t="shared" ca="1" si="26"/>
        <v>7.65</v>
      </c>
      <c r="X36" s="386">
        <f>IF('General Data'!$E$11&gt;=3, 'Children YEAR3'!J446, 0)</f>
        <v>0</v>
      </c>
      <c r="Y36" s="387">
        <f>IF('General Data'!$E$11&gt;=3, 'Children YEAR3'!K446, 0)</f>
        <v>0</v>
      </c>
      <c r="Z36" s="387">
        <f>IF('General Data'!$E$11&gt;=3, 'Children YEAR3'!L446, 0)</f>
        <v>0</v>
      </c>
      <c r="AA36" s="388">
        <f t="shared" ca="1" si="16"/>
        <v>0</v>
      </c>
      <c r="AB36" s="386">
        <f>IF('General Data'!$E$11&gt;=4, 'Children YEAR4'!J446, 0)</f>
        <v>0</v>
      </c>
      <c r="AC36" s="387">
        <f>IF('General Data'!$E$11&gt;=4, 'Children YEAR4'!K446, 0)</f>
        <v>0</v>
      </c>
      <c r="AD36" s="387">
        <f>IF('General Data'!$E$11&gt;=4, 'Children YEAR4'!L446, 0)</f>
        <v>0</v>
      </c>
      <c r="AE36" s="388">
        <f t="shared" ca="1" si="17"/>
        <v>0</v>
      </c>
      <c r="AF36" s="386">
        <f>IF('General Data'!$E$11&gt;=5, 'Children YEAR5'!J446, 0)</f>
        <v>0</v>
      </c>
      <c r="AG36" s="387">
        <f>IF('General Data'!$E$11&gt;=5, 'Children YEAR5'!K446, 0)</f>
        <v>0</v>
      </c>
      <c r="AH36" s="387">
        <f>IF('General Data'!$E$11&gt;=5, 'Children YEAR5'!L446, 0)</f>
        <v>0</v>
      </c>
      <c r="AI36" s="388">
        <f t="shared" ca="1" si="18"/>
        <v>0</v>
      </c>
      <c r="AJ36" s="863">
        <f t="shared" ca="1" si="19"/>
        <v>0</v>
      </c>
    </row>
    <row r="37" spans="2:36" ht="25.5" x14ac:dyDescent="0.2">
      <c r="B37" s="413" t="s">
        <v>387</v>
      </c>
      <c r="C37" s="414" t="str">
        <f>'Available Stocks'!F19</f>
        <v>Cp</v>
      </c>
      <c r="D37" s="414" t="str">
        <f>'Available Stocks'!G19</f>
        <v>60/30 mg</v>
      </c>
      <c r="E37" s="613" t="str">
        <f>'Available Stocks'!$H19</f>
        <v>Zidovudine + Lamivudine</v>
      </c>
      <c r="F37" s="859">
        <f>'Available Stocks'!K19</f>
        <v>60</v>
      </c>
      <c r="G37" s="416"/>
      <c r="H37" s="856">
        <f ca="1">'Global Synthesis'!H17</f>
        <v>2.69</v>
      </c>
      <c r="I37" s="386">
        <f>IF('General Data'!$E$11&gt;=1, 'Children YEAR1'!J447, 0)</f>
        <v>3901.0999080000001</v>
      </c>
      <c r="J37" s="387">
        <f>IF('General Data'!$E$11&gt;=1, 'Children YEAR1'!K447, 0)</f>
        <v>1881.9945120000002</v>
      </c>
      <c r="K37" s="387">
        <f>IF('General Data'!$E$11&gt;=1, 'Children YEAR1'!L447, 0)</f>
        <v>5783.0944200000004</v>
      </c>
      <c r="L37" s="388">
        <f t="shared" ca="1" si="13"/>
        <v>15556.5239898</v>
      </c>
      <c r="M37" s="386">
        <f>IF('General Data'!$E$11&gt;=2, 'Children YEAR2'!J447, 0)</f>
        <v>0</v>
      </c>
      <c r="N37" s="387">
        <f>IF('General Data'!$E$11&gt;=2, 'Children YEAR2'!K447, 0)</f>
        <v>0</v>
      </c>
      <c r="O37" s="387">
        <f>IF('General Data'!$E$11&gt;=2, 'Children YEAR2'!L447, 0)</f>
        <v>0</v>
      </c>
      <c r="P37" s="388">
        <f t="shared" ca="1" si="14"/>
        <v>0</v>
      </c>
      <c r="Q37" s="413" t="str">
        <f t="shared" si="20"/>
        <v>AZT+3TC baby</v>
      </c>
      <c r="R37" s="414" t="str">
        <f t="shared" si="21"/>
        <v>Cp</v>
      </c>
      <c r="S37" s="414" t="str">
        <f t="shared" si="22"/>
        <v>60/30 mg</v>
      </c>
      <c r="T37" s="382" t="str">
        <f t="shared" si="23"/>
        <v>Zidovudine + Lamivudine</v>
      </c>
      <c r="U37" s="415">
        <f t="shared" si="24"/>
        <v>60</v>
      </c>
      <c r="V37" s="416">
        <f t="shared" si="25"/>
        <v>0</v>
      </c>
      <c r="W37" s="417">
        <f t="shared" ca="1" si="26"/>
        <v>2.69</v>
      </c>
      <c r="X37" s="386">
        <f>IF('General Data'!$E$11&gt;=3, 'Children YEAR3'!J447, 0)</f>
        <v>0</v>
      </c>
      <c r="Y37" s="387">
        <f>IF('General Data'!$E$11&gt;=3, 'Children YEAR3'!K447, 0)</f>
        <v>0</v>
      </c>
      <c r="Z37" s="387">
        <f>IF('General Data'!$E$11&gt;=3, 'Children YEAR3'!L447, 0)</f>
        <v>0</v>
      </c>
      <c r="AA37" s="388">
        <f t="shared" ca="1" si="16"/>
        <v>0</v>
      </c>
      <c r="AB37" s="386">
        <f>IF('General Data'!$E$11&gt;=4, 'Children YEAR4'!J447, 0)</f>
        <v>0</v>
      </c>
      <c r="AC37" s="387">
        <f>IF('General Data'!$E$11&gt;=4, 'Children YEAR4'!K447, 0)</f>
        <v>0</v>
      </c>
      <c r="AD37" s="387">
        <f>IF('General Data'!$E$11&gt;=4, 'Children YEAR4'!L447, 0)</f>
        <v>0</v>
      </c>
      <c r="AE37" s="388">
        <f t="shared" ca="1" si="17"/>
        <v>0</v>
      </c>
      <c r="AF37" s="386">
        <f>IF('General Data'!$E$11&gt;=5, 'Children YEAR5'!J447, 0)</f>
        <v>0</v>
      </c>
      <c r="AG37" s="387">
        <f>IF('General Data'!$E$11&gt;=5, 'Children YEAR5'!K447, 0)</f>
        <v>0</v>
      </c>
      <c r="AH37" s="387">
        <f>IF('General Data'!$E$11&gt;=5, 'Children YEAR5'!L447, 0)</f>
        <v>0</v>
      </c>
      <c r="AI37" s="388">
        <f t="shared" ca="1" si="18"/>
        <v>0</v>
      </c>
      <c r="AJ37" s="863">
        <f t="shared" ca="1" si="19"/>
        <v>15556.5239898</v>
      </c>
    </row>
    <row r="38" spans="2:36" ht="38.25" x14ac:dyDescent="0.2">
      <c r="B38" s="418" t="s">
        <v>50</v>
      </c>
      <c r="C38" s="419" t="str">
        <f>'Available Stocks'!F22</f>
        <v>Cp</v>
      </c>
      <c r="D38" s="419" t="str">
        <f>'Available Stocks'!G22</f>
        <v>30/150/200 mg</v>
      </c>
      <c r="E38" s="616" t="str">
        <f>'Available Stocks'!$H22</f>
        <v>Stavudine + Lamivudine + Névirapine</v>
      </c>
      <c r="F38" s="859">
        <f>'Available Stocks'!K22</f>
        <v>60</v>
      </c>
      <c r="G38" s="421"/>
      <c r="H38" s="417">
        <f ca="1">'Global Synthesis'!H18</f>
        <v>4.57</v>
      </c>
      <c r="I38" s="394">
        <f>IF('General Data'!$E$11&gt;=1, 'Children YEAR1'!J448, 0)</f>
        <v>0</v>
      </c>
      <c r="J38" s="395">
        <f>IF('General Data'!$E$11&gt;=1, 'Children YEAR1'!K448, 0)</f>
        <v>0</v>
      </c>
      <c r="K38" s="395">
        <f>IF('General Data'!$E$11&gt;=1, 'Children YEAR1'!L448, 0)</f>
        <v>0</v>
      </c>
      <c r="L38" s="388">
        <f t="shared" ca="1" si="13"/>
        <v>0</v>
      </c>
      <c r="M38" s="394">
        <f>IF('General Data'!$E$11&gt;=2, 'Children YEAR2'!J448, 0)</f>
        <v>0</v>
      </c>
      <c r="N38" s="395">
        <f>IF('General Data'!$E$11&gt;=2, 'Children YEAR2'!K448, 0)</f>
        <v>0</v>
      </c>
      <c r="O38" s="395">
        <f>IF('General Data'!$E$11&gt;=2, 'Children YEAR2'!L448, 0)</f>
        <v>0</v>
      </c>
      <c r="P38" s="388">
        <f t="shared" ca="1" si="14"/>
        <v>0</v>
      </c>
      <c r="Q38" s="418" t="str">
        <f t="shared" si="20"/>
        <v>D4T+3TC+NVP</v>
      </c>
      <c r="R38" s="419" t="str">
        <f t="shared" si="21"/>
        <v>Cp</v>
      </c>
      <c r="S38" s="419" t="str">
        <f t="shared" si="22"/>
        <v>30/150/200 mg</v>
      </c>
      <c r="T38" s="391" t="str">
        <f t="shared" si="23"/>
        <v>Stavudine + Lamivudine + Névirapine</v>
      </c>
      <c r="U38" s="420">
        <f t="shared" si="24"/>
        <v>60</v>
      </c>
      <c r="V38" s="421">
        <f t="shared" si="25"/>
        <v>0</v>
      </c>
      <c r="W38" s="417">
        <f t="shared" ca="1" si="26"/>
        <v>4.57</v>
      </c>
      <c r="X38" s="394">
        <f>IF('General Data'!$E$11&gt;=3, 'Children YEAR3'!J448, 0)</f>
        <v>0</v>
      </c>
      <c r="Y38" s="395">
        <f>IF('General Data'!$E$11&gt;=3, 'Children YEAR3'!K448, 0)</f>
        <v>0</v>
      </c>
      <c r="Z38" s="395">
        <f>IF('General Data'!$E$11&gt;=3, 'Children YEAR3'!L448, 0)</f>
        <v>0</v>
      </c>
      <c r="AA38" s="388">
        <f t="shared" ca="1" si="16"/>
        <v>0</v>
      </c>
      <c r="AB38" s="394">
        <f>IF('General Data'!$E$11&gt;=4, 'Children YEAR4'!J448, 0)</f>
        <v>0</v>
      </c>
      <c r="AC38" s="395">
        <f>IF('General Data'!$E$11&gt;=4, 'Children YEAR4'!K448, 0)</f>
        <v>0</v>
      </c>
      <c r="AD38" s="395">
        <f>IF('General Data'!$E$11&gt;=4, 'Children YEAR4'!L448, 0)</f>
        <v>0</v>
      </c>
      <c r="AE38" s="388">
        <f t="shared" ca="1" si="17"/>
        <v>0</v>
      </c>
      <c r="AF38" s="394">
        <f>IF('General Data'!$E$11&gt;=5, 'Children YEAR5'!J448, 0)</f>
        <v>0</v>
      </c>
      <c r="AG38" s="395">
        <f>IF('General Data'!$E$11&gt;=5, 'Children YEAR5'!K448, 0)</f>
        <v>0</v>
      </c>
      <c r="AH38" s="395">
        <f>IF('General Data'!$E$11&gt;=5, 'Children YEAR5'!L448, 0)</f>
        <v>0</v>
      </c>
      <c r="AI38" s="388">
        <f t="shared" ca="1" si="18"/>
        <v>0</v>
      </c>
      <c r="AJ38" s="863">
        <f t="shared" ca="1" si="19"/>
        <v>0</v>
      </c>
    </row>
    <row r="39" spans="2:36" ht="38.25" x14ac:dyDescent="0.2">
      <c r="B39" s="418" t="s">
        <v>392</v>
      </c>
      <c r="C39" s="419" t="str">
        <f>'Available Stocks'!F23</f>
        <v>Cp</v>
      </c>
      <c r="D39" s="419" t="str">
        <f>'Available Stocks'!G23</f>
        <v>6/30/50 mg</v>
      </c>
      <c r="E39" s="616" t="str">
        <f>'Available Stocks'!$H23</f>
        <v>Stavudine + Lamivudine + Névirapine</v>
      </c>
      <c r="F39" s="859">
        <f>'Available Stocks'!K23</f>
        <v>60</v>
      </c>
      <c r="G39" s="421"/>
      <c r="H39" s="417">
        <f ca="1">'Global Synthesis'!H19</f>
        <v>2.2999999999999998</v>
      </c>
      <c r="I39" s="394">
        <f>IF('General Data'!$E$11&gt;=1, 'Children YEAR1'!J449, 0)</f>
        <v>0</v>
      </c>
      <c r="J39" s="395">
        <f>IF('General Data'!$E$11&gt;=1, 'Children YEAR1'!K449, 0)</f>
        <v>0</v>
      </c>
      <c r="K39" s="395">
        <f>IF('General Data'!$E$11&gt;=1, 'Children YEAR1'!L449, 0)</f>
        <v>0</v>
      </c>
      <c r="L39" s="388">
        <f t="shared" ca="1" si="13"/>
        <v>0</v>
      </c>
      <c r="M39" s="394">
        <f>IF('General Data'!$E$11&gt;=2, 'Children YEAR2'!J449, 0)</f>
        <v>0</v>
      </c>
      <c r="N39" s="395">
        <f>IF('General Data'!$E$11&gt;=2, 'Children YEAR2'!K449, 0)</f>
        <v>0</v>
      </c>
      <c r="O39" s="395">
        <f>IF('General Data'!$E$11&gt;=2, 'Children YEAR2'!L449, 0)</f>
        <v>0</v>
      </c>
      <c r="P39" s="388">
        <f t="shared" ca="1" si="14"/>
        <v>0</v>
      </c>
      <c r="Q39" s="418" t="str">
        <f t="shared" si="20"/>
        <v>D4T+3TC+NVP baby</v>
      </c>
      <c r="R39" s="419" t="str">
        <f t="shared" si="21"/>
        <v>Cp</v>
      </c>
      <c r="S39" s="419" t="str">
        <f t="shared" si="22"/>
        <v>6/30/50 mg</v>
      </c>
      <c r="T39" s="391" t="str">
        <f t="shared" si="23"/>
        <v>Stavudine + Lamivudine + Névirapine</v>
      </c>
      <c r="U39" s="420">
        <f t="shared" si="24"/>
        <v>60</v>
      </c>
      <c r="V39" s="421">
        <f t="shared" si="25"/>
        <v>0</v>
      </c>
      <c r="W39" s="417">
        <f t="shared" ca="1" si="26"/>
        <v>2.2999999999999998</v>
      </c>
      <c r="X39" s="394">
        <f>IF('General Data'!$E$11&gt;=3, 'Children YEAR3'!J449, 0)</f>
        <v>0</v>
      </c>
      <c r="Y39" s="395">
        <f>IF('General Data'!$E$11&gt;=3, 'Children YEAR3'!K449, 0)</f>
        <v>0</v>
      </c>
      <c r="Z39" s="395">
        <f>IF('General Data'!$E$11&gt;=3, 'Children YEAR3'!L449, 0)</f>
        <v>0</v>
      </c>
      <c r="AA39" s="388">
        <f t="shared" ca="1" si="16"/>
        <v>0</v>
      </c>
      <c r="AB39" s="394">
        <f>IF('General Data'!$E$11&gt;=4, 'Children YEAR4'!J449, 0)</f>
        <v>0</v>
      </c>
      <c r="AC39" s="395">
        <f>IF('General Data'!$E$11&gt;=4, 'Children YEAR4'!K449, 0)</f>
        <v>0</v>
      </c>
      <c r="AD39" s="395">
        <f>IF('General Data'!$E$11&gt;=4, 'Children YEAR4'!L449, 0)</f>
        <v>0</v>
      </c>
      <c r="AE39" s="388">
        <f t="shared" ca="1" si="17"/>
        <v>0</v>
      </c>
      <c r="AF39" s="394">
        <f>IF('General Data'!$E$11&gt;=5, 'Children YEAR5'!J449, 0)</f>
        <v>0</v>
      </c>
      <c r="AG39" s="395">
        <f>IF('General Data'!$E$11&gt;=5, 'Children YEAR5'!K449, 0)</f>
        <v>0</v>
      </c>
      <c r="AH39" s="395">
        <f>IF('General Data'!$E$11&gt;=5, 'Children YEAR5'!L449, 0)</f>
        <v>0</v>
      </c>
      <c r="AI39" s="388">
        <f t="shared" ca="1" si="18"/>
        <v>0</v>
      </c>
      <c r="AJ39" s="863">
        <f t="shared" ca="1" si="19"/>
        <v>0</v>
      </c>
    </row>
    <row r="40" spans="2:36" ht="25.5" x14ac:dyDescent="0.2">
      <c r="B40" s="418" t="s">
        <v>735</v>
      </c>
      <c r="C40" s="419" t="str">
        <f>'Available Stocks'!F25</f>
        <v>Cp</v>
      </c>
      <c r="D40" s="419" t="str">
        <f>'Available Stocks'!G25</f>
        <v>6/30 mg</v>
      </c>
      <c r="E40" s="616" t="str">
        <f>'Available Stocks'!$H24</f>
        <v>Stavudine + Lamivudine</v>
      </c>
      <c r="F40" s="859">
        <f>'Available Stocks'!K25</f>
        <v>60</v>
      </c>
      <c r="G40" s="421"/>
      <c r="H40" s="417">
        <f ca="1">'Global Synthesis'!H21</f>
        <v>1.8999999999999997</v>
      </c>
      <c r="I40" s="394">
        <f>IF('General Data'!$E$11&gt;=1, 'Children YEAR1'!J450, 0)</f>
        <v>0</v>
      </c>
      <c r="J40" s="395">
        <f>IF('General Data'!$E$11&gt;=1, 'Children YEAR1'!K450, 0)</f>
        <v>0</v>
      </c>
      <c r="K40" s="395">
        <f>IF('General Data'!$E$11&gt;=1, 'Children YEAR1'!L450, 0)</f>
        <v>0</v>
      </c>
      <c r="L40" s="388">
        <f t="shared" ref="L40" ca="1" si="27">K40*$H40</f>
        <v>0</v>
      </c>
      <c r="M40" s="394">
        <f>IF('General Data'!$E$11&gt;=2, 'Children YEAR2'!J450, 0)</f>
        <v>0</v>
      </c>
      <c r="N40" s="395">
        <f>IF('General Data'!$E$11&gt;=2, 'Children YEAR2'!K450, 0)</f>
        <v>0</v>
      </c>
      <c r="O40" s="395">
        <f>IF('General Data'!$E$11&gt;=2, 'Children YEAR2'!L450, 0)</f>
        <v>0</v>
      </c>
      <c r="P40" s="388">
        <f t="shared" ref="P40" ca="1" si="28">O40*$H40</f>
        <v>0</v>
      </c>
      <c r="Q40" s="418" t="str">
        <f t="shared" si="20"/>
        <v>D4T+3TC baby</v>
      </c>
      <c r="R40" s="419" t="str">
        <f t="shared" si="21"/>
        <v>Cp</v>
      </c>
      <c r="S40" s="419" t="str">
        <f t="shared" ref="S40" si="29">D40</f>
        <v>6/30 mg</v>
      </c>
      <c r="T40" s="391" t="str">
        <f t="shared" ref="T40" si="30">E40</f>
        <v>Stavudine + Lamivudine</v>
      </c>
      <c r="U40" s="420">
        <f t="shared" ref="U40" si="31">F40</f>
        <v>60</v>
      </c>
      <c r="V40" s="421">
        <f t="shared" ref="V40" si="32">G40</f>
        <v>0</v>
      </c>
      <c r="W40" s="417">
        <f t="shared" ref="W40" ca="1" si="33">H40</f>
        <v>1.8999999999999997</v>
      </c>
      <c r="X40" s="394">
        <f>IF('General Data'!$E$11&gt;=3, 'Children YEAR3'!J450, 0)</f>
        <v>0</v>
      </c>
      <c r="Y40" s="395">
        <f>IF('General Data'!$E$11&gt;=3, 'Children YEAR3'!K450, 0)</f>
        <v>0</v>
      </c>
      <c r="Z40" s="395">
        <f>IF('General Data'!$E$11&gt;=3, 'Children YEAR3'!L450, 0)</f>
        <v>0</v>
      </c>
      <c r="AA40" s="388">
        <f t="shared" ref="AA40" ca="1" si="34">Z40*$H40</f>
        <v>0</v>
      </c>
      <c r="AB40" s="394">
        <f>IF('General Data'!$E$11&gt;=4, 'Children YEAR4'!J450, 0)</f>
        <v>0</v>
      </c>
      <c r="AC40" s="395">
        <f>IF('General Data'!$E$11&gt;=4, 'Children YEAR4'!K450, 0)</f>
        <v>0</v>
      </c>
      <c r="AD40" s="395">
        <f>IF('General Data'!$E$11&gt;=4, 'Children YEAR4'!L450, 0)</f>
        <v>0</v>
      </c>
      <c r="AE40" s="388">
        <f t="shared" ref="AE40" ca="1" si="35">AD40*$H40</f>
        <v>0</v>
      </c>
      <c r="AF40" s="394">
        <f>IF('General Data'!$E$11&gt;=5, 'Children YEAR5'!J450, 0)</f>
        <v>0</v>
      </c>
      <c r="AG40" s="395">
        <f>IF('General Data'!$E$11&gt;=5, 'Children YEAR5'!K450, 0)</f>
        <v>0</v>
      </c>
      <c r="AH40" s="395">
        <f>IF('General Data'!$E$11&gt;=5, 'Children YEAR5'!L450, 0)</f>
        <v>0</v>
      </c>
      <c r="AI40" s="388">
        <f t="shared" ref="AI40" ca="1" si="36">AH40*$H40</f>
        <v>0</v>
      </c>
      <c r="AJ40" s="863">
        <f t="shared" ca="1" si="19"/>
        <v>0</v>
      </c>
    </row>
    <row r="41" spans="2:36" ht="38.25" x14ac:dyDescent="0.2">
      <c r="B41" s="418" t="s">
        <v>140</v>
      </c>
      <c r="C41" s="419" t="str">
        <f>'Available Stocks'!F15</f>
        <v>Cp</v>
      </c>
      <c r="D41" s="419" t="str">
        <f>'Available Stocks'!G15</f>
        <v>300/150/300 mg</v>
      </c>
      <c r="E41" s="616" t="str">
        <f>'Available Stocks'!H15</f>
        <v>Zidovudine + Lamivudine + Abacavir</v>
      </c>
      <c r="F41" s="859">
        <f>'Available Stocks'!K15</f>
        <v>60</v>
      </c>
      <c r="G41" s="421"/>
      <c r="H41" s="417">
        <f ca="1">'Global Synthesis'!H13</f>
        <v>28</v>
      </c>
      <c r="I41" s="394">
        <f>IF('General Data'!$E$11&gt;=1, 'Children YEAR1'!J451, 0)</f>
        <v>0</v>
      </c>
      <c r="J41" s="395">
        <f>IF('General Data'!$E$11&gt;=1, 'Children YEAR1'!K451, 0)</f>
        <v>0</v>
      </c>
      <c r="K41" s="395">
        <f>IF('General Data'!$E$11&gt;=1, 'Children YEAR1'!L451, 0)</f>
        <v>0</v>
      </c>
      <c r="L41" s="388">
        <f t="shared" ca="1" si="13"/>
        <v>0</v>
      </c>
      <c r="M41" s="394">
        <f>IF('General Data'!$E$11&gt;=2, 'Children YEAR2'!J451, 0)</f>
        <v>0</v>
      </c>
      <c r="N41" s="395">
        <f>IF('General Data'!$E$11&gt;=2, 'Children YEAR2'!K451, 0)</f>
        <v>0</v>
      </c>
      <c r="O41" s="395">
        <f>IF('General Data'!$E$11&gt;=2, 'Children YEAR2'!L451, 0)</f>
        <v>0</v>
      </c>
      <c r="P41" s="388">
        <f t="shared" ca="1" si="14"/>
        <v>0</v>
      </c>
      <c r="Q41" s="418" t="str">
        <f t="shared" si="20"/>
        <v>AZT+3TC+ABC</v>
      </c>
      <c r="R41" s="419" t="str">
        <f t="shared" si="21"/>
        <v>Cp</v>
      </c>
      <c r="S41" s="419" t="str">
        <f t="shared" si="22"/>
        <v>300/150/300 mg</v>
      </c>
      <c r="T41" s="391" t="str">
        <f t="shared" si="23"/>
        <v>Zidovudine + Lamivudine + Abacavir</v>
      </c>
      <c r="U41" s="420">
        <f t="shared" si="24"/>
        <v>60</v>
      </c>
      <c r="V41" s="421">
        <f t="shared" si="25"/>
        <v>0</v>
      </c>
      <c r="W41" s="417">
        <f t="shared" ca="1" si="26"/>
        <v>28</v>
      </c>
      <c r="X41" s="394">
        <f>IF('General Data'!$E$11&gt;=3, 'Children YEAR3'!J451, 0)</f>
        <v>0</v>
      </c>
      <c r="Y41" s="395">
        <f>IF('General Data'!$E$11&gt;=3, 'Children YEAR3'!K451, 0)</f>
        <v>0</v>
      </c>
      <c r="Z41" s="395">
        <f>IF('General Data'!$E$11&gt;=3, 'Children YEAR3'!L451, 0)</f>
        <v>0</v>
      </c>
      <c r="AA41" s="388">
        <f t="shared" ca="1" si="16"/>
        <v>0</v>
      </c>
      <c r="AB41" s="394">
        <f>IF('General Data'!$E$11&gt;=4, 'Children YEAR4'!J451, 0)</f>
        <v>0</v>
      </c>
      <c r="AC41" s="395">
        <f>IF('General Data'!$E$11&gt;=4, 'Children YEAR4'!K451, 0)</f>
        <v>0</v>
      </c>
      <c r="AD41" s="395">
        <f>IF('General Data'!$E$11&gt;=4, 'Children YEAR4'!L451, 0)</f>
        <v>0</v>
      </c>
      <c r="AE41" s="388">
        <f t="shared" ca="1" si="17"/>
        <v>0</v>
      </c>
      <c r="AF41" s="394">
        <f>IF('General Data'!$E$11&gt;=5, 'Children YEAR5'!J451, 0)</f>
        <v>0</v>
      </c>
      <c r="AG41" s="395">
        <f>IF('General Data'!$E$11&gt;=5, 'Children YEAR5'!K451, 0)</f>
        <v>0</v>
      </c>
      <c r="AH41" s="395">
        <f>IF('General Data'!$E$11&gt;=5, 'Children YEAR5'!L451, 0)</f>
        <v>0</v>
      </c>
      <c r="AI41" s="388">
        <f t="shared" ca="1" si="18"/>
        <v>0</v>
      </c>
      <c r="AJ41" s="863">
        <f t="shared" ca="1" si="19"/>
        <v>0</v>
      </c>
    </row>
    <row r="42" spans="2:36" ht="38.25" x14ac:dyDescent="0.2">
      <c r="B42" s="418" t="s">
        <v>635</v>
      </c>
      <c r="C42" s="419" t="str">
        <f>'Available Stocks'!F16</f>
        <v>Cp</v>
      </c>
      <c r="D42" s="419" t="str">
        <f>'Available Stocks'!G16</f>
        <v>60/30/60 mg</v>
      </c>
      <c r="E42" s="616" t="str">
        <f>'Available Stocks'!H16</f>
        <v>Zidovudine + Lamivudine
 + Abacavir</v>
      </c>
      <c r="F42" s="859">
        <f>'Available Stocks'!K16</f>
        <v>60</v>
      </c>
      <c r="G42" s="421"/>
      <c r="H42" s="417">
        <f ca="1">'Global Synthesis'!H14</f>
        <v>0</v>
      </c>
      <c r="I42" s="394">
        <f>IF('General Data'!$E$11&gt;=1, 'Children YEAR1'!J452, 0)</f>
        <v>0</v>
      </c>
      <c r="J42" s="395">
        <f>IF('General Data'!$E$11&gt;=1, 'Children YEAR1'!K452, 0)</f>
        <v>0</v>
      </c>
      <c r="K42" s="395">
        <f>IF('General Data'!$E$11&gt;=1, 'Children YEAR1'!L452, 0)</f>
        <v>0</v>
      </c>
      <c r="L42" s="388">
        <f t="shared" ca="1" si="13"/>
        <v>0</v>
      </c>
      <c r="M42" s="394">
        <f>IF('General Data'!$E$11&gt;=2, 'Children YEAR2'!J452, 0)</f>
        <v>0</v>
      </c>
      <c r="N42" s="395">
        <f>IF('General Data'!$E$11&gt;=2, 'Children YEAR2'!K452, 0)</f>
        <v>0</v>
      </c>
      <c r="O42" s="395">
        <f>IF('General Data'!$E$11&gt;=2, 'Children YEAR2'!L452, 0)</f>
        <v>0</v>
      </c>
      <c r="P42" s="388">
        <f t="shared" ca="1" si="14"/>
        <v>0</v>
      </c>
      <c r="Q42" s="418" t="str">
        <f t="shared" si="20"/>
        <v>AZT+3TC+ABC baby</v>
      </c>
      <c r="R42" s="419" t="str">
        <f t="shared" si="21"/>
        <v>Cp</v>
      </c>
      <c r="S42" s="419" t="str">
        <f t="shared" si="22"/>
        <v>60/30/60 mg</v>
      </c>
      <c r="T42" s="391" t="str">
        <f t="shared" si="23"/>
        <v>Zidovudine + Lamivudine
 + Abacavir</v>
      </c>
      <c r="U42" s="420">
        <f t="shared" si="24"/>
        <v>60</v>
      </c>
      <c r="V42" s="421">
        <f t="shared" si="25"/>
        <v>0</v>
      </c>
      <c r="W42" s="417">
        <f t="shared" ca="1" si="26"/>
        <v>0</v>
      </c>
      <c r="X42" s="394">
        <f>IF('General Data'!$E$11&gt;=3, 'Children YEAR3'!J452, 0)</f>
        <v>0</v>
      </c>
      <c r="Y42" s="395">
        <f>IF('General Data'!$E$11&gt;=3, 'Children YEAR3'!K452, 0)</f>
        <v>0</v>
      </c>
      <c r="Z42" s="395">
        <f>IF('General Data'!$E$11&gt;=3, 'Children YEAR3'!L452, 0)</f>
        <v>0</v>
      </c>
      <c r="AA42" s="388">
        <f t="shared" ca="1" si="16"/>
        <v>0</v>
      </c>
      <c r="AB42" s="394">
        <f>IF('General Data'!$E$11&gt;=4, 'Children YEAR4'!J452, 0)</f>
        <v>0</v>
      </c>
      <c r="AC42" s="395">
        <f>IF('General Data'!$E$11&gt;=4, 'Children YEAR4'!K452, 0)</f>
        <v>0</v>
      </c>
      <c r="AD42" s="395">
        <f>IF('General Data'!$E$11&gt;=4, 'Children YEAR4'!L452, 0)</f>
        <v>0</v>
      </c>
      <c r="AE42" s="388">
        <f t="shared" ca="1" si="17"/>
        <v>0</v>
      </c>
      <c r="AF42" s="394">
        <f>IF('General Data'!$E$11&gt;=5, 'Children YEAR5'!J452, 0)</f>
        <v>0</v>
      </c>
      <c r="AG42" s="395">
        <f>IF('General Data'!$E$11&gt;=5, 'Children YEAR5'!K452, 0)</f>
        <v>0</v>
      </c>
      <c r="AH42" s="395">
        <f>IF('General Data'!$E$11&gt;=5, 'Children YEAR5'!L452, 0)</f>
        <v>0</v>
      </c>
      <c r="AI42" s="388">
        <f t="shared" ca="1" si="18"/>
        <v>0</v>
      </c>
      <c r="AJ42" s="863">
        <f t="shared" ca="1" si="19"/>
        <v>0</v>
      </c>
    </row>
    <row r="43" spans="2:36" ht="25.5" x14ac:dyDescent="0.2">
      <c r="B43" s="418" t="s">
        <v>586</v>
      </c>
      <c r="C43" s="419" t="str">
        <f>'Available Stocks'!F20</f>
        <v>Cp</v>
      </c>
      <c r="D43" s="419" t="str">
        <f>'Available Stocks'!G20</f>
        <v>300/600 mg</v>
      </c>
      <c r="E43" s="616" t="str">
        <f>'Available Stocks'!H20</f>
        <v>Lamivudine + Abacavir</v>
      </c>
      <c r="F43" s="859">
        <f>'Available Stocks'!K20</f>
        <v>30</v>
      </c>
      <c r="G43" s="421"/>
      <c r="H43" s="417">
        <f ca="1">'Global Synthesis'!H22</f>
        <v>17.82</v>
      </c>
      <c r="I43" s="394">
        <f>IF('General Data'!$E$11&gt;=1, 'Children YEAR1'!J453, 0)</f>
        <v>0</v>
      </c>
      <c r="J43" s="395">
        <f>IF('General Data'!$E$11&gt;=1, 'Children YEAR1'!K453, 0)</f>
        <v>0</v>
      </c>
      <c r="K43" s="395">
        <f>IF('General Data'!$E$11&gt;=1, 'Children YEAR1'!L453, 0)</f>
        <v>0</v>
      </c>
      <c r="L43" s="388">
        <f t="shared" ca="1" si="13"/>
        <v>0</v>
      </c>
      <c r="M43" s="394">
        <f>IF('General Data'!$E$11&gt;=2, 'Children YEAR2'!J453, 0)</f>
        <v>0</v>
      </c>
      <c r="N43" s="395">
        <f>IF('General Data'!$E$11&gt;=2, 'Children YEAR2'!K453, 0)</f>
        <v>0</v>
      </c>
      <c r="O43" s="395">
        <f>IF('General Data'!$E$11&gt;=2, 'Children YEAR2'!L453, 0)</f>
        <v>0</v>
      </c>
      <c r="P43" s="388">
        <f t="shared" ca="1" si="14"/>
        <v>0</v>
      </c>
      <c r="Q43" s="418" t="str">
        <f t="shared" si="20"/>
        <v>ABC+3TC</v>
      </c>
      <c r="R43" s="419" t="str">
        <f t="shared" si="21"/>
        <v>Cp</v>
      </c>
      <c r="S43" s="419" t="str">
        <f t="shared" si="22"/>
        <v>300/600 mg</v>
      </c>
      <c r="T43" s="391" t="str">
        <f t="shared" si="23"/>
        <v>Lamivudine + Abacavir</v>
      </c>
      <c r="U43" s="420">
        <f t="shared" si="24"/>
        <v>30</v>
      </c>
      <c r="V43" s="421">
        <f t="shared" si="25"/>
        <v>0</v>
      </c>
      <c r="W43" s="417">
        <f t="shared" ca="1" si="26"/>
        <v>17.82</v>
      </c>
      <c r="X43" s="394">
        <f>IF('General Data'!$E$11&gt;=3, 'Children YEAR3'!J453, 0)</f>
        <v>0</v>
      </c>
      <c r="Y43" s="395">
        <f>IF('General Data'!$E$11&gt;=3, 'Children YEAR3'!K453, 0)</f>
        <v>0</v>
      </c>
      <c r="Z43" s="395">
        <f>IF('General Data'!$E$11&gt;=3, 'Children YEAR3'!L453, 0)</f>
        <v>0</v>
      </c>
      <c r="AA43" s="388">
        <f t="shared" ca="1" si="16"/>
        <v>0</v>
      </c>
      <c r="AB43" s="394">
        <f>IF('General Data'!$E$11&gt;=4, 'Children YEAR4'!J453, 0)</f>
        <v>0</v>
      </c>
      <c r="AC43" s="395">
        <f>IF('General Data'!$E$11&gt;=4, 'Children YEAR4'!K453, 0)</f>
        <v>0</v>
      </c>
      <c r="AD43" s="395">
        <f>IF('General Data'!$E$11&gt;=4, 'Children YEAR4'!L453, 0)</f>
        <v>0</v>
      </c>
      <c r="AE43" s="388">
        <f t="shared" ca="1" si="17"/>
        <v>0</v>
      </c>
      <c r="AF43" s="394">
        <f>IF('General Data'!$E$11&gt;=5, 'Children YEAR5'!J453, 0)</f>
        <v>0</v>
      </c>
      <c r="AG43" s="395">
        <f>IF('General Data'!$E$11&gt;=5, 'Children YEAR5'!K453, 0)</f>
        <v>0</v>
      </c>
      <c r="AH43" s="395">
        <f>IF('General Data'!$E$11&gt;=5, 'Children YEAR5'!L453, 0)</f>
        <v>0</v>
      </c>
      <c r="AI43" s="388">
        <f t="shared" ca="1" si="18"/>
        <v>0</v>
      </c>
      <c r="AJ43" s="863">
        <f t="shared" ca="1" si="19"/>
        <v>0</v>
      </c>
    </row>
    <row r="44" spans="2:36" ht="25.5" x14ac:dyDescent="0.2">
      <c r="B44" s="418" t="s">
        <v>575</v>
      </c>
      <c r="C44" s="419" t="str">
        <f>'Available Stocks'!F16</f>
        <v>Cp</v>
      </c>
      <c r="D44" s="419" t="str">
        <f>'Available Stocks'!G16</f>
        <v>60/30/60 mg</v>
      </c>
      <c r="E44" s="616" t="str">
        <f>'Available Stocks'!H21</f>
        <v>Lamivudine + Abacavir</v>
      </c>
      <c r="F44" s="859">
        <f>'Available Stocks'!K21</f>
        <v>60</v>
      </c>
      <c r="G44" s="421"/>
      <c r="H44" s="417">
        <f ca="1">'Global Synthesis'!H23</f>
        <v>6.25</v>
      </c>
      <c r="I44" s="394">
        <f>IF('General Data'!$E$11&gt;=1, 'Children YEAR1'!J454, 0)</f>
        <v>375.86869200000001</v>
      </c>
      <c r="J44" s="395">
        <f>IF('General Data'!$E$11&gt;=1, 'Children YEAR1'!K454, 0)</f>
        <v>166.03138799999999</v>
      </c>
      <c r="K44" s="395">
        <f>IF('General Data'!$E$11&gt;=1, 'Children YEAR1'!L454, 0)</f>
        <v>541.90008</v>
      </c>
      <c r="L44" s="388">
        <f t="shared" ca="1" si="13"/>
        <v>3386.8755000000001</v>
      </c>
      <c r="M44" s="394">
        <f>IF('General Data'!$E$11&gt;=2, 'Children YEAR2'!J454, 0)</f>
        <v>0</v>
      </c>
      <c r="N44" s="395">
        <f>IF('General Data'!$E$11&gt;=2, 'Children YEAR2'!K454, 0)</f>
        <v>0</v>
      </c>
      <c r="O44" s="395">
        <f>IF('General Data'!$E$11&gt;=2, 'Children YEAR2'!L454, 0)</f>
        <v>0</v>
      </c>
      <c r="P44" s="388">
        <f t="shared" ca="1" si="14"/>
        <v>0</v>
      </c>
      <c r="Q44" s="418" t="str">
        <f t="shared" si="20"/>
        <v>ABC+3TC baby</v>
      </c>
      <c r="R44" s="419" t="str">
        <f t="shared" si="21"/>
        <v>Cp</v>
      </c>
      <c r="S44" s="419" t="str">
        <f t="shared" si="22"/>
        <v>60/30/60 mg</v>
      </c>
      <c r="T44" s="391" t="str">
        <f t="shared" si="23"/>
        <v>Lamivudine + Abacavir</v>
      </c>
      <c r="U44" s="420">
        <f t="shared" si="24"/>
        <v>60</v>
      </c>
      <c r="V44" s="421">
        <f t="shared" si="25"/>
        <v>0</v>
      </c>
      <c r="W44" s="417">
        <f t="shared" ca="1" si="26"/>
        <v>6.25</v>
      </c>
      <c r="X44" s="394">
        <f>IF('General Data'!$E$11&gt;=3, 'Children YEAR3'!J454, 0)</f>
        <v>0</v>
      </c>
      <c r="Y44" s="395">
        <f>IF('General Data'!$E$11&gt;=3, 'Children YEAR3'!K454, 0)</f>
        <v>0</v>
      </c>
      <c r="Z44" s="395">
        <f>IF('General Data'!$E$11&gt;=3, 'Children YEAR3'!L454, 0)</f>
        <v>0</v>
      </c>
      <c r="AA44" s="388">
        <f t="shared" ca="1" si="16"/>
        <v>0</v>
      </c>
      <c r="AB44" s="394">
        <f>IF('General Data'!$E$11&gt;=4, 'Children YEAR4'!J454, 0)</f>
        <v>0</v>
      </c>
      <c r="AC44" s="395">
        <f>IF('General Data'!$E$11&gt;=4, 'Children YEAR4'!K454, 0)</f>
        <v>0</v>
      </c>
      <c r="AD44" s="395">
        <f>IF('General Data'!$E$11&gt;=4, 'Children YEAR4'!L454, 0)</f>
        <v>0</v>
      </c>
      <c r="AE44" s="388">
        <f t="shared" ca="1" si="17"/>
        <v>0</v>
      </c>
      <c r="AF44" s="394">
        <f>IF('General Data'!$E$11&gt;=5, 'Children YEAR5'!J454, 0)</f>
        <v>0</v>
      </c>
      <c r="AG44" s="395">
        <f>IF('General Data'!$E$11&gt;=5, 'Children YEAR5'!K454, 0)</f>
        <v>0</v>
      </c>
      <c r="AH44" s="395">
        <f>IF('General Data'!$E$11&gt;=5, 'Children YEAR5'!L454, 0)</f>
        <v>0</v>
      </c>
      <c r="AI44" s="388">
        <f t="shared" ca="1" si="18"/>
        <v>0</v>
      </c>
      <c r="AJ44" s="863">
        <f t="shared" ca="1" si="19"/>
        <v>3386.8755000000001</v>
      </c>
    </row>
    <row r="45" spans="2:36" ht="38.25" x14ac:dyDescent="0.2">
      <c r="B45" s="418" t="s">
        <v>1614</v>
      </c>
      <c r="C45" s="419" t="str">
        <f>'Available Stocks'!F26</f>
        <v>Cp</v>
      </c>
      <c r="D45" s="419" t="str">
        <f>'Available Stocks'!G26</f>
        <v>300/200/600 mg</v>
      </c>
      <c r="E45" s="616" t="str">
        <f>'Available Stocks'!H26</f>
        <v>Ténofovir + Emtricitabine
 + Efavirenz</v>
      </c>
      <c r="F45" s="859">
        <f>'Available Stocks'!K26</f>
        <v>30</v>
      </c>
      <c r="G45" s="421"/>
      <c r="H45" s="417">
        <f ca="1">'Global Synthesis'!H24</f>
        <v>14.49</v>
      </c>
      <c r="I45" s="394">
        <f>IF('General Data'!$E$11&gt;=1, IF('Data &amp; hypothesis Adults'!$D$221="X", 'Children YEAR1'!J455, 0), 0)</f>
        <v>0</v>
      </c>
      <c r="J45" s="395">
        <f>IF('General Data'!$E$11&gt;=1, IF('Data &amp; hypothesis Adults'!$D$221="X", 'Children YEAR1'!K455, 0), 0)</f>
        <v>0</v>
      </c>
      <c r="K45" s="395">
        <f>IF('General Data'!$E$11&gt;=1, IF('Data &amp; hypothesis Adults'!$D$221="X", 'Children YEAR1'!L455, 0), 0)</f>
        <v>0</v>
      </c>
      <c r="L45" s="388">
        <f t="shared" ca="1" si="13"/>
        <v>0</v>
      </c>
      <c r="M45" s="394">
        <f>IF('General Data'!$E$11&gt;=2, IF('Data &amp; hypothesis Adults'!$D$221="X", 'Children YEAR2'!J455, 0), 0)</f>
        <v>0</v>
      </c>
      <c r="N45" s="395">
        <f>IF('General Data'!$E$11&gt;=2, IF('Data &amp; hypothesis Adults'!$D$221="X", 'Children YEAR2'!K455, 0), 0)</f>
        <v>0</v>
      </c>
      <c r="O45" s="395">
        <f>IF('General Data'!$E$11&gt;=2, IF('Data &amp; hypothesis Adults'!$D$221="X", 'Children YEAR2'!L455, 0), 0)</f>
        <v>0</v>
      </c>
      <c r="P45" s="388">
        <f t="shared" ca="1" si="14"/>
        <v>0</v>
      </c>
      <c r="Q45" s="418" t="str">
        <f t="shared" ref="Q45:Q49" si="37">B45</f>
        <v>TDF+FTC+EFV [a]</v>
      </c>
      <c r="R45" s="419" t="str">
        <f t="shared" ref="R45:R49" si="38">C45</f>
        <v>Cp</v>
      </c>
      <c r="S45" s="419" t="str">
        <f t="shared" ref="S45:S49" si="39">D45</f>
        <v>300/200/600 mg</v>
      </c>
      <c r="T45" s="391" t="str">
        <f t="shared" ref="T45:T49" si="40">E45</f>
        <v>Ténofovir + Emtricitabine
 + Efavirenz</v>
      </c>
      <c r="U45" s="420">
        <f t="shared" ref="U45:U49" si="41">F45</f>
        <v>30</v>
      </c>
      <c r="V45" s="421">
        <f t="shared" ref="V45:V49" si="42">G45</f>
        <v>0</v>
      </c>
      <c r="W45" s="417">
        <f t="shared" ref="W45:W49" ca="1" si="43">H45</f>
        <v>14.49</v>
      </c>
      <c r="X45" s="394">
        <f>IF('General Data'!$E$11&gt;=3, IF('Data &amp; hypothesis Adults'!$D$221="X", 'Children YEAR3'!J455, 0), 0)</f>
        <v>0</v>
      </c>
      <c r="Y45" s="395">
        <f>IF('General Data'!$E$11&gt;=3, IF('Data &amp; hypothesis Adults'!$D$221="X", 'Children YEAR3'!K455, 0), 0)</f>
        <v>0</v>
      </c>
      <c r="Z45" s="395">
        <f>IF('General Data'!$E$11&gt;=3, IF('Data &amp; hypothesis Adults'!$D$221="X", 'Children YEAR3'!L455, 0), 0)</f>
        <v>0</v>
      </c>
      <c r="AA45" s="388">
        <f t="shared" ca="1" si="16"/>
        <v>0</v>
      </c>
      <c r="AB45" s="394">
        <f>IF('General Data'!$E$11&gt;=4, IF('Data &amp; hypothesis Adults'!$D$221="X", 'Children YEAR4'!J455, 0), 0)</f>
        <v>0</v>
      </c>
      <c r="AC45" s="395">
        <f>IF('General Data'!$E$11&gt;=4, IF('Data &amp; hypothesis Adults'!$D$221="X", 'Children YEAR4'!K455, 0), 0)</f>
        <v>0</v>
      </c>
      <c r="AD45" s="395">
        <f>IF('General Data'!$E$11&gt;=4, IF('Data &amp; hypothesis Adults'!$D$221="X", 'Children YEAR4'!L455, 0), 0)</f>
        <v>0</v>
      </c>
      <c r="AE45" s="388">
        <f t="shared" ca="1" si="17"/>
        <v>0</v>
      </c>
      <c r="AF45" s="394">
        <f>IF('General Data'!$E$11&gt;=5, IF('Data &amp; hypothesis Adults'!$D$221="X", 'Children YEAR5'!J455, 0), 0)</f>
        <v>0</v>
      </c>
      <c r="AG45" s="395">
        <f>IF('General Data'!$E$11&gt;=5, IF('Data &amp; hypothesis Adults'!$D$221="X", 'Children YEAR5'!K455, 0), 0)</f>
        <v>0</v>
      </c>
      <c r="AH45" s="395">
        <f>IF('General Data'!$E$11&gt;=5, IF('Data &amp; hypothesis Adults'!$D$221="X", 'Children YEAR5'!L455, 0), 0)</f>
        <v>0</v>
      </c>
      <c r="AI45" s="388">
        <f t="shared" ca="1" si="18"/>
        <v>0</v>
      </c>
      <c r="AJ45" s="863">
        <f t="shared" ca="1" si="19"/>
        <v>0</v>
      </c>
    </row>
    <row r="46" spans="2:36" ht="25.5" x14ac:dyDescent="0.2">
      <c r="B46" s="418" t="s">
        <v>1615</v>
      </c>
      <c r="C46" s="419" t="str">
        <f>'Available Stocks'!F27</f>
        <v>Cp</v>
      </c>
      <c r="D46" s="419" t="str">
        <f>'Available Stocks'!G27</f>
        <v>300/200 mg</v>
      </c>
      <c r="E46" s="616" t="str">
        <f>'Available Stocks'!H27</f>
        <v>Ténofovir + Emtricitabine</v>
      </c>
      <c r="F46" s="859">
        <f>'Available Stocks'!K27</f>
        <v>30</v>
      </c>
      <c r="G46" s="421"/>
      <c r="H46" s="417">
        <f ca="1">'Global Synthesis'!H25</f>
        <v>5.93</v>
      </c>
      <c r="I46" s="394">
        <f>IF('General Data'!$E$11&gt;=1, IF('Data &amp; hypothesis Adults'!$D$221="X", 'Children YEAR1'!J456, 0), 0)</f>
        <v>0</v>
      </c>
      <c r="J46" s="395">
        <f>IF('General Data'!$E$11&gt;=1, IF('Data &amp; hypothesis Adults'!$D$221="X", 'Children YEAR1'!K456, 0), 0)</f>
        <v>0</v>
      </c>
      <c r="K46" s="395">
        <f>IF('General Data'!$E$11&gt;=1, IF('Data &amp; hypothesis Adults'!$D$221="X", 'Children YEAR1'!L456, 0), 0)</f>
        <v>0</v>
      </c>
      <c r="L46" s="388">
        <f t="shared" ca="1" si="13"/>
        <v>0</v>
      </c>
      <c r="M46" s="394">
        <f>IF('General Data'!$E$11&gt;=2, IF('Data &amp; hypothesis Adults'!$D$221="X", 'Children YEAR2'!J456, 0), 0)</f>
        <v>0</v>
      </c>
      <c r="N46" s="395">
        <f>IF('General Data'!$E$11&gt;=2, IF('Data &amp; hypothesis Adults'!$D$221="X", 'Children YEAR2'!K456, 0), 0)</f>
        <v>0</v>
      </c>
      <c r="O46" s="395">
        <f>IF('General Data'!$E$11&gt;=2, IF('Data &amp; hypothesis Adults'!$D$221="X", 'Children YEAR2'!L456, 0), 0)</f>
        <v>0</v>
      </c>
      <c r="P46" s="388">
        <f t="shared" ca="1" si="14"/>
        <v>0</v>
      </c>
      <c r="Q46" s="418" t="str">
        <f t="shared" si="37"/>
        <v>TDF+FTC [a]</v>
      </c>
      <c r="R46" s="419" t="str">
        <f t="shared" si="38"/>
        <v>Cp</v>
      </c>
      <c r="S46" s="419" t="str">
        <f t="shared" si="39"/>
        <v>300/200 mg</v>
      </c>
      <c r="T46" s="391" t="str">
        <f t="shared" si="40"/>
        <v>Ténofovir + Emtricitabine</v>
      </c>
      <c r="U46" s="420">
        <f t="shared" si="41"/>
        <v>30</v>
      </c>
      <c r="V46" s="421">
        <f t="shared" si="42"/>
        <v>0</v>
      </c>
      <c r="W46" s="417">
        <f t="shared" ca="1" si="43"/>
        <v>5.93</v>
      </c>
      <c r="X46" s="394">
        <f>IF('General Data'!$E$11&gt;=3, IF('Data &amp; hypothesis Adults'!$D$221="X", 'Children YEAR3'!J456, 0), 0)</f>
        <v>0</v>
      </c>
      <c r="Y46" s="395">
        <f>IF('General Data'!$E$11&gt;=3, IF('Data &amp; hypothesis Adults'!$D$221="X", 'Children YEAR3'!K456, 0), 0)</f>
        <v>0</v>
      </c>
      <c r="Z46" s="395">
        <f>IF('General Data'!$E$11&gt;=3, IF('Data &amp; hypothesis Adults'!$D$221="X", 'Children YEAR3'!L456, 0), 0)</f>
        <v>0</v>
      </c>
      <c r="AA46" s="388">
        <f t="shared" ca="1" si="16"/>
        <v>0</v>
      </c>
      <c r="AB46" s="394">
        <f>IF('General Data'!$E$11&gt;=4, IF('Data &amp; hypothesis Adults'!$D$221="X", 'Children YEAR4'!J456, 0), 0)</f>
        <v>0</v>
      </c>
      <c r="AC46" s="395">
        <f>IF('General Data'!$E$11&gt;=4, IF('Data &amp; hypothesis Adults'!$D$221="X", 'Children YEAR4'!K456, 0), 0)</f>
        <v>0</v>
      </c>
      <c r="AD46" s="395">
        <f>IF('General Data'!$E$11&gt;=4, IF('Data &amp; hypothesis Adults'!$D$221="X", 'Children YEAR4'!L456, 0), 0)</f>
        <v>0</v>
      </c>
      <c r="AE46" s="388">
        <f t="shared" ca="1" si="17"/>
        <v>0</v>
      </c>
      <c r="AF46" s="394">
        <f>IF('General Data'!$E$11&gt;=5, IF('Data &amp; hypothesis Adults'!$D$221="X", 'Children YEAR5'!J456, 0), 0)</f>
        <v>0</v>
      </c>
      <c r="AG46" s="395">
        <f>IF('General Data'!$E$11&gt;=5, IF('Data &amp; hypothesis Adults'!$D$221="X", 'Children YEAR5'!K456, 0), 0)</f>
        <v>0</v>
      </c>
      <c r="AH46" s="395">
        <f>IF('General Data'!$E$11&gt;=5, IF('Data &amp; hypothesis Adults'!$D$221="X", 'Children YEAR5'!L456, 0), 0)</f>
        <v>0</v>
      </c>
      <c r="AI46" s="388">
        <f t="shared" ca="1" si="18"/>
        <v>0</v>
      </c>
      <c r="AJ46" s="863">
        <f t="shared" ca="1" si="19"/>
        <v>0</v>
      </c>
    </row>
    <row r="47" spans="2:36" ht="38.25" x14ac:dyDescent="0.2">
      <c r="B47" s="418" t="s">
        <v>1616</v>
      </c>
      <c r="C47" s="419" t="str">
        <f>'Available Stocks'!F28</f>
        <v>Cp</v>
      </c>
      <c r="D47" s="419" t="str">
        <f>'Available Stocks'!G28</f>
        <v>300/200/600 mg</v>
      </c>
      <c r="E47" s="616" t="str">
        <f>'Available Stocks'!H28</f>
        <v>Ténofovir + Lamivudine
 + Efavirenz</v>
      </c>
      <c r="F47" s="859">
        <f>'Available Stocks'!K28</f>
        <v>30</v>
      </c>
      <c r="G47" s="421"/>
      <c r="H47" s="417">
        <f ca="1">'Global Synthesis'!H26</f>
        <v>13</v>
      </c>
      <c r="I47" s="394">
        <f>IF('General Data'!$E$11&gt;=1, IF('Data &amp; hypothesis Adults'!$D$222="X", 'Children YEAR1'!J455, 0), 0)</f>
        <v>0</v>
      </c>
      <c r="J47" s="395">
        <f>IF('General Data'!$E$11&gt;=1, IF('Data &amp; hypothesis Adults'!$D$222="X", 'Children YEAR1'!K455, 0), 0)</f>
        <v>0</v>
      </c>
      <c r="K47" s="395">
        <f>IF('General Data'!$E$11&gt;=1, IF('Data &amp; hypothesis Adults'!$D$222="X", 'Children YEAR1'!L455, 0), 0)</f>
        <v>0</v>
      </c>
      <c r="L47" s="388">
        <f t="shared" ca="1" si="13"/>
        <v>0</v>
      </c>
      <c r="M47" s="394">
        <f>IF('General Data'!$E$11&gt;=2, IF('Data &amp; hypothesis Adults'!$D$222="X", 'Children YEAR2'!J455, 0), 0)</f>
        <v>0</v>
      </c>
      <c r="N47" s="395">
        <f>IF('General Data'!$E$11&gt;=2, IF('Data &amp; hypothesis Adults'!$D$222="X", 'Children YEAR2'!K455, 0), 0)</f>
        <v>0</v>
      </c>
      <c r="O47" s="395">
        <f>IF('General Data'!$E$11&gt;=2, IF('Data &amp; hypothesis Adults'!$D$222="X", 'Children YEAR2'!L455, 0), 0)</f>
        <v>0</v>
      </c>
      <c r="P47" s="388">
        <f t="shared" ca="1" si="14"/>
        <v>0</v>
      </c>
      <c r="Q47" s="418" t="str">
        <f t="shared" si="37"/>
        <v>TDF+3TC+EFV [a]</v>
      </c>
      <c r="R47" s="419" t="str">
        <f t="shared" si="38"/>
        <v>Cp</v>
      </c>
      <c r="S47" s="419" t="str">
        <f t="shared" si="39"/>
        <v>300/200/600 mg</v>
      </c>
      <c r="T47" s="391" t="str">
        <f t="shared" si="40"/>
        <v>Ténofovir + Lamivudine
 + Efavirenz</v>
      </c>
      <c r="U47" s="420">
        <f t="shared" si="41"/>
        <v>30</v>
      </c>
      <c r="V47" s="421">
        <f t="shared" si="42"/>
        <v>0</v>
      </c>
      <c r="W47" s="417">
        <f t="shared" ca="1" si="43"/>
        <v>13</v>
      </c>
      <c r="X47" s="394">
        <f>IF('General Data'!$E$11&gt;=3, IF('Data &amp; hypothesis Adults'!$D$222="X", 'Children YEAR3'!J455, 0), 0)</f>
        <v>0</v>
      </c>
      <c r="Y47" s="395">
        <f>IF('General Data'!$E$11&gt;=3, IF('Data &amp; hypothesis Adults'!$D$222="X", 'Children YEAR3'!K455, 0), 0)</f>
        <v>0</v>
      </c>
      <c r="Z47" s="395">
        <f>IF('General Data'!$E$11&gt;=3, IF('Data &amp; hypothesis Adults'!$D$222="X", 'Children YEAR3'!L455, 0), 0)</f>
        <v>0</v>
      </c>
      <c r="AA47" s="388">
        <f t="shared" ca="1" si="16"/>
        <v>0</v>
      </c>
      <c r="AB47" s="394">
        <f>IF('General Data'!$E$11&gt;=4, IF('Data &amp; hypothesis Adults'!$D$222="X", 'Children YEAR4'!J455, 0), 0)</f>
        <v>0</v>
      </c>
      <c r="AC47" s="395">
        <f>IF('General Data'!$E$11&gt;=4, IF('Data &amp; hypothesis Adults'!$D$222="X", 'Children YEAR4'!K455, 0), 0)</f>
        <v>0</v>
      </c>
      <c r="AD47" s="395">
        <f>IF('General Data'!$E$11&gt;=4, IF('Data &amp; hypothesis Adults'!$D$222="X", 'Children YEAR4'!L455, 0), 0)</f>
        <v>0</v>
      </c>
      <c r="AE47" s="388">
        <f t="shared" ca="1" si="17"/>
        <v>0</v>
      </c>
      <c r="AF47" s="394">
        <f>IF('General Data'!$E$11&gt;=5, IF('Data &amp; hypothesis Adults'!$D$222="X", 'Children YEAR5'!J455, 0), 0)</f>
        <v>0</v>
      </c>
      <c r="AG47" s="395">
        <f>IF('General Data'!$E$11&gt;=5, IF('Data &amp; hypothesis Adults'!$D$222="X", 'Children YEAR5'!K455, 0), 0)</f>
        <v>0</v>
      </c>
      <c r="AH47" s="395">
        <f>IF('General Data'!$E$11&gt;=5, IF('Data &amp; hypothesis Adults'!$D$222="X", 'Children YEAR5'!L455, 0), 0)</f>
        <v>0</v>
      </c>
      <c r="AI47" s="388">
        <f t="shared" ca="1" si="18"/>
        <v>0</v>
      </c>
      <c r="AJ47" s="863">
        <f t="shared" ca="1" si="19"/>
        <v>0</v>
      </c>
    </row>
    <row r="48" spans="2:36" ht="25.5" x14ac:dyDescent="0.2">
      <c r="B48" s="418" t="s">
        <v>1617</v>
      </c>
      <c r="C48" s="419" t="str">
        <f>'Available Stocks'!F29</f>
        <v>Cp</v>
      </c>
      <c r="D48" s="419" t="str">
        <f>'Available Stocks'!G29</f>
        <v>300/200 mg</v>
      </c>
      <c r="E48" s="616" t="str">
        <f>'Available Stocks'!H29</f>
        <v>Ténofovir + Lamivudine</v>
      </c>
      <c r="F48" s="859">
        <f>'Available Stocks'!K29</f>
        <v>30</v>
      </c>
      <c r="G48" s="421"/>
      <c r="H48" s="417">
        <f ca="1">'Global Synthesis'!H27</f>
        <v>4.6500000000000004</v>
      </c>
      <c r="I48" s="394">
        <f>IF('General Data'!$E$11&gt;=1, IF('Data &amp; hypothesis Adults'!$D$222="X", 'Children YEAR1'!J456, 0), 0)</f>
        <v>1.9251647999999997</v>
      </c>
      <c r="J48" s="395">
        <f>IF('General Data'!$E$11&gt;=1, IF('Data &amp; hypothesis Adults'!$D$222="X", 'Children YEAR1'!K456, 0), 0)</f>
        <v>1.0366271999999999</v>
      </c>
      <c r="K48" s="395">
        <f>IF('General Data'!$E$11&gt;=1, IF('Data &amp; hypothesis Adults'!$D$222="X", 'Children YEAR1'!L456, 0), 0)</f>
        <v>2.9617919999999995</v>
      </c>
      <c r="L48" s="388">
        <f t="shared" ca="1" si="13"/>
        <v>13.772332799999999</v>
      </c>
      <c r="M48" s="394">
        <f>IF('General Data'!$E$11&gt;=2, IF('Data &amp; hypothesis Adults'!$D$222="X", 'Children YEAR2'!J456, 0), 0)</f>
        <v>0</v>
      </c>
      <c r="N48" s="395">
        <f>IF('General Data'!$E$11&gt;=2, IF('Data &amp; hypothesis Adults'!$D$222="X", 'Children YEAR2'!K456, 0), 0)</f>
        <v>0</v>
      </c>
      <c r="O48" s="395">
        <f>IF('General Data'!$E$11&gt;=2, IF('Data &amp; hypothesis Adults'!$D$222="X", 'Children YEAR2'!L456, 0), 0)</f>
        <v>0</v>
      </c>
      <c r="P48" s="388">
        <f t="shared" ca="1" si="14"/>
        <v>0</v>
      </c>
      <c r="Q48" s="418" t="str">
        <f t="shared" si="37"/>
        <v>TDF+3TC [a]</v>
      </c>
      <c r="R48" s="419" t="str">
        <f t="shared" si="38"/>
        <v>Cp</v>
      </c>
      <c r="S48" s="419" t="str">
        <f t="shared" si="39"/>
        <v>300/200 mg</v>
      </c>
      <c r="T48" s="391" t="str">
        <f t="shared" si="40"/>
        <v>Ténofovir + Lamivudine</v>
      </c>
      <c r="U48" s="420">
        <f t="shared" si="41"/>
        <v>30</v>
      </c>
      <c r="V48" s="421">
        <f t="shared" si="42"/>
        <v>0</v>
      </c>
      <c r="W48" s="417">
        <f t="shared" ca="1" si="43"/>
        <v>4.6500000000000004</v>
      </c>
      <c r="X48" s="394">
        <f>IF('General Data'!$E$11&gt;=3, IF('Data &amp; hypothesis Adults'!$D$222="X", 'Children YEAR3'!J456, 0), 0)</f>
        <v>0</v>
      </c>
      <c r="Y48" s="395">
        <f>IF('General Data'!$E$11&gt;=3, IF('Data &amp; hypothesis Adults'!$D$222="X", 'Children YEAR3'!K456, 0), 0)</f>
        <v>0</v>
      </c>
      <c r="Z48" s="395">
        <f>IF('General Data'!$E$11&gt;=3, IF('Data &amp; hypothesis Adults'!$D$222="X", 'Children YEAR3'!L456, 0), 0)</f>
        <v>0</v>
      </c>
      <c r="AA48" s="388">
        <f t="shared" ca="1" si="16"/>
        <v>0</v>
      </c>
      <c r="AB48" s="394">
        <f>IF('General Data'!$E$11&gt;=4, IF('Data &amp; hypothesis Adults'!$D$222="X", 'Children YEAR4'!J456, 0), 0)</f>
        <v>0</v>
      </c>
      <c r="AC48" s="395">
        <f>IF('General Data'!$E$11&gt;=4, IF('Data &amp; hypothesis Adults'!$D$222="X", 'Children YEAR4'!K456, 0), 0)</f>
        <v>0</v>
      </c>
      <c r="AD48" s="395">
        <f>IF('General Data'!$E$11&gt;=4, IF('Data &amp; hypothesis Adults'!$D$222="X", 'Children YEAR4'!L456, 0), 0)</f>
        <v>0</v>
      </c>
      <c r="AE48" s="388">
        <f t="shared" ca="1" si="17"/>
        <v>0</v>
      </c>
      <c r="AF48" s="394">
        <f>IF('General Data'!$E$11&gt;=5, IF('Data &amp; hypothesis Adults'!$D$222="X", 'Children YEAR5'!J456, 0), 0)</f>
        <v>0</v>
      </c>
      <c r="AG48" s="395">
        <f>IF('General Data'!$E$11&gt;=5, IF('Data &amp; hypothesis Adults'!$D$222="X", 'Children YEAR5'!K456, 0), 0)</f>
        <v>0</v>
      </c>
      <c r="AH48" s="395">
        <f>IF('General Data'!$E$11&gt;=5, IF('Data &amp; hypothesis Adults'!$D$222="X", 'Children YEAR5'!L456, 0), 0)</f>
        <v>0</v>
      </c>
      <c r="AI48" s="388">
        <f t="shared" ca="1" si="18"/>
        <v>0</v>
      </c>
      <c r="AJ48" s="863">
        <f t="shared" ca="1" si="19"/>
        <v>13.772332799999999</v>
      </c>
    </row>
    <row r="49" spans="2:37" x14ac:dyDescent="0.2">
      <c r="B49" s="418" t="s">
        <v>22</v>
      </c>
      <c r="C49" s="419" t="str">
        <f>'Available Stocks'!F44</f>
        <v>Cp</v>
      </c>
      <c r="D49" s="419" t="str">
        <f>'Available Stocks'!G44</f>
        <v>300 mg</v>
      </c>
      <c r="E49" s="616" t="str">
        <f>'Available Stocks'!H44</f>
        <v>Ténofovir</v>
      </c>
      <c r="F49" s="859">
        <f>'Available Stocks'!K44</f>
        <v>30</v>
      </c>
      <c r="G49" s="421"/>
      <c r="H49" s="417">
        <f ca="1">'Global Synthesis'!H39</f>
        <v>4</v>
      </c>
      <c r="I49" s="394">
        <f>IF('General Data'!$E$11&gt;=1, 'Children YEAR1'!J457, 0)</f>
        <v>0</v>
      </c>
      <c r="J49" s="395">
        <f>IF('General Data'!$E$11&gt;=1, 'Children YEAR1'!K457, 0)</f>
        <v>0</v>
      </c>
      <c r="K49" s="395">
        <f>IF('General Data'!$E$11&gt;=1, 'Children YEAR1'!L457, 0)</f>
        <v>0</v>
      </c>
      <c r="L49" s="388">
        <f t="shared" ca="1" si="13"/>
        <v>0</v>
      </c>
      <c r="M49" s="394">
        <f>IF('General Data'!$E$11&gt;=2, 'Children YEAR2'!J457, 0)</f>
        <v>0</v>
      </c>
      <c r="N49" s="395">
        <f>IF('General Data'!$E$11&gt;=2, 'Children YEAR2'!K457, 0)</f>
        <v>0</v>
      </c>
      <c r="O49" s="395">
        <f>IF('General Data'!$E$11&gt;=2, 'Children YEAR2'!L457, 0)</f>
        <v>0</v>
      </c>
      <c r="P49" s="388">
        <f t="shared" ca="1" si="14"/>
        <v>0</v>
      </c>
      <c r="Q49" s="418" t="str">
        <f t="shared" si="37"/>
        <v>TDF</v>
      </c>
      <c r="R49" s="419" t="str">
        <f t="shared" si="38"/>
        <v>Cp</v>
      </c>
      <c r="S49" s="419" t="str">
        <f t="shared" si="39"/>
        <v>300 mg</v>
      </c>
      <c r="T49" s="391" t="str">
        <f t="shared" si="40"/>
        <v>Ténofovir</v>
      </c>
      <c r="U49" s="420">
        <f t="shared" si="41"/>
        <v>30</v>
      </c>
      <c r="V49" s="421">
        <f t="shared" si="42"/>
        <v>0</v>
      </c>
      <c r="W49" s="417">
        <f t="shared" ca="1" si="43"/>
        <v>4</v>
      </c>
      <c r="X49" s="394">
        <f>IF('General Data'!$E$11&gt;=3, 'Children YEAR3'!J457, 0)</f>
        <v>0</v>
      </c>
      <c r="Y49" s="395">
        <f>IF('General Data'!$E$11&gt;=3, 'Children YEAR3'!K457, 0)</f>
        <v>0</v>
      </c>
      <c r="Z49" s="395">
        <f>IF('General Data'!$E$11&gt;=3, 'Children YEAR3'!L457, 0)</f>
        <v>0</v>
      </c>
      <c r="AA49" s="388">
        <f t="shared" ca="1" si="16"/>
        <v>0</v>
      </c>
      <c r="AB49" s="394">
        <f>IF('General Data'!$E$11&gt;=4, 'Children YEAR4'!J457, 0)</f>
        <v>0</v>
      </c>
      <c r="AC49" s="395">
        <f>IF('General Data'!$E$11&gt;=4, 'Children YEAR4'!K457, 0)</f>
        <v>0</v>
      </c>
      <c r="AD49" s="395">
        <f>IF('General Data'!$E$11&gt;=4, 'Children YEAR4'!L457, 0)</f>
        <v>0</v>
      </c>
      <c r="AE49" s="388">
        <f t="shared" ref="AE49" ca="1" si="44">AD49*$H49</f>
        <v>0</v>
      </c>
      <c r="AF49" s="394">
        <f>IF('General Data'!$E$11&gt;=5, 'Children YEAR5'!J457, 0)</f>
        <v>0</v>
      </c>
      <c r="AG49" s="395">
        <f>IF('General Data'!$E$11&gt;=5, 'Children YEAR5'!K457, 0)</f>
        <v>0</v>
      </c>
      <c r="AH49" s="395">
        <f>IF('General Data'!$E$11&gt;=5, 'Children YEAR5'!L457, 0)</f>
        <v>0</v>
      </c>
      <c r="AI49" s="388">
        <f t="shared" ref="AI49" ca="1" si="45">AH49*$H49</f>
        <v>0</v>
      </c>
      <c r="AJ49" s="863">
        <f t="shared" ref="AJ49" ca="1" si="46">AI49+AE49+AA49+P49+L49</f>
        <v>0</v>
      </c>
    </row>
    <row r="50" spans="2:37" x14ac:dyDescent="0.2">
      <c r="B50" s="418" t="s">
        <v>15</v>
      </c>
      <c r="C50" s="419" t="str">
        <f>'Available Stocks'!F40</f>
        <v>Cp</v>
      </c>
      <c r="D50" s="419" t="str">
        <f>'Available Stocks'!G40</f>
        <v>150 mg</v>
      </c>
      <c r="E50" s="616" t="str">
        <f>'Available Stocks'!$H40</f>
        <v>Lamivudine</v>
      </c>
      <c r="F50" s="859">
        <f>'Available Stocks'!K40</f>
        <v>60</v>
      </c>
      <c r="G50" s="421"/>
      <c r="H50" s="417">
        <f ca="1">'Global Synthesis'!H33</f>
        <v>2.4</v>
      </c>
      <c r="I50" s="394">
        <f>IF('General Data'!$E$11&gt;=1, 'Children YEAR1'!J458, 0)</f>
        <v>0</v>
      </c>
      <c r="J50" s="395">
        <f>IF('General Data'!$E$11&gt;=1, 'Children YEAR1'!K458, 0)</f>
        <v>0</v>
      </c>
      <c r="K50" s="395">
        <f>IF('General Data'!$E$11&gt;=1, 'Children YEAR1'!L458, 0)</f>
        <v>0</v>
      </c>
      <c r="L50" s="388">
        <f t="shared" ref="L50:L56" ca="1" si="47">K50*$H50</f>
        <v>0</v>
      </c>
      <c r="M50" s="394">
        <f>IF('General Data'!$E$11&gt;=2, 'Children YEAR2'!J458, 0)</f>
        <v>0</v>
      </c>
      <c r="N50" s="395">
        <f>IF('General Data'!$E$11&gt;=2, 'Children YEAR2'!K458, 0)</f>
        <v>0</v>
      </c>
      <c r="O50" s="395">
        <f>IF('General Data'!$E$11&gt;=2, 'Children YEAR2'!L458, 0)</f>
        <v>0</v>
      </c>
      <c r="P50" s="388">
        <f t="shared" ref="P50:P56" ca="1" si="48">O50*$H50</f>
        <v>0</v>
      </c>
      <c r="Q50" s="418" t="str">
        <f t="shared" ref="Q50:Q56" si="49">B50</f>
        <v>3TC</v>
      </c>
      <c r="R50" s="419" t="str">
        <f t="shared" ref="R50:R56" si="50">C50</f>
        <v>Cp</v>
      </c>
      <c r="S50" s="419" t="str">
        <f t="shared" ref="S50:S56" si="51">D50</f>
        <v>150 mg</v>
      </c>
      <c r="T50" s="391" t="str">
        <f t="shared" ref="T50:T56" si="52">E50</f>
        <v>Lamivudine</v>
      </c>
      <c r="U50" s="420">
        <f t="shared" ref="U50:U56" si="53">F50</f>
        <v>60</v>
      </c>
      <c r="V50" s="421">
        <f t="shared" ref="V50:V56" si="54">G50</f>
        <v>0</v>
      </c>
      <c r="W50" s="417">
        <f t="shared" ref="W50:W56" ca="1" si="55">H50</f>
        <v>2.4</v>
      </c>
      <c r="X50" s="394">
        <f>IF('General Data'!$E$11&gt;=3, 'Children YEAR3'!J458, 0)</f>
        <v>0</v>
      </c>
      <c r="Y50" s="395">
        <f>IF('General Data'!$E$11&gt;=3, 'Children YEAR3'!K458, 0)</f>
        <v>0</v>
      </c>
      <c r="Z50" s="395">
        <f>IF('General Data'!$E$11&gt;=3, 'Children YEAR3'!L458, 0)</f>
        <v>0</v>
      </c>
      <c r="AA50" s="388">
        <f t="shared" ref="AA50:AA56" ca="1" si="56">Z50*$H50</f>
        <v>0</v>
      </c>
      <c r="AB50" s="394">
        <f>IF('General Data'!$E$11&gt;=4, 'Children YEAR4'!J458, 0)</f>
        <v>0</v>
      </c>
      <c r="AC50" s="395">
        <f>IF('General Data'!$E$11&gt;=4, 'Children YEAR4'!K458, 0)</f>
        <v>0</v>
      </c>
      <c r="AD50" s="395">
        <f>IF('General Data'!$E$11&gt;=4, 'Children YEAR4'!L458, 0)</f>
        <v>0</v>
      </c>
      <c r="AE50" s="388">
        <f t="shared" ref="AE50:AE56" ca="1" si="57">AD50*$H50</f>
        <v>0</v>
      </c>
      <c r="AF50" s="394">
        <f>IF('General Data'!$E$11&gt;=5, 'Children YEAR5'!J458, 0)</f>
        <v>0</v>
      </c>
      <c r="AG50" s="395">
        <f>IF('General Data'!$E$11&gt;=5, 'Children YEAR5'!K458, 0)</f>
        <v>0</v>
      </c>
      <c r="AH50" s="395">
        <f>IF('General Data'!$E$11&gt;=5, 'Children YEAR5'!L458, 0)</f>
        <v>0</v>
      </c>
      <c r="AI50" s="388">
        <f t="shared" ref="AI50:AI56" ca="1" si="58">AH50*$H50</f>
        <v>0</v>
      </c>
      <c r="AJ50" s="863">
        <f t="shared" ca="1" si="19"/>
        <v>0</v>
      </c>
    </row>
    <row r="51" spans="2:37" x14ac:dyDescent="0.2">
      <c r="B51" s="418" t="s">
        <v>25</v>
      </c>
      <c r="C51" s="419" t="str">
        <f>'Available Stocks'!F35</f>
        <v>Cp</v>
      </c>
      <c r="D51" s="419" t="str">
        <f>'Available Stocks'!G35</f>
        <v>300 mg</v>
      </c>
      <c r="E51" s="616" t="str">
        <f>'Available Stocks'!$H35</f>
        <v>Abacavir</v>
      </c>
      <c r="F51" s="859">
        <f>'Available Stocks'!K35</f>
        <v>60</v>
      </c>
      <c r="G51" s="421"/>
      <c r="H51" s="417">
        <f ca="1">'Global Synthesis'!H35</f>
        <v>12.99</v>
      </c>
      <c r="I51" s="394">
        <f>IF('General Data'!$E$11&gt;=1, 'Children YEAR1'!J459, 0)</f>
        <v>0</v>
      </c>
      <c r="J51" s="395">
        <f>IF('General Data'!$E$11&gt;=1, 'Children YEAR1'!K459, 0)</f>
        <v>0</v>
      </c>
      <c r="K51" s="395">
        <f>IF('General Data'!$E$11&gt;=1, 'Children YEAR1'!L459, 0)</f>
        <v>0</v>
      </c>
      <c r="L51" s="388">
        <f t="shared" ca="1" si="47"/>
        <v>0</v>
      </c>
      <c r="M51" s="394">
        <f>IF('General Data'!$E$11&gt;=2, 'Children YEAR2'!J459, 0)</f>
        <v>0</v>
      </c>
      <c r="N51" s="395">
        <f>IF('General Data'!$E$11&gt;=2, 'Children YEAR2'!K459, 0)</f>
        <v>0</v>
      </c>
      <c r="O51" s="395">
        <f>IF('General Data'!$E$11&gt;=2, 'Children YEAR2'!L459, 0)</f>
        <v>0</v>
      </c>
      <c r="P51" s="388">
        <f t="shared" ca="1" si="48"/>
        <v>0</v>
      </c>
      <c r="Q51" s="418" t="str">
        <f t="shared" si="49"/>
        <v>ABC</v>
      </c>
      <c r="R51" s="419" t="str">
        <f t="shared" si="50"/>
        <v>Cp</v>
      </c>
      <c r="S51" s="419" t="str">
        <f t="shared" si="51"/>
        <v>300 mg</v>
      </c>
      <c r="T51" s="391" t="str">
        <f t="shared" si="52"/>
        <v>Abacavir</v>
      </c>
      <c r="U51" s="420">
        <f t="shared" si="53"/>
        <v>60</v>
      </c>
      <c r="V51" s="421">
        <f t="shared" si="54"/>
        <v>0</v>
      </c>
      <c r="W51" s="417">
        <f t="shared" ca="1" si="55"/>
        <v>12.99</v>
      </c>
      <c r="X51" s="394">
        <f>IF('General Data'!$E$11&gt;=3, 'Children YEAR3'!J459, 0)</f>
        <v>0</v>
      </c>
      <c r="Y51" s="395">
        <f>IF('General Data'!$E$11&gt;=3, 'Children YEAR3'!K459, 0)</f>
        <v>0</v>
      </c>
      <c r="Z51" s="395">
        <f>IF('General Data'!$E$11&gt;=3, 'Children YEAR3'!L459, 0)</f>
        <v>0</v>
      </c>
      <c r="AA51" s="388">
        <f t="shared" ca="1" si="56"/>
        <v>0</v>
      </c>
      <c r="AB51" s="394">
        <f>IF('General Data'!$E$11&gt;=4, 'Children YEAR4'!J459, 0)</f>
        <v>0</v>
      </c>
      <c r="AC51" s="395">
        <f>IF('General Data'!$E$11&gt;=4, 'Children YEAR4'!K459, 0)</f>
        <v>0</v>
      </c>
      <c r="AD51" s="395">
        <f>IF('General Data'!$E$11&gt;=4, 'Children YEAR4'!L459, 0)</f>
        <v>0</v>
      </c>
      <c r="AE51" s="388">
        <f t="shared" ca="1" si="57"/>
        <v>0</v>
      </c>
      <c r="AF51" s="394">
        <f>IF('General Data'!$E$11&gt;=5, 'Children YEAR5'!J459, 0)</f>
        <v>0</v>
      </c>
      <c r="AG51" s="395">
        <f>IF('General Data'!$E$11&gt;=5, 'Children YEAR5'!K459, 0)</f>
        <v>0</v>
      </c>
      <c r="AH51" s="395">
        <f>IF('General Data'!$E$11&gt;=5, 'Children YEAR5'!L459, 0)</f>
        <v>0</v>
      </c>
      <c r="AI51" s="388">
        <f t="shared" ca="1" si="58"/>
        <v>0</v>
      </c>
      <c r="AJ51" s="863">
        <f t="shared" ca="1" si="19"/>
        <v>0</v>
      </c>
    </row>
    <row r="52" spans="2:37" x14ac:dyDescent="0.2">
      <c r="B52" s="418" t="s">
        <v>648</v>
      </c>
      <c r="C52" s="419" t="str">
        <f>'Available Stocks'!F36</f>
        <v>Cp</v>
      </c>
      <c r="D52" s="419" t="str">
        <f>'Available Stocks'!G36</f>
        <v>60 mg</v>
      </c>
      <c r="E52" s="616" t="str">
        <f>'Available Stocks'!$H36</f>
        <v>Abacavir</v>
      </c>
      <c r="F52" s="859">
        <f>'Available Stocks'!K36</f>
        <v>60</v>
      </c>
      <c r="G52" s="421"/>
      <c r="H52" s="417">
        <f ca="1">'Global Synthesis'!H36</f>
        <v>6.2</v>
      </c>
      <c r="I52" s="394">
        <f>IF('General Data'!$E$11&gt;=1, 'Children YEAR1'!J460, 0)</f>
        <v>0</v>
      </c>
      <c r="J52" s="395">
        <f>IF('General Data'!$E$11&gt;=1, 'Children YEAR1'!K460, 0)</f>
        <v>0</v>
      </c>
      <c r="K52" s="395">
        <f>IF('General Data'!$E$11&gt;=1, 'Children YEAR1'!L460, 0)</f>
        <v>0</v>
      </c>
      <c r="L52" s="388">
        <f t="shared" ca="1" si="47"/>
        <v>0</v>
      </c>
      <c r="M52" s="394">
        <f>IF('General Data'!$E$11&gt;=2, 'Children YEAR2'!J460, 0)</f>
        <v>0</v>
      </c>
      <c r="N52" s="395">
        <f>IF('General Data'!$E$11&gt;=2, 'Children YEAR2'!K460, 0)</f>
        <v>0</v>
      </c>
      <c r="O52" s="395">
        <f>IF('General Data'!$E$11&gt;=2, 'Children YEAR2'!L460, 0)</f>
        <v>0</v>
      </c>
      <c r="P52" s="388">
        <f t="shared" ca="1" si="48"/>
        <v>0</v>
      </c>
      <c r="Q52" s="418" t="str">
        <f t="shared" si="49"/>
        <v>ABC baby</v>
      </c>
      <c r="R52" s="419" t="str">
        <f t="shared" si="50"/>
        <v>Cp</v>
      </c>
      <c r="S52" s="419" t="str">
        <f t="shared" si="51"/>
        <v>60 mg</v>
      </c>
      <c r="T52" s="391" t="str">
        <f t="shared" si="52"/>
        <v>Abacavir</v>
      </c>
      <c r="U52" s="420">
        <f t="shared" si="53"/>
        <v>60</v>
      </c>
      <c r="V52" s="421">
        <f t="shared" si="54"/>
        <v>0</v>
      </c>
      <c r="W52" s="417">
        <f t="shared" ca="1" si="55"/>
        <v>6.2</v>
      </c>
      <c r="X52" s="394">
        <f>IF('General Data'!$E$11&gt;=3, 'Children YEAR3'!J460, 0)</f>
        <v>0</v>
      </c>
      <c r="Y52" s="395">
        <f>IF('General Data'!$E$11&gt;=3, 'Children YEAR3'!K460, 0)</f>
        <v>0</v>
      </c>
      <c r="Z52" s="395">
        <f>IF('General Data'!$E$11&gt;=3, 'Children YEAR3'!L460, 0)</f>
        <v>0</v>
      </c>
      <c r="AA52" s="388">
        <f t="shared" ca="1" si="56"/>
        <v>0</v>
      </c>
      <c r="AB52" s="394">
        <f>IF('General Data'!$E$11&gt;=4, 'Children YEAR4'!J460, 0)</f>
        <v>0</v>
      </c>
      <c r="AC52" s="395">
        <f>IF('General Data'!$E$11&gt;=4, 'Children YEAR4'!K460, 0)</f>
        <v>0</v>
      </c>
      <c r="AD52" s="395">
        <f>IF('General Data'!$E$11&gt;=4, 'Children YEAR4'!L460, 0)</f>
        <v>0</v>
      </c>
      <c r="AE52" s="388">
        <f t="shared" ca="1" si="57"/>
        <v>0</v>
      </c>
      <c r="AF52" s="394">
        <f>IF('General Data'!$E$11&gt;=5, 'Children YEAR5'!J460, 0)</f>
        <v>0</v>
      </c>
      <c r="AG52" s="395">
        <f>IF('General Data'!$E$11&gt;=5, 'Children YEAR5'!K460, 0)</f>
        <v>0</v>
      </c>
      <c r="AH52" s="395">
        <f>IF('General Data'!$E$11&gt;=5, 'Children YEAR5'!L460, 0)</f>
        <v>0</v>
      </c>
      <c r="AI52" s="388">
        <f t="shared" ca="1" si="58"/>
        <v>0</v>
      </c>
      <c r="AJ52" s="863">
        <f t="shared" ca="1" si="19"/>
        <v>0</v>
      </c>
    </row>
    <row r="53" spans="2:37" x14ac:dyDescent="0.2">
      <c r="B53" s="418" t="s">
        <v>28</v>
      </c>
      <c r="C53" s="419" t="str">
        <f>'Available Stocks'!F42</f>
        <v>Gél</v>
      </c>
      <c r="D53" s="419" t="str">
        <f>'Available Stocks'!G42</f>
        <v>250 mg</v>
      </c>
      <c r="E53" s="616" t="str">
        <f>'Available Stocks'!$H42</f>
        <v>Didanosine</v>
      </c>
      <c r="F53" s="859">
        <f>'Available Stocks'!K42</f>
        <v>30</v>
      </c>
      <c r="G53" s="421"/>
      <c r="H53" s="417">
        <f ca="1">'Global Synthesis'!H37</f>
        <v>13</v>
      </c>
      <c r="I53" s="394">
        <f>IF('General Data'!$E$11&gt;=1, 'Children YEAR1'!J461, 0)</f>
        <v>0</v>
      </c>
      <c r="J53" s="395">
        <f>IF('General Data'!$E$11&gt;=1, 'Children YEAR1'!K461, 0)</f>
        <v>0</v>
      </c>
      <c r="K53" s="395">
        <f>IF('General Data'!$E$11&gt;=1, 'Children YEAR1'!L461, 0)</f>
        <v>0</v>
      </c>
      <c r="L53" s="388">
        <f t="shared" ca="1" si="47"/>
        <v>0</v>
      </c>
      <c r="M53" s="394">
        <f>IF('General Data'!$E$11&gt;=2, 'Children YEAR2'!J461, 0)</f>
        <v>0</v>
      </c>
      <c r="N53" s="395">
        <f>IF('General Data'!$E$11&gt;=2, 'Children YEAR2'!K461, 0)</f>
        <v>0</v>
      </c>
      <c r="O53" s="395">
        <f>IF('General Data'!$E$11&gt;=2, 'Children YEAR2'!L461, 0)</f>
        <v>0</v>
      </c>
      <c r="P53" s="388">
        <f t="shared" ca="1" si="48"/>
        <v>0</v>
      </c>
      <c r="Q53" s="418" t="str">
        <f t="shared" si="49"/>
        <v>DDI</v>
      </c>
      <c r="R53" s="419" t="str">
        <f t="shared" si="50"/>
        <v>Gél</v>
      </c>
      <c r="S53" s="419" t="str">
        <f t="shared" si="51"/>
        <v>250 mg</v>
      </c>
      <c r="T53" s="391" t="str">
        <f t="shared" si="52"/>
        <v>Didanosine</v>
      </c>
      <c r="U53" s="420">
        <f t="shared" si="53"/>
        <v>30</v>
      </c>
      <c r="V53" s="421">
        <f t="shared" si="54"/>
        <v>0</v>
      </c>
      <c r="W53" s="417">
        <f t="shared" ca="1" si="55"/>
        <v>13</v>
      </c>
      <c r="X53" s="394">
        <f>IF('General Data'!$E$11&gt;=3, 'Children YEAR3'!J461, 0)</f>
        <v>0</v>
      </c>
      <c r="Y53" s="395">
        <f>IF('General Data'!$E$11&gt;=3, 'Children YEAR3'!K461, 0)</f>
        <v>0</v>
      </c>
      <c r="Z53" s="395">
        <f>IF('General Data'!$E$11&gt;=3, 'Children YEAR3'!L461, 0)</f>
        <v>0</v>
      </c>
      <c r="AA53" s="388">
        <f t="shared" ca="1" si="56"/>
        <v>0</v>
      </c>
      <c r="AB53" s="394">
        <f>IF('General Data'!$E$11&gt;=4, 'Children YEAR4'!J461, 0)</f>
        <v>0</v>
      </c>
      <c r="AC53" s="395">
        <f>IF('General Data'!$E$11&gt;=4, 'Children YEAR4'!K461, 0)</f>
        <v>0</v>
      </c>
      <c r="AD53" s="395">
        <f>IF('General Data'!$E$11&gt;=4, 'Children YEAR4'!L461, 0)</f>
        <v>0</v>
      </c>
      <c r="AE53" s="388">
        <f t="shared" ca="1" si="57"/>
        <v>0</v>
      </c>
      <c r="AF53" s="394">
        <f>IF('General Data'!$E$11&gt;=5, 'Children YEAR5'!J461, 0)</f>
        <v>0</v>
      </c>
      <c r="AG53" s="395">
        <f>IF('General Data'!$E$11&gt;=5, 'Children YEAR5'!K461, 0)</f>
        <v>0</v>
      </c>
      <c r="AH53" s="395">
        <f>IF('General Data'!$E$11&gt;=5, 'Children YEAR5'!L461, 0)</f>
        <v>0</v>
      </c>
      <c r="AI53" s="388">
        <f t="shared" ca="1" si="58"/>
        <v>0</v>
      </c>
      <c r="AJ53" s="863">
        <f t="shared" ca="1" si="19"/>
        <v>0</v>
      </c>
    </row>
    <row r="54" spans="2:37" x14ac:dyDescent="0.2">
      <c r="B54" s="418" t="s">
        <v>19</v>
      </c>
      <c r="C54" s="419" t="str">
        <f>'Available Stocks'!F33</f>
        <v>Cp</v>
      </c>
      <c r="D54" s="419" t="str">
        <f>'Available Stocks'!G33</f>
        <v>200 mg</v>
      </c>
      <c r="E54" s="616" t="str">
        <f>'Available Stocks'!$H33</f>
        <v>Névirapine</v>
      </c>
      <c r="F54" s="859">
        <f>'Available Stocks'!K33</f>
        <v>60</v>
      </c>
      <c r="G54" s="421"/>
      <c r="H54" s="417">
        <f ca="1">'Global Synthesis'!H30</f>
        <v>2.52</v>
      </c>
      <c r="I54" s="394">
        <f>IF('General Data'!$E$11&gt;=1, 'Children YEAR1'!J462, 0)</f>
        <v>0</v>
      </c>
      <c r="J54" s="395">
        <f>IF('General Data'!$E$11&gt;=1, 'Children YEAR1'!K462, 0)</f>
        <v>0</v>
      </c>
      <c r="K54" s="395">
        <f>IF('General Data'!$E$11&gt;=1, 'Children YEAR1'!L462, 0)</f>
        <v>0</v>
      </c>
      <c r="L54" s="388">
        <f t="shared" ca="1" si="47"/>
        <v>0</v>
      </c>
      <c r="M54" s="394">
        <f>IF('General Data'!$E$11&gt;=2, 'Children YEAR2'!J462, 0)</f>
        <v>0</v>
      </c>
      <c r="N54" s="395">
        <f>IF('General Data'!$E$11&gt;=2, 'Children YEAR2'!K462, 0)</f>
        <v>0</v>
      </c>
      <c r="O54" s="395">
        <f>IF('General Data'!$E$11&gt;=2, 'Children YEAR2'!L462, 0)</f>
        <v>0</v>
      </c>
      <c r="P54" s="388">
        <f t="shared" ca="1" si="48"/>
        <v>0</v>
      </c>
      <c r="Q54" s="418" t="str">
        <f t="shared" si="49"/>
        <v>NVP</v>
      </c>
      <c r="R54" s="419" t="str">
        <f t="shared" si="50"/>
        <v>Cp</v>
      </c>
      <c r="S54" s="419" t="str">
        <f t="shared" si="51"/>
        <v>200 mg</v>
      </c>
      <c r="T54" s="391" t="str">
        <f t="shared" si="52"/>
        <v>Névirapine</v>
      </c>
      <c r="U54" s="420">
        <f t="shared" si="53"/>
        <v>60</v>
      </c>
      <c r="V54" s="421">
        <f t="shared" si="54"/>
        <v>0</v>
      </c>
      <c r="W54" s="417">
        <f t="shared" ca="1" si="55"/>
        <v>2.52</v>
      </c>
      <c r="X54" s="394">
        <f>IF('General Data'!$E$11&gt;=3, 'Children YEAR3'!J462, 0)</f>
        <v>0</v>
      </c>
      <c r="Y54" s="395">
        <f>IF('General Data'!$E$11&gt;=3, 'Children YEAR3'!K462, 0)</f>
        <v>0</v>
      </c>
      <c r="Z54" s="395">
        <f>IF('General Data'!$E$11&gt;=3, 'Children YEAR3'!L462, 0)</f>
        <v>0</v>
      </c>
      <c r="AA54" s="388">
        <f t="shared" ca="1" si="56"/>
        <v>0</v>
      </c>
      <c r="AB54" s="394">
        <f>IF('General Data'!$E$11&gt;=4, 'Children YEAR4'!J462, 0)</f>
        <v>0</v>
      </c>
      <c r="AC54" s="395">
        <f>IF('General Data'!$E$11&gt;=4, 'Children YEAR4'!K462, 0)</f>
        <v>0</v>
      </c>
      <c r="AD54" s="395">
        <f>IF('General Data'!$E$11&gt;=4, 'Children YEAR4'!L462, 0)</f>
        <v>0</v>
      </c>
      <c r="AE54" s="388">
        <f t="shared" ca="1" si="57"/>
        <v>0</v>
      </c>
      <c r="AF54" s="394">
        <f>IF('General Data'!$E$11&gt;=5, 'Children YEAR5'!J462, 0)</f>
        <v>0</v>
      </c>
      <c r="AG54" s="395">
        <f>IF('General Data'!$E$11&gt;=5, 'Children YEAR5'!K462, 0)</f>
        <v>0</v>
      </c>
      <c r="AH54" s="395">
        <f>IF('General Data'!$E$11&gt;=5, 'Children YEAR5'!L462, 0)</f>
        <v>0</v>
      </c>
      <c r="AI54" s="388">
        <f t="shared" ca="1" si="58"/>
        <v>0</v>
      </c>
      <c r="AJ54" s="863">
        <f t="shared" ca="1" si="19"/>
        <v>0</v>
      </c>
    </row>
    <row r="55" spans="2:37" x14ac:dyDescent="0.2">
      <c r="B55" s="418" t="s">
        <v>19</v>
      </c>
      <c r="C55" s="419" t="str">
        <f>'Available Stocks'!F34</f>
        <v>Cp</v>
      </c>
      <c r="D55" s="419" t="str">
        <f>'Available Stocks'!G34</f>
        <v>50 mg</v>
      </c>
      <c r="E55" s="616" t="s">
        <v>684</v>
      </c>
      <c r="F55" s="859">
        <f>'Available Stocks'!K34</f>
        <v>60</v>
      </c>
      <c r="G55" s="421"/>
      <c r="H55" s="417">
        <f ca="1">'Global Synthesis'!H31</f>
        <v>1.25</v>
      </c>
      <c r="I55" s="394">
        <f>IF('General Data'!$E$11&gt;=1, 'Children YEAR1'!J463, 0)</f>
        <v>89.615040000000022</v>
      </c>
      <c r="J55" s="395">
        <f>IF('General Data'!$E$11&gt;=1, 'Children YEAR1'!K463, 0)</f>
        <v>22.403759999999991</v>
      </c>
      <c r="K55" s="395">
        <f>IF('General Data'!$E$11&gt;=1, 'Children YEAR1'!L463, 0)</f>
        <v>112.01880000000001</v>
      </c>
      <c r="L55" s="388">
        <f t="shared" ca="1" si="47"/>
        <v>140.02350000000001</v>
      </c>
      <c r="M55" s="394">
        <f>IF('General Data'!$E$11&gt;=2, 'Children YEAR2'!J463, 0)</f>
        <v>0</v>
      </c>
      <c r="N55" s="395">
        <f>IF('General Data'!$E$11&gt;=2, 'Children YEAR2'!K463, 0)</f>
        <v>0</v>
      </c>
      <c r="O55" s="395">
        <f>IF('General Data'!$E$11&gt;=2, 'Children YEAR2'!L463, 0)</f>
        <v>0</v>
      </c>
      <c r="P55" s="388">
        <f t="shared" ca="1" si="48"/>
        <v>0</v>
      </c>
      <c r="Q55" s="418" t="str">
        <f t="shared" si="49"/>
        <v>NVP</v>
      </c>
      <c r="R55" s="419" t="str">
        <f t="shared" si="50"/>
        <v>Cp</v>
      </c>
      <c r="S55" s="419" t="str">
        <f t="shared" si="51"/>
        <v>50 mg</v>
      </c>
      <c r="T55" s="391" t="str">
        <f t="shared" si="52"/>
        <v>Névirapine</v>
      </c>
      <c r="U55" s="420">
        <f t="shared" si="53"/>
        <v>60</v>
      </c>
      <c r="V55" s="421">
        <f t="shared" si="54"/>
        <v>0</v>
      </c>
      <c r="W55" s="417">
        <f t="shared" ca="1" si="55"/>
        <v>1.25</v>
      </c>
      <c r="X55" s="394">
        <f>IF('General Data'!$E$11&gt;=3, 'Children YEAR3'!J463, 0)</f>
        <v>0</v>
      </c>
      <c r="Y55" s="395">
        <f>IF('General Data'!$E$11&gt;=3, 'Children YEAR3'!K463, 0)</f>
        <v>0</v>
      </c>
      <c r="Z55" s="395">
        <f>IF('General Data'!$E$11&gt;=3, 'Children YEAR3'!L463, 0)</f>
        <v>0</v>
      </c>
      <c r="AA55" s="388">
        <f t="shared" ca="1" si="56"/>
        <v>0</v>
      </c>
      <c r="AB55" s="394">
        <f>IF('General Data'!$E$11&gt;=4, 'Children YEAR4'!J463, 0)</f>
        <v>0</v>
      </c>
      <c r="AC55" s="395">
        <f>IF('General Data'!$E$11&gt;=4, 'Children YEAR4'!K463, 0)</f>
        <v>0</v>
      </c>
      <c r="AD55" s="395">
        <f>IF('General Data'!$E$11&gt;=4, 'Children YEAR4'!L463, 0)</f>
        <v>0</v>
      </c>
      <c r="AE55" s="388">
        <f t="shared" ca="1" si="57"/>
        <v>0</v>
      </c>
      <c r="AF55" s="394">
        <f>IF('General Data'!$E$11&gt;=5, 'Children YEAR5'!J463, 0)</f>
        <v>0</v>
      </c>
      <c r="AG55" s="395">
        <f>IF('General Data'!$E$11&gt;=5, 'Children YEAR5'!K463, 0)</f>
        <v>0</v>
      </c>
      <c r="AH55" s="395">
        <f>IF('General Data'!$E$11&gt;=5, 'Children YEAR5'!L463, 0)</f>
        <v>0</v>
      </c>
      <c r="AI55" s="388">
        <f t="shared" ca="1" si="58"/>
        <v>0</v>
      </c>
      <c r="AJ55" s="863">
        <f t="shared" ca="1" si="19"/>
        <v>140.02350000000001</v>
      </c>
    </row>
    <row r="56" spans="2:37" x14ac:dyDescent="0.2">
      <c r="B56" s="418" t="s">
        <v>17</v>
      </c>
      <c r="C56" s="419" t="str">
        <f>'Available Stocks'!F31</f>
        <v>Gél</v>
      </c>
      <c r="D56" s="419" t="str">
        <f>'Available Stocks'!G31</f>
        <v>200 mg</v>
      </c>
      <c r="E56" s="616" t="str">
        <f>'Available Stocks'!$H31</f>
        <v>Efavirenz</v>
      </c>
      <c r="F56" s="859">
        <f>'Available Stocks'!K31</f>
        <v>90</v>
      </c>
      <c r="G56" s="421"/>
      <c r="H56" s="417">
        <f ca="1">'Global Synthesis'!H29</f>
        <v>6.65</v>
      </c>
      <c r="I56" s="394">
        <f>IF('General Data'!$E$11&gt;=1, 'Children YEAR1'!J464, 0)</f>
        <v>214.56269999999998</v>
      </c>
      <c r="J56" s="395">
        <f>IF('General Data'!$E$11&gt;=1, 'Children YEAR1'!K464, 0)</f>
        <v>62.317800000000005</v>
      </c>
      <c r="K56" s="395">
        <f>IF('General Data'!$E$11&gt;=1, 'Children YEAR1'!L464, 0)</f>
        <v>276.88049999999998</v>
      </c>
      <c r="L56" s="388">
        <f t="shared" ca="1" si="47"/>
        <v>1841.2553250000001</v>
      </c>
      <c r="M56" s="394">
        <f>IF('General Data'!$E$11&gt;=2, 'Children YEAR2'!J464, 0)</f>
        <v>0</v>
      </c>
      <c r="N56" s="395">
        <f>IF('General Data'!$E$11&gt;=2, 'Children YEAR2'!K464, 0)</f>
        <v>0</v>
      </c>
      <c r="O56" s="395">
        <f>IF('General Data'!$E$11&gt;=2, 'Children YEAR2'!L464, 0)</f>
        <v>0</v>
      </c>
      <c r="P56" s="388">
        <f t="shared" ca="1" si="48"/>
        <v>0</v>
      </c>
      <c r="Q56" s="418" t="str">
        <f t="shared" si="49"/>
        <v>EFV</v>
      </c>
      <c r="R56" s="419" t="str">
        <f t="shared" si="50"/>
        <v>Gél</v>
      </c>
      <c r="S56" s="419" t="str">
        <f t="shared" si="51"/>
        <v>200 mg</v>
      </c>
      <c r="T56" s="391" t="str">
        <f t="shared" si="52"/>
        <v>Efavirenz</v>
      </c>
      <c r="U56" s="420">
        <f t="shared" si="53"/>
        <v>90</v>
      </c>
      <c r="V56" s="421">
        <f t="shared" si="54"/>
        <v>0</v>
      </c>
      <c r="W56" s="417">
        <f t="shared" ca="1" si="55"/>
        <v>6.65</v>
      </c>
      <c r="X56" s="394">
        <f>IF('General Data'!$E$11&gt;=3, 'Children YEAR3'!J464, 0)</f>
        <v>0</v>
      </c>
      <c r="Y56" s="395">
        <f>IF('General Data'!$E$11&gt;=3, 'Children YEAR3'!K464, 0)</f>
        <v>0</v>
      </c>
      <c r="Z56" s="395">
        <f>IF('General Data'!$E$11&gt;=3, 'Children YEAR3'!L464, 0)</f>
        <v>0</v>
      </c>
      <c r="AA56" s="388">
        <f t="shared" ca="1" si="56"/>
        <v>0</v>
      </c>
      <c r="AB56" s="394">
        <f>IF('General Data'!$E$11&gt;=4, 'Children YEAR4'!J464, 0)</f>
        <v>0</v>
      </c>
      <c r="AC56" s="395">
        <f>IF('General Data'!$E$11&gt;=4, 'Children YEAR4'!K464, 0)</f>
        <v>0</v>
      </c>
      <c r="AD56" s="395">
        <f>IF('General Data'!$E$11&gt;=4, 'Children YEAR4'!L464, 0)</f>
        <v>0</v>
      </c>
      <c r="AE56" s="388">
        <f t="shared" ca="1" si="57"/>
        <v>0</v>
      </c>
      <c r="AF56" s="394">
        <f>IF('General Data'!$E$11&gt;=5, 'Children YEAR5'!J464, 0)</f>
        <v>0</v>
      </c>
      <c r="AG56" s="395">
        <f>IF('General Data'!$E$11&gt;=5, 'Children YEAR5'!K464, 0)</f>
        <v>0</v>
      </c>
      <c r="AH56" s="395">
        <f>IF('General Data'!$E$11&gt;=5, 'Children YEAR5'!L464, 0)</f>
        <v>0</v>
      </c>
      <c r="AI56" s="388">
        <f t="shared" ca="1" si="58"/>
        <v>0</v>
      </c>
      <c r="AJ56" s="863">
        <f t="shared" ca="1" si="19"/>
        <v>1841.2553250000001</v>
      </c>
    </row>
    <row r="57" spans="2:37" ht="25.5" x14ac:dyDescent="0.2">
      <c r="B57" s="418" t="s">
        <v>33</v>
      </c>
      <c r="C57" s="419" t="str">
        <f>'Available Stocks'!F45</f>
        <v>Cp</v>
      </c>
      <c r="D57" s="419" t="str">
        <f>'Available Stocks'!G45</f>
        <v>200/50 mg</v>
      </c>
      <c r="E57" s="616" t="str">
        <f>'Available Stocks'!$H45</f>
        <v>Lopinavir/ritonavir</v>
      </c>
      <c r="F57" s="859">
        <f>'Available Stocks'!K45</f>
        <v>120</v>
      </c>
      <c r="G57" s="421"/>
      <c r="H57" s="417">
        <f ca="1">'Global Synthesis'!H40</f>
        <v>30.749999999999996</v>
      </c>
      <c r="I57" s="394">
        <f>IF('General Data'!$E$11&gt;=1, 'Children YEAR1'!J465, 0)</f>
        <v>0</v>
      </c>
      <c r="J57" s="395">
        <f>IF('General Data'!$E$11&gt;=1, 'Children YEAR1'!K465, 0)</f>
        <v>0</v>
      </c>
      <c r="K57" s="395">
        <f>IF('General Data'!$E$11&gt;=1, 'Children YEAR1'!L465, 0)</f>
        <v>0</v>
      </c>
      <c r="L57" s="388">
        <f t="shared" ca="1" si="13"/>
        <v>0</v>
      </c>
      <c r="M57" s="394">
        <f>IF('General Data'!$E$11&gt;=2, 'Children YEAR2'!J465, 0)</f>
        <v>0</v>
      </c>
      <c r="N57" s="395">
        <f>IF('General Data'!$E$11&gt;=2, 'Children YEAR2'!K465, 0)</f>
        <v>0</v>
      </c>
      <c r="O57" s="395">
        <f>IF('General Data'!$E$11&gt;=2, 'Children YEAR2'!L465, 0)</f>
        <v>0</v>
      </c>
      <c r="P57" s="388">
        <f t="shared" ca="1" si="14"/>
        <v>0</v>
      </c>
      <c r="Q57" s="418" t="str">
        <f t="shared" si="20"/>
        <v>LPV/r</v>
      </c>
      <c r="R57" s="419" t="str">
        <f t="shared" si="21"/>
        <v>Cp</v>
      </c>
      <c r="S57" s="419" t="str">
        <f t="shared" si="22"/>
        <v>200/50 mg</v>
      </c>
      <c r="T57" s="391" t="str">
        <f t="shared" si="23"/>
        <v>Lopinavir/ritonavir</v>
      </c>
      <c r="U57" s="420">
        <f t="shared" si="24"/>
        <v>120</v>
      </c>
      <c r="V57" s="421">
        <f t="shared" si="25"/>
        <v>0</v>
      </c>
      <c r="W57" s="417">
        <f t="shared" ca="1" si="26"/>
        <v>30.749999999999996</v>
      </c>
      <c r="X57" s="394">
        <f>IF('General Data'!$E$11&gt;=3, 'Children YEAR3'!J465, 0)</f>
        <v>0</v>
      </c>
      <c r="Y57" s="395">
        <f>IF('General Data'!$E$11&gt;=3, 'Children YEAR3'!K465, 0)</f>
        <v>0</v>
      </c>
      <c r="Z57" s="395">
        <f>IF('General Data'!$E$11&gt;=3, 'Children YEAR3'!L465, 0)</f>
        <v>0</v>
      </c>
      <c r="AA57" s="388">
        <f t="shared" ca="1" si="16"/>
        <v>0</v>
      </c>
      <c r="AB57" s="394">
        <f>IF('General Data'!$E$11&gt;=4, 'Children YEAR4'!J465, 0)</f>
        <v>0</v>
      </c>
      <c r="AC57" s="395">
        <f>IF('General Data'!$E$11&gt;=4, 'Children YEAR4'!K465, 0)</f>
        <v>0</v>
      </c>
      <c r="AD57" s="395">
        <f>IF('General Data'!$E$11&gt;=4, 'Children YEAR4'!L465, 0)</f>
        <v>0</v>
      </c>
      <c r="AE57" s="388">
        <f t="shared" ca="1" si="17"/>
        <v>0</v>
      </c>
      <c r="AF57" s="394">
        <f>IF('General Data'!$E$11&gt;=5, 'Children YEAR5'!J465, 0)</f>
        <v>0</v>
      </c>
      <c r="AG57" s="395">
        <f>IF('General Data'!$E$11&gt;=5, 'Children YEAR5'!K465, 0)</f>
        <v>0</v>
      </c>
      <c r="AH57" s="395">
        <f>IF('General Data'!$E$11&gt;=5, 'Children YEAR5'!L465, 0)</f>
        <v>0</v>
      </c>
      <c r="AI57" s="388">
        <f t="shared" ca="1" si="18"/>
        <v>0</v>
      </c>
      <c r="AJ57" s="863">
        <f t="shared" ca="1" si="19"/>
        <v>0</v>
      </c>
    </row>
    <row r="58" spans="2:37" ht="26.25" thickBot="1" x14ac:dyDescent="0.25">
      <c r="B58" s="422" t="s">
        <v>638</v>
      </c>
      <c r="C58" s="423" t="str">
        <f>'Available Stocks'!F46</f>
        <v>Cp</v>
      </c>
      <c r="D58" s="423" t="str">
        <f>'Available Stocks'!G46</f>
        <v>100/25 mg</v>
      </c>
      <c r="E58" s="621" t="str">
        <f>'Available Stocks'!$H46</f>
        <v>Lopinavir/ritonavir</v>
      </c>
      <c r="F58" s="860">
        <f>'Available Stocks'!K46</f>
        <v>60</v>
      </c>
      <c r="G58" s="426"/>
      <c r="H58" s="427">
        <f ca="1">'Global Synthesis'!H41</f>
        <v>8.0399999999999991</v>
      </c>
      <c r="I58" s="428">
        <f>IF('General Data'!$E$11&gt;=1, 'Children YEAR1'!J466, 0)</f>
        <v>2290.1982000000003</v>
      </c>
      <c r="J58" s="429">
        <f>IF('General Data'!$E$11&gt;=1, 'Children YEAR1'!K466, 0)</f>
        <v>1144.9698000000003</v>
      </c>
      <c r="K58" s="429">
        <f>IF('General Data'!$E$11&gt;=1, 'Children YEAR1'!L466, 0)</f>
        <v>3435.1680000000006</v>
      </c>
      <c r="L58" s="430">
        <f t="shared" ca="1" si="13"/>
        <v>27618.75072</v>
      </c>
      <c r="M58" s="428">
        <f>IF('General Data'!$E$11&gt;=2, 'Children YEAR2'!J466, 0)</f>
        <v>0</v>
      </c>
      <c r="N58" s="429">
        <f>IF('General Data'!$E$11&gt;=2, 'Children YEAR2'!K466, 0)</f>
        <v>0</v>
      </c>
      <c r="O58" s="429">
        <f>IF('General Data'!$E$11&gt;=2, 'Children YEAR2'!L466, 0)</f>
        <v>0</v>
      </c>
      <c r="P58" s="430">
        <f t="shared" ca="1" si="14"/>
        <v>0</v>
      </c>
      <c r="Q58" s="422" t="str">
        <f t="shared" si="20"/>
        <v>LPV/r baby</v>
      </c>
      <c r="R58" s="423" t="str">
        <f t="shared" si="21"/>
        <v>Cp</v>
      </c>
      <c r="S58" s="423" t="str">
        <f t="shared" si="22"/>
        <v>100/25 mg</v>
      </c>
      <c r="T58" s="424" t="str">
        <f t="shared" si="23"/>
        <v>Lopinavir/ritonavir</v>
      </c>
      <c r="U58" s="425">
        <f t="shared" si="24"/>
        <v>60</v>
      </c>
      <c r="V58" s="426">
        <f t="shared" si="25"/>
        <v>0</v>
      </c>
      <c r="W58" s="427">
        <f t="shared" ca="1" si="26"/>
        <v>8.0399999999999991</v>
      </c>
      <c r="X58" s="428">
        <f>IF('General Data'!$E$11&gt;=3, 'Children YEAR3'!J466, 0)</f>
        <v>0</v>
      </c>
      <c r="Y58" s="429">
        <f>IF('General Data'!$E$11&gt;=3, 'Children YEAR3'!K466, 0)</f>
        <v>0</v>
      </c>
      <c r="Z58" s="429">
        <f>IF('General Data'!$E$11&gt;=3, 'Children YEAR3'!L466, 0)</f>
        <v>0</v>
      </c>
      <c r="AA58" s="430">
        <f t="shared" ca="1" si="16"/>
        <v>0</v>
      </c>
      <c r="AB58" s="428">
        <f>IF('General Data'!$E$11&gt;=4, 'Children YEAR4'!J466, 0)</f>
        <v>0</v>
      </c>
      <c r="AC58" s="429">
        <f>IF('General Data'!$E$11&gt;=4, 'Children YEAR4'!K466, 0)</f>
        <v>0</v>
      </c>
      <c r="AD58" s="429">
        <f>IF('General Data'!$E$11&gt;=4, 'Children YEAR4'!L466, 0)</f>
        <v>0</v>
      </c>
      <c r="AE58" s="430">
        <f t="shared" ca="1" si="17"/>
        <v>0</v>
      </c>
      <c r="AF58" s="428">
        <f>IF('General Data'!$E$11&gt;=5, 'Children YEAR5'!J466, 0)</f>
        <v>0</v>
      </c>
      <c r="AG58" s="429">
        <f>IF('General Data'!$E$11&gt;=5, 'Children YEAR5'!K466, 0)</f>
        <v>0</v>
      </c>
      <c r="AH58" s="429">
        <f>IF('General Data'!$E$11&gt;=5, 'Children YEAR5'!L466, 0)</f>
        <v>0</v>
      </c>
      <c r="AI58" s="430">
        <f t="shared" ca="1" si="18"/>
        <v>0</v>
      </c>
      <c r="AJ58" s="864">
        <f t="shared" ca="1" si="19"/>
        <v>27618.75072</v>
      </c>
    </row>
    <row r="59" spans="2:37" ht="13.5" thickBot="1" x14ac:dyDescent="0.25">
      <c r="L59" s="431">
        <f ca="1">SUM(L25:L32)+SUM(L34:L58)</f>
        <v>143667.65416343999</v>
      </c>
      <c r="P59" s="431">
        <f ca="1">SUM(P25:P32)+SUM(P34:P58)</f>
        <v>0</v>
      </c>
      <c r="Q59" s="1366"/>
      <c r="R59" s="1366"/>
      <c r="S59" s="1366"/>
      <c r="T59" s="1366"/>
      <c r="U59" s="1366"/>
      <c r="V59" s="1366"/>
      <c r="W59" s="1366"/>
      <c r="AA59" s="431">
        <f ca="1">SUM(AA25:AA32)+SUM(AA34:AA58)</f>
        <v>0</v>
      </c>
      <c r="AE59" s="431">
        <f ca="1">SUM(AE25:AE32)+SUM(AE34:AE58)</f>
        <v>0</v>
      </c>
      <c r="AI59" s="431">
        <f ca="1">SUM(AI25:AI32)+SUM(AI34:AI58)</f>
        <v>0</v>
      </c>
      <c r="AJ59" s="432">
        <f t="shared" ca="1" si="19"/>
        <v>143667.65416343999</v>
      </c>
    </row>
    <row r="60" spans="2:37" ht="13.5" thickBot="1" x14ac:dyDescent="0.25">
      <c r="Q60" s="959"/>
      <c r="R60" s="959"/>
      <c r="S60" s="959"/>
      <c r="T60" s="959"/>
      <c r="U60" s="959"/>
      <c r="V60" s="959"/>
      <c r="W60" s="959"/>
      <c r="X60" s="959"/>
    </row>
    <row r="61" spans="2:37" ht="77.25" thickBot="1" x14ac:dyDescent="0.25">
      <c r="B61" s="433" t="s">
        <v>241</v>
      </c>
      <c r="C61" s="434"/>
      <c r="D61" s="291"/>
      <c r="E61" s="291"/>
      <c r="F61" s="291"/>
      <c r="G61" s="291"/>
      <c r="H61" s="291"/>
      <c r="I61" s="291"/>
      <c r="J61" s="291"/>
      <c r="K61" s="291"/>
      <c r="L61" s="291"/>
      <c r="AH61" s="1342" t="s">
        <v>673</v>
      </c>
      <c r="AI61" s="1427">
        <f>'General Data'!$E$33</f>
        <v>0.18</v>
      </c>
      <c r="AJ61" s="260" t="s">
        <v>537</v>
      </c>
      <c r="AK61" s="925">
        <f ca="1">AJ59*AI61</f>
        <v>25860.177749419196</v>
      </c>
    </row>
    <row r="62" spans="2:37" ht="26.25" thickBot="1" x14ac:dyDescent="0.25">
      <c r="B62" s="351" t="s">
        <v>240</v>
      </c>
      <c r="C62" s="293" t="s">
        <v>535</v>
      </c>
      <c r="AH62" s="1342" t="s">
        <v>536</v>
      </c>
      <c r="AI62" s="1427">
        <f>'General Data'!$E$36</f>
        <v>0</v>
      </c>
      <c r="AJ62" s="260" t="s">
        <v>537</v>
      </c>
      <c r="AK62" s="925">
        <f ca="1">AJ59*AI62</f>
        <v>0</v>
      </c>
    </row>
    <row r="63" spans="2:37" x14ac:dyDescent="0.2">
      <c r="B63" s="351" t="s">
        <v>263</v>
      </c>
      <c r="C63" s="2220" t="s">
        <v>597</v>
      </c>
      <c r="D63" s="2220"/>
      <c r="E63" s="2220"/>
      <c r="F63" s="2220"/>
      <c r="G63" s="2220"/>
      <c r="H63" s="2220"/>
      <c r="I63" s="2220"/>
      <c r="J63" s="2220"/>
    </row>
    <row r="64" spans="2:37" ht="13.5" thickBot="1" x14ac:dyDescent="0.25">
      <c r="C64" s="958"/>
    </row>
    <row r="65" spans="34:37" ht="16.5" thickBot="1" x14ac:dyDescent="0.3">
      <c r="AJ65" s="926" t="s">
        <v>538</v>
      </c>
      <c r="AK65" s="927">
        <f ca="1">AJ59+AK61+AK62</f>
        <v>169527.8319128592</v>
      </c>
    </row>
    <row r="66" spans="34:37" ht="13.5" thickBot="1" x14ac:dyDescent="0.25">
      <c r="AH66" s="523"/>
      <c r="AI66" s="523"/>
      <c r="AJ66" s="523"/>
      <c r="AK66" s="523"/>
    </row>
    <row r="67" spans="34:37" ht="13.5" thickBot="1" x14ac:dyDescent="0.25">
      <c r="AI67" s="260" t="s">
        <v>539</v>
      </c>
      <c r="AK67" s="1454">
        <f>'General Data'!$F$39</f>
        <v>0.75</v>
      </c>
    </row>
    <row r="68" spans="34:37" ht="13.5" thickBot="1" x14ac:dyDescent="0.25"/>
    <row r="69" spans="34:37" ht="13.5" thickBot="1" x14ac:dyDescent="0.25">
      <c r="AJ69" s="909"/>
      <c r="AK69" s="909">
        <f ca="1">AJ59*AK67</f>
        <v>107750.74062257999</v>
      </c>
    </row>
    <row r="70" spans="34:37" ht="13.5" thickBot="1" x14ac:dyDescent="0.25">
      <c r="AH70" s="523"/>
      <c r="AI70" s="523"/>
      <c r="AJ70" s="523"/>
      <c r="AK70" s="523"/>
    </row>
    <row r="71" spans="34:37" ht="16.5" thickBot="1" x14ac:dyDescent="0.3">
      <c r="AH71" s="523"/>
      <c r="AI71" s="523"/>
      <c r="AJ71" s="926" t="s">
        <v>540</v>
      </c>
      <c r="AK71" s="928">
        <f ca="1">AK65*AK67</f>
        <v>127145.87393464439</v>
      </c>
    </row>
  </sheetData>
  <sheetProtection sheet="1" objects="1" scenarios="1"/>
  <mergeCells count="14">
    <mergeCell ref="C63:J63"/>
    <mergeCell ref="B2:Z2"/>
    <mergeCell ref="X23:AA23"/>
    <mergeCell ref="AB23:AE23"/>
    <mergeCell ref="AF23:AI23"/>
    <mergeCell ref="N4:O4"/>
    <mergeCell ref="I23:L23"/>
    <mergeCell ref="M23:P23"/>
    <mergeCell ref="B20:Z20"/>
    <mergeCell ref="D4:E4"/>
    <mergeCell ref="F4:G4"/>
    <mergeCell ref="H4:I4"/>
    <mergeCell ref="J4:K4"/>
    <mergeCell ref="L4:M4"/>
  </mergeCells>
  <phoneticPr fontId="12" type="noConversion"/>
  <pageMargins left="0.23622047244094491" right="0.23622047244094491" top="0.74803149606299213" bottom="0.74803149606299213" header="0.31496062992125984" footer="0.31496062992125984"/>
  <pageSetup paperSize="9" scale="55" orientation="landscape"/>
  <colBreaks count="1" manualBreakCount="1">
    <brk id="17" max="1048575" man="1"/>
  </colBreak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tabColor rgb="FF92D050"/>
  </sheetPr>
  <dimension ref="A2:M55"/>
  <sheetViews>
    <sheetView showGridLines="0" zoomScaleSheetLayoutView="115" workbookViewId="0">
      <selection activeCell="F43" sqref="F43"/>
    </sheetView>
  </sheetViews>
  <sheetFormatPr baseColWidth="10" defaultColWidth="12" defaultRowHeight="12.75" x14ac:dyDescent="0.2"/>
  <cols>
    <col min="1" max="1" width="4.6640625" customWidth="1"/>
    <col min="2" max="2" width="14.83203125" customWidth="1"/>
    <col min="3" max="3" width="37.1640625" bestFit="1" customWidth="1"/>
    <col min="4" max="4" width="16.83203125" customWidth="1"/>
    <col min="5" max="5" width="27.83203125" customWidth="1"/>
  </cols>
  <sheetData>
    <row r="2" spans="1:13" s="50" customFormat="1" ht="16.5" thickBot="1" x14ac:dyDescent="0.3">
      <c r="A2" s="2093" t="str">
        <f>'TRAD-General Data'!B2</f>
        <v>Etape 1 : Renseignement de données générales</v>
      </c>
      <c r="B2" s="2093"/>
      <c r="C2" s="2093"/>
      <c r="D2" s="2093"/>
      <c r="E2" s="2093"/>
      <c r="F2" s="2093"/>
      <c r="G2" s="2093"/>
      <c r="H2" s="2093"/>
      <c r="I2" s="1"/>
      <c r="J2" s="49"/>
      <c r="K2" s="49"/>
      <c r="L2" s="49"/>
      <c r="M2" s="49"/>
    </row>
    <row r="3" spans="1:13" s="4" customFormat="1" x14ac:dyDescent="0.2"/>
    <row r="4" spans="1:13" s="4" customFormat="1" ht="13.5" thickBot="1" x14ac:dyDescent="0.25">
      <c r="C4" s="8"/>
      <c r="G4" s="10"/>
    </row>
    <row r="5" spans="1:13" s="4" customFormat="1" ht="13.5" thickBot="1" x14ac:dyDescent="0.25">
      <c r="B5" s="3" t="str">
        <f>'TRAD-General Data'!B3</f>
        <v>Nom du pays concerné</v>
      </c>
      <c r="C5" s="8"/>
      <c r="E5" s="1524" t="s">
        <v>1550</v>
      </c>
      <c r="G5" s="8"/>
    </row>
    <row r="6" spans="1:13" s="4" customFormat="1" ht="13.5" thickBot="1" x14ac:dyDescent="0.25">
      <c r="B6" s="942"/>
      <c r="C6" s="8"/>
    </row>
    <row r="7" spans="1:13" s="4" customFormat="1" ht="13.5" thickBot="1" x14ac:dyDescent="0.25">
      <c r="B7" s="3" t="str">
        <f>'TRAD-General Data'!B4</f>
        <v>Donateur</v>
      </c>
      <c r="C7" s="8"/>
      <c r="E7" s="1523" t="s">
        <v>1618</v>
      </c>
      <c r="F7" s="917"/>
    </row>
    <row r="8" spans="1:13" s="4" customFormat="1" ht="13.5" thickBot="1" x14ac:dyDescent="0.25">
      <c r="C8" s="8"/>
    </row>
    <row r="9" spans="1:13" s="4" customFormat="1" ht="13.5" thickBot="1" x14ac:dyDescent="0.25">
      <c r="B9" s="3" t="str">
        <f>'TRAD-General Data'!B5</f>
        <v>Date de l'estimation</v>
      </c>
      <c r="C9" s="8"/>
      <c r="E9" s="1522">
        <v>41796</v>
      </c>
    </row>
    <row r="10" spans="1:13" s="4" customFormat="1" ht="13.5" thickBot="1" x14ac:dyDescent="0.25">
      <c r="C10" s="8"/>
    </row>
    <row r="11" spans="1:13" s="4" customFormat="1" ht="27" customHeight="1" thickBot="1" x14ac:dyDescent="0.25">
      <c r="B11" s="240" t="str">
        <f>'TRAD-General Data'!B7</f>
        <v>Pour combien d'années souhaitez vous faire les estimations ?</v>
      </c>
      <c r="E11" s="1519">
        <v>1</v>
      </c>
      <c r="F11" s="240" t="str">
        <f>'TRAD-General Data'!B6</f>
        <v>Année(s)</v>
      </c>
      <c r="G11" s="2097"/>
      <c r="H11" s="2097"/>
      <c r="I11" s="2097"/>
      <c r="J11" s="2097"/>
      <c r="K11" s="2097"/>
    </row>
    <row r="12" spans="1:13" s="4" customFormat="1" ht="13.5" thickBot="1" x14ac:dyDescent="0.25"/>
    <row r="13" spans="1:13" s="4" customFormat="1" ht="13.5" thickBot="1" x14ac:dyDescent="0.25">
      <c r="C13" s="4" t="str">
        <f>'TRAD-General Data'!B8</f>
        <v>Précisez les périodes correspondantes</v>
      </c>
      <c r="D13" s="4" t="str">
        <f>'TRAD-General Data'!B10</f>
        <v>Année 1</v>
      </c>
      <c r="E13" s="1520" t="s">
        <v>1619</v>
      </c>
      <c r="G13" s="8" t="str">
        <f>'TRAD-General Data'!B16</f>
        <v>L'illustrer par des diagrammes</v>
      </c>
    </row>
    <row r="14" spans="1:13" s="4" customFormat="1" ht="13.5" thickBot="1" x14ac:dyDescent="0.25">
      <c r="C14" s="8" t="str">
        <f>'TRAD-General Data'!B9</f>
        <v>(exemple : juillet 2010 - juin 2011)</v>
      </c>
      <c r="D14" s="4" t="str">
        <f>'TRAD-General Data'!B11</f>
        <v>Année 2</v>
      </c>
      <c r="E14" s="1520"/>
    </row>
    <row r="15" spans="1:13" s="4" customFormat="1" ht="13.5" thickBot="1" x14ac:dyDescent="0.25">
      <c r="D15" s="4" t="str">
        <f>'TRAD-General Data'!B12</f>
        <v>Année 3</v>
      </c>
      <c r="E15" s="1520"/>
    </row>
    <row r="16" spans="1:13" s="4" customFormat="1" ht="13.5" thickBot="1" x14ac:dyDescent="0.25">
      <c r="D16" s="4" t="str">
        <f>'TRAD-General Data'!B13</f>
        <v>Année 4</v>
      </c>
      <c r="E16" s="1520"/>
    </row>
    <row r="17" spans="2:11" s="4" customFormat="1" ht="13.5" thickBot="1" x14ac:dyDescent="0.25">
      <c r="D17" s="4" t="str">
        <f>'TRAD-General Data'!B14</f>
        <v>Année 5</v>
      </c>
      <c r="E17" s="1520"/>
    </row>
    <row r="18" spans="2:11" s="4" customFormat="1" x14ac:dyDescent="0.2"/>
    <row r="19" spans="2:11" s="3" customFormat="1" x14ac:dyDescent="0.2">
      <c r="B19" s="3" t="str">
        <f>'TRAD-General Data'!B15</f>
        <v xml:space="preserve">Option: Cas où la période de quantification  &lt;12 mois </v>
      </c>
    </row>
    <row r="20" spans="2:11" s="4" customFormat="1" ht="13.5" thickBot="1" x14ac:dyDescent="0.25"/>
    <row r="21" spans="2:11" s="4" customFormat="1" ht="13.5" thickBot="1" x14ac:dyDescent="0.25">
      <c r="C21" s="4" t="str">
        <f>'TRAD-General Data'!B17</f>
        <v>Si oui, cliquez la case verte par un X</v>
      </c>
      <c r="E21" s="1521"/>
    </row>
    <row r="22" spans="2:11" s="4" customFormat="1" ht="13.5" thickBot="1" x14ac:dyDescent="0.25">
      <c r="G22" s="8"/>
      <c r="H22" s="8"/>
    </row>
    <row r="23" spans="2:11" s="4" customFormat="1" ht="39" thickBot="1" x14ac:dyDescent="0.25">
      <c r="C23" s="225" t="str">
        <f>'TRAD-General Data'!B18</f>
        <v>Exprimer les périodes de quantification en mois (3 mois, 6 mois,…)</v>
      </c>
      <c r="D23" s="4" t="str">
        <f>'TRAD-General Data'!B19</f>
        <v>Année 1</v>
      </c>
      <c r="E23" s="1520">
        <v>12</v>
      </c>
      <c r="F23" s="4" t="str">
        <f>'TRAD-General Data'!B24</f>
        <v>mois</v>
      </c>
      <c r="G23" s="895" t="str">
        <f>IF($E$11&gt;=1, IF($E$21="X", IF(ISBLANK(E23), "12", E23), "12"), "NA")</f>
        <v>12</v>
      </c>
      <c r="H23" s="8" t="str">
        <f>'TRAD-General Data'!B24</f>
        <v>mois</v>
      </c>
    </row>
    <row r="24" spans="2:11" s="4" customFormat="1" ht="13.5" thickBot="1" x14ac:dyDescent="0.25">
      <c r="D24" s="4" t="str">
        <f>'TRAD-General Data'!B20</f>
        <v>Année 2</v>
      </c>
      <c r="E24" s="1520"/>
      <c r="F24" s="4" t="str">
        <f>'TRAD-General Data'!B26</f>
        <v>mois</v>
      </c>
      <c r="G24" s="895" t="str">
        <f>IF($E$11&gt;=2, IF($E$21="X", IF(ISBLANK(E24), "12", E24), "12"), "NA")</f>
        <v>NA</v>
      </c>
      <c r="H24" s="8" t="str">
        <f>'TRAD-General Data'!B26</f>
        <v>mois</v>
      </c>
    </row>
    <row r="25" spans="2:11" s="4" customFormat="1" ht="13.5" thickBot="1" x14ac:dyDescent="0.25">
      <c r="D25" s="4" t="str">
        <f>'TRAD-General Data'!B21</f>
        <v>Année 3</v>
      </c>
      <c r="E25" s="1520"/>
      <c r="F25" s="4" t="str">
        <f>'TRAD-General Data'!B27</f>
        <v>mois</v>
      </c>
      <c r="G25" s="895" t="str">
        <f>IF($E$11&gt;=3, IF($E$21="X", IF(ISBLANK(E25), "12", E25), "12"), "NA")</f>
        <v>NA</v>
      </c>
      <c r="H25" s="8" t="str">
        <f>'TRAD-General Data'!B27</f>
        <v>mois</v>
      </c>
    </row>
    <row r="26" spans="2:11" s="4" customFormat="1" ht="13.5" thickBot="1" x14ac:dyDescent="0.25">
      <c r="D26" s="4" t="str">
        <f>'TRAD-General Data'!B22</f>
        <v>Année 4</v>
      </c>
      <c r="E26" s="1520"/>
      <c r="F26" s="4" t="str">
        <f>'TRAD-General Data'!B28</f>
        <v>mois</v>
      </c>
      <c r="G26" s="895" t="str">
        <f>IF($E$11&gt;=4, IF($E$21="X", IF(ISBLANK(E26), "12", E26), "12"), "NA")</f>
        <v>NA</v>
      </c>
      <c r="H26" s="8" t="str">
        <f>'TRAD-General Data'!B28</f>
        <v>mois</v>
      </c>
    </row>
    <row r="27" spans="2:11" s="4" customFormat="1" ht="13.5" thickBot="1" x14ac:dyDescent="0.25">
      <c r="D27" s="4" t="str">
        <f>'TRAD-General Data'!B23</f>
        <v>Année 5</v>
      </c>
      <c r="E27" s="1520"/>
      <c r="F27" s="4" t="str">
        <f>'TRAD-General Data'!B29</f>
        <v>mois</v>
      </c>
      <c r="G27" s="895" t="str">
        <f>IF($E$11&gt;=5, IF($E$21="X", IF(ISBLANK(E27), "12", E27), "12"), "NA")</f>
        <v>NA</v>
      </c>
      <c r="H27" s="8" t="str">
        <f>'TRAD-General Data'!B29</f>
        <v>mois</v>
      </c>
    </row>
    <row r="28" spans="2:11" s="4" customFormat="1" x14ac:dyDescent="0.2"/>
    <row r="29" spans="2:11" s="4" customFormat="1" ht="13.5" thickBot="1" x14ac:dyDescent="0.25"/>
    <row r="30" spans="2:11" s="4" customFormat="1" ht="40.5" customHeight="1" thickBot="1" x14ac:dyDescent="0.25">
      <c r="B30" s="240" t="str">
        <f>'TRAD-General Data'!B30</f>
        <v>Quelle période de sécurité souhaitez vous ajouter ?</v>
      </c>
      <c r="C30" s="3"/>
      <c r="E30" s="1519">
        <v>3</v>
      </c>
      <c r="F30" s="240" t="s">
        <v>421</v>
      </c>
      <c r="G30" s="2096" t="str">
        <f>'TRAD-General Data'!B31</f>
        <v>Chaque année la quantité est réajustée pour couvrir les besoins sur cette période en fonction de l'augmentation des besoins par rapport à l'année précédente.</v>
      </c>
      <c r="H30" s="2096"/>
      <c r="I30" s="2096"/>
      <c r="J30" s="2096"/>
      <c r="K30" s="2096"/>
    </row>
    <row r="31" spans="2:11" s="4" customFormat="1" x14ac:dyDescent="0.2">
      <c r="B31" s="240"/>
    </row>
    <row r="32" spans="2:11" ht="13.5" thickBot="1" x14ac:dyDescent="0.25">
      <c r="B32" s="240" t="str">
        <f>'TRAD-General Data'!B32</f>
        <v>Les prix utilisés pour les estimations prennent en compte les INCOTERMS EXW. Vous pouvez définir un taux d'augmentation pour les taxes, coût ou condition de transport, assurance, une marge de variation des coûts (habituellement dans l'ordre de 3 à 20%)</v>
      </c>
      <c r="E32" s="1426"/>
    </row>
    <row r="33" spans="2:7" ht="13.5" thickBot="1" x14ac:dyDescent="0.25">
      <c r="E33" s="1518">
        <v>0.18</v>
      </c>
    </row>
    <row r="35" spans="2:7" ht="13.5" thickBot="1" x14ac:dyDescent="0.25">
      <c r="B35" s="240" t="str">
        <f>'TRAD-General Data'!B33</f>
        <v>Vous pouvez également prendre en compte les frais de gestion. Définir le taux que vous souhaitez</v>
      </c>
    </row>
    <row r="36" spans="2:7" ht="13.5" thickBot="1" x14ac:dyDescent="0.25">
      <c r="E36" s="1518"/>
    </row>
    <row r="38" spans="2:7" ht="13.5" thickBot="1" x14ac:dyDescent="0.25">
      <c r="B38" s="240" t="str">
        <f>'TRAD-General Data'!B34</f>
        <v>Si vous voulez le prix en euros, vous devez définir le taux de change (pour 1$)</v>
      </c>
    </row>
    <row r="39" spans="2:7" ht="13.5" thickBot="1" x14ac:dyDescent="0.25">
      <c r="C39" s="260" t="str">
        <f>'TRAD-General Data'!B38</f>
        <v>Taux de change 1$ =</v>
      </c>
      <c r="F39" s="918">
        <v>0.75</v>
      </c>
    </row>
    <row r="40" spans="2:7" ht="13.5" thickBot="1" x14ac:dyDescent="0.25"/>
    <row r="41" spans="2:7" ht="26.25" customHeight="1" thickBot="1" x14ac:dyDescent="0.25">
      <c r="B41" s="2098" t="str">
        <f>'TRAD-General Data'!B35</f>
        <v>Précisez la source des prix que vous souhaitez prendre en compte (attention, les prix doivent être renseignés dans la feuille correspondante)</v>
      </c>
      <c r="C41" s="2098"/>
      <c r="D41" s="2098"/>
      <c r="E41" s="1800" t="str">
        <f>'TRAD-General Data'!B37</f>
        <v>Prix centrale d'achat nationale</v>
      </c>
      <c r="F41" s="1521"/>
    </row>
    <row r="42" spans="2:7" ht="13.5" thickBot="1" x14ac:dyDescent="0.25">
      <c r="E42" s="1800" t="str">
        <f>'TRAD-General Data'!B42</f>
        <v>Prix VPP</v>
      </c>
      <c r="F42" s="1521"/>
      <c r="G42" s="1800" t="str">
        <f>'TRAD-General Data'!B43</f>
        <v>Prix minimum</v>
      </c>
    </row>
    <row r="43" spans="2:7" ht="13.5" thickBot="1" x14ac:dyDescent="0.25">
      <c r="F43" s="1521"/>
      <c r="G43" s="1800" t="str">
        <f>'TRAD-General Data'!B44</f>
        <v>Prix moyen</v>
      </c>
    </row>
    <row r="44" spans="2:7" ht="13.5" thickBot="1" x14ac:dyDescent="0.25">
      <c r="E44" s="1800"/>
      <c r="F44" s="1521" t="s">
        <v>225</v>
      </c>
      <c r="G44" s="1800" t="str">
        <f>'TRAD-General Data'!B46</f>
        <v>Prix maximum</v>
      </c>
    </row>
    <row r="45" spans="2:7" ht="26.25" thickBot="1" x14ac:dyDescent="0.25">
      <c r="E45" s="2036" t="str">
        <f>'TRAD-General Data'!B39</f>
        <v>Guide international des prix de médicaments - MSH</v>
      </c>
      <c r="F45" s="1521"/>
      <c r="G45" s="1800" t="str">
        <f>'TRAD-General Data'!B40</f>
        <v>Prix médian Acheteur</v>
      </c>
    </row>
    <row r="46" spans="2:7" ht="13.5" thickBot="1" x14ac:dyDescent="0.25">
      <c r="F46" s="1521"/>
      <c r="G46" s="1800" t="str">
        <f>'TRAD-General Data'!B41</f>
        <v>Prix médian Vendeur</v>
      </c>
    </row>
    <row r="47" spans="2:7" ht="13.5" thickBot="1" x14ac:dyDescent="0.25">
      <c r="E47" s="1800" t="str">
        <f>'TRAD-General Data'!B47</f>
        <v>Prix CHAI</v>
      </c>
      <c r="F47" s="1521"/>
    </row>
    <row r="48" spans="2:7" ht="13.5" thickBot="1" x14ac:dyDescent="0.25">
      <c r="E48" s="1800" t="str">
        <f>'TRAD-General Data'!B48</f>
        <v>Autre source de prix</v>
      </c>
      <c r="F48" s="1521"/>
    </row>
    <row r="50" spans="3:7" ht="13.5" thickBot="1" x14ac:dyDescent="0.25">
      <c r="C50" s="2037" t="str">
        <f>'TRAD-General Data'!B49</f>
        <v>Vous pouvez également choisir le prix moyen ou maximum de l'ensemble des sources de prix renseignées</v>
      </c>
    </row>
    <row r="51" spans="3:7" ht="13.5" thickBot="1" x14ac:dyDescent="0.25">
      <c r="F51" s="1521"/>
      <c r="G51" s="1800" t="str">
        <f>'TRAD-General Data'!B44</f>
        <v>Prix moyen</v>
      </c>
    </row>
    <row r="52" spans="3:7" ht="13.5" thickBot="1" x14ac:dyDescent="0.25">
      <c r="F52" s="1521"/>
      <c r="G52" s="1800" t="str">
        <f>'TRAD-General Data'!B45</f>
        <v>Prix médian</v>
      </c>
    </row>
    <row r="53" spans="3:7" ht="13.5" thickBot="1" x14ac:dyDescent="0.25">
      <c r="F53" s="1521"/>
      <c r="G53" s="1800" t="str">
        <f>'TRAD-General Data'!B46</f>
        <v>Prix maximum</v>
      </c>
    </row>
    <row r="54" spans="3:7" ht="13.5" thickBot="1" x14ac:dyDescent="0.25"/>
    <row r="55" spans="3:7" ht="13.5" thickBot="1" x14ac:dyDescent="0.25">
      <c r="C55" s="1845" t="str">
        <f>'TRAD-General Data'!B51</f>
        <v>Attention, il ne faut qu'un seul choix, sinon le premier sera retenu.</v>
      </c>
      <c r="D55" s="1846"/>
      <c r="E55" s="1846"/>
      <c r="F55" s="1846"/>
      <c r="G55" s="1847"/>
    </row>
  </sheetData>
  <sheetProtection password="D0E7" sheet="1" objects="1" scenarios="1" selectLockedCells="1"/>
  <mergeCells count="4">
    <mergeCell ref="A2:H2"/>
    <mergeCell ref="G30:K30"/>
    <mergeCell ref="G11:K11"/>
    <mergeCell ref="B41:D41"/>
  </mergeCells>
  <pageMargins left="0.25" right="0.25" top="0.75" bottom="0.75" header="0.3" footer="0.3"/>
  <pageSetup paperSize="9" scale="89" orientation="landscape" r:id="rId1"/>
  <ignoredErrors>
    <ignoredError sqref="G23:G27" formula="1"/>
  </ignoredErrors>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9">
    <tabColor theme="9"/>
  </sheetPr>
  <dimension ref="A2:AI71"/>
  <sheetViews>
    <sheetView showGridLines="0" zoomScale="85" zoomScaleNormal="85" zoomScaleSheetLayoutView="40" zoomScalePageLayoutView="90" workbookViewId="0">
      <selection activeCell="C20" sqref="A20:XFD20"/>
    </sheetView>
  </sheetViews>
  <sheetFormatPr baseColWidth="10" defaultColWidth="12" defaultRowHeight="12.75" x14ac:dyDescent="0.2"/>
  <cols>
    <col min="1" max="1" width="6.5" style="523" customWidth="1"/>
    <col min="2" max="2" width="6.6640625" style="523" customWidth="1"/>
    <col min="3" max="3" width="16.33203125" style="523" bestFit="1" customWidth="1"/>
    <col min="4" max="4" width="19" style="523" bestFit="1" customWidth="1"/>
    <col min="5" max="6" width="15.5" style="523" bestFit="1" customWidth="1"/>
    <col min="7" max="7" width="15.83203125" style="523" customWidth="1"/>
    <col min="8" max="8" width="17.1640625" style="523" customWidth="1"/>
    <col min="9" max="9" width="16.83203125" style="523" customWidth="1"/>
    <col min="10" max="12" width="12.33203125" style="523" customWidth="1"/>
    <col min="13" max="13" width="12.33203125" style="523" bestFit="1" customWidth="1"/>
    <col min="14" max="14" width="21.1640625" style="523" bestFit="1" customWidth="1"/>
    <col min="15" max="18" width="12.1640625" style="523" bestFit="1" customWidth="1"/>
    <col min="19" max="19" width="21.5" style="523" bestFit="1" customWidth="1"/>
    <col min="20" max="22" width="12.1640625" style="523" bestFit="1" customWidth="1"/>
    <col min="23" max="23" width="17.1640625" style="523" bestFit="1" customWidth="1"/>
    <col min="24" max="26" width="12" style="523"/>
    <col min="27" max="27" width="17.1640625" style="523" bestFit="1" customWidth="1"/>
    <col min="28" max="30" width="12" style="523"/>
    <col min="31" max="31" width="17.1640625" style="523" bestFit="1" customWidth="1"/>
    <col min="32" max="32" width="20.1640625" style="523" bestFit="1" customWidth="1"/>
    <col min="33" max="33" width="23.6640625" style="523" bestFit="1" customWidth="1"/>
    <col min="34" max="34" width="12" style="523"/>
    <col min="35" max="35" width="21.33203125" style="523" bestFit="1" customWidth="1"/>
    <col min="36" max="16384" width="12" style="523"/>
  </cols>
  <sheetData>
    <row r="2" spans="1:33" s="263" customFormat="1" ht="16.5" thickBot="1" x14ac:dyDescent="0.3">
      <c r="A2" s="261"/>
      <c r="B2" s="2177" t="str">
        <f>'TRAD-Global Synthesis'!B2</f>
        <v>Résultats N°5: Besoins en ARV pour les adultes et les enfants EN TENANT COMPTE DES STOCKS DISPONIBLES au début de la période de quantification</v>
      </c>
      <c r="C2" s="2177"/>
      <c r="D2" s="2177"/>
      <c r="E2" s="2177"/>
      <c r="F2" s="2177"/>
      <c r="G2" s="2177"/>
      <c r="H2" s="2177"/>
      <c r="I2" s="2177"/>
      <c r="J2" s="2177"/>
      <c r="K2" s="2177"/>
      <c r="L2" s="2177"/>
      <c r="M2" s="2177"/>
      <c r="N2" s="2177"/>
      <c r="O2" s="2177"/>
      <c r="P2" s="262"/>
      <c r="Q2" s="262"/>
      <c r="R2" s="262"/>
      <c r="S2" s="262"/>
    </row>
    <row r="3" spans="1:33" s="260" customFormat="1" x14ac:dyDescent="0.2"/>
    <row r="4" spans="1:33" s="260" customFormat="1" ht="15" x14ac:dyDescent="0.25">
      <c r="B4" s="435" t="str">
        <f>'TRAD-Global Synthesis'!B3</f>
        <v>Nom du Pays</v>
      </c>
      <c r="C4" s="910" t="str">
        <f>'General Data'!E5</f>
        <v>NIGER</v>
      </c>
    </row>
    <row r="5" spans="1:33" s="436" customFormat="1" ht="15" x14ac:dyDescent="0.25">
      <c r="B5" s="435" t="str">
        <f>'TRAD-Global Synthesis'!B4</f>
        <v>Nature du financement</v>
      </c>
      <c r="C5" s="910" t="str">
        <f>'General Data'!E7</f>
        <v>Besoins Nationaux</v>
      </c>
    </row>
    <row r="6" spans="1:33" s="260" customFormat="1" ht="15" x14ac:dyDescent="0.25">
      <c r="B6" s="435" t="str">
        <f>'TRAD-Global Synthesis'!B5</f>
        <v>Date de l'estimation</v>
      </c>
      <c r="C6" s="911">
        <f>'General Data'!E9</f>
        <v>41796</v>
      </c>
    </row>
    <row r="7" spans="1:33" s="260" customFormat="1" ht="13.5" thickBot="1" x14ac:dyDescent="0.25"/>
    <row r="8" spans="1:33" s="260" customFormat="1" ht="13.5" thickBot="1" x14ac:dyDescent="0.25">
      <c r="J8" s="2224" t="str">
        <f>CONCATENATE("AN 1 - ", 'General Data'!G23, "  ", 'General Data'!H23)</f>
        <v>AN 1 - 12  mois</v>
      </c>
      <c r="K8" s="2225"/>
      <c r="L8" s="2225"/>
      <c r="M8" s="2225"/>
      <c r="N8" s="2226"/>
      <c r="O8" s="2224" t="str">
        <f>CONCATENATE("AN 2 - ", 'General Data'!G24, "  ", 'General Data'!H24)</f>
        <v>AN 2 - NA  mois</v>
      </c>
      <c r="P8" s="2225"/>
      <c r="Q8" s="2225"/>
      <c r="R8" s="2225"/>
      <c r="S8" s="2226"/>
      <c r="T8" s="2224" t="str">
        <f>CONCATENATE("AN 3 - ", 'General Data'!G25, "  ", 'General Data'!H25)</f>
        <v>AN 3 - NA  mois</v>
      </c>
      <c r="U8" s="2225"/>
      <c r="V8" s="2225"/>
      <c r="W8" s="2226"/>
      <c r="X8" s="2224" t="str">
        <f>CONCATENATE("AN 4 - ", 'General Data'!G26, "  ", 'General Data'!H26)</f>
        <v>AN 4 - NA  mois</v>
      </c>
      <c r="Y8" s="2225"/>
      <c r="Z8" s="2225"/>
      <c r="AA8" s="2226"/>
      <c r="AB8" s="2224" t="str">
        <f>CONCATENATE("AN 5 - ", 'General Data'!G27, "  ", 'General Data'!H27)</f>
        <v>AN 5 - NA  mois</v>
      </c>
      <c r="AC8" s="2225"/>
      <c r="AD8" s="2225"/>
      <c r="AE8" s="2226"/>
    </row>
    <row r="9" spans="1:33" s="260" customFormat="1" ht="115.5" thickBot="1" x14ac:dyDescent="0.25">
      <c r="B9" s="437"/>
      <c r="C9" s="296" t="str">
        <f>'TRAD-Global Synthesis'!B8</f>
        <v>Produit</v>
      </c>
      <c r="D9" s="296" t="str">
        <f>'TRAD-Global Synthesis'!B9</f>
        <v>DCI</v>
      </c>
      <c r="E9" s="296" t="str">
        <f>'TRAD-Global Synthesis'!B10</f>
        <v>Forme galénique</v>
      </c>
      <c r="F9" s="296" t="str">
        <f>'TRAD-Global Synthesis'!B11</f>
        <v>Dosage</v>
      </c>
      <c r="G9" s="296" t="str">
        <f>'TRAD-Global Synthesis'!B12</f>
        <v xml:space="preserve">unité de mesure (ml, conditionnement, etc) </v>
      </c>
      <c r="H9" s="297" t="str">
        <f>'TRAD-Global Synthesis'!B15</f>
        <v>Unité  de prix  (US$)  [1]</v>
      </c>
      <c r="I9" s="302" t="str">
        <f>'TRAD-Global Synthesis'!B13</f>
        <v>Stocks disponibles au début de la période [2]</v>
      </c>
      <c r="J9" s="405" t="str">
        <f>'TRAD-Global Synthesis'!B16</f>
        <v>TOTAL (nbre de paquets)</v>
      </c>
      <c r="K9" s="296" t="str">
        <f>'TRAD-Global Synthesis'!B22</f>
        <v>Tampon / Année précédente (nbre de paquets)</v>
      </c>
      <c r="L9" s="296" t="str">
        <f>'TRAD-Global Synthesis'!B18</f>
        <v>TOTAL + Tampon (nbre de paquets)</v>
      </c>
      <c r="M9" s="299" t="str">
        <f>'TRAD-Global Synthesis'!B14</f>
        <v>TOTAL + Tampon (nbre de paquets) - STOCK disponible [3]</v>
      </c>
      <c r="N9" s="407" t="str">
        <f>'TRAD-Global Synthesis'!B19</f>
        <v>PRIX TOTAL (US$)</v>
      </c>
      <c r="O9" s="405" t="str">
        <f>'TRAD-Global Synthesis'!B16</f>
        <v>TOTAL (nbre de paquets)</v>
      </c>
      <c r="P9" s="296" t="str">
        <f>'TRAD-Global Synthesis'!B22</f>
        <v>Tampon / Année précédente (nbre de paquets)</v>
      </c>
      <c r="Q9" s="296" t="str">
        <f>'TRAD-Global Synthesis'!B18</f>
        <v>TOTAL + Tampon (nbre de paquets)</v>
      </c>
      <c r="R9" s="299" t="str">
        <f>'TRAD-Global Synthesis'!B7</f>
        <v>TOTAL + Tampon (nbre de paquets) - STOCK restant de l'année précédente [3]</v>
      </c>
      <c r="S9" s="407" t="str">
        <f>'TRAD-Global Synthesis'!B19</f>
        <v>PRIX TOTAL (US$)</v>
      </c>
      <c r="T9" s="405" t="str">
        <f>'TRAD-Global Synthesis'!B16</f>
        <v>TOTAL (nbre de paquets)</v>
      </c>
      <c r="U9" s="296" t="str">
        <f>'TRAD-Global Synthesis'!B22</f>
        <v>Tampon / Année précédente (nbre de paquets)</v>
      </c>
      <c r="V9" s="296" t="str">
        <f>'TRAD-Global Synthesis'!B18</f>
        <v>TOTAL + Tampon (nbre de paquets)</v>
      </c>
      <c r="W9" s="407" t="str">
        <f>'TRAD-Global Synthesis'!B19</f>
        <v>PRIX TOTAL (US$)</v>
      </c>
      <c r="X9" s="405" t="str">
        <f>'TRAD-Global Synthesis'!B16</f>
        <v>TOTAL (nbre de paquets)</v>
      </c>
      <c r="Y9" s="296" t="str">
        <f>'TRAD-Global Synthesis'!B22</f>
        <v>Tampon / Année précédente (nbre de paquets)</v>
      </c>
      <c r="Z9" s="296" t="str">
        <f>'TRAD-Global Synthesis'!B18</f>
        <v>TOTAL + Tampon (nbre de paquets)</v>
      </c>
      <c r="AA9" s="407" t="str">
        <f>'TRAD-Global Synthesis'!B19</f>
        <v>PRIX TOTAL (US$)</v>
      </c>
      <c r="AB9" s="405" t="str">
        <f>'TRAD-Global Synthesis'!B16</f>
        <v>TOTAL (nbre de paquets)</v>
      </c>
      <c r="AC9" s="296" t="str">
        <f>'TRAD-Global Synthesis'!B22</f>
        <v>Tampon / Année précédente (nbre de paquets)</v>
      </c>
      <c r="AD9" s="296" t="str">
        <f>'TRAD-Global Synthesis'!B18</f>
        <v>TOTAL + Tampon (nbre de paquets)</v>
      </c>
      <c r="AE9" s="407" t="str">
        <f>'TRAD-Global Synthesis'!B19</f>
        <v>PRIX TOTAL (US$)</v>
      </c>
      <c r="AF9" s="439" t="str">
        <f>'TRAD-Global Synthesis'!B20</f>
        <v>Prix TOTAL (US$) sans Stocks</v>
      </c>
      <c r="AG9" s="439" t="str">
        <f>'TRAD-Global Synthesis'!B21</f>
        <v>Prix TOTAL (US$) avec Stocks</v>
      </c>
    </row>
    <row r="10" spans="1:33" s="260" customFormat="1" ht="13.5" thickBot="1" x14ac:dyDescent="0.25">
      <c r="B10" s="2227" t="str">
        <f>'Available Stocks'!C13</f>
        <v>Comprimés</v>
      </c>
      <c r="C10" s="2228"/>
      <c r="D10" s="2228"/>
      <c r="E10" s="2228"/>
      <c r="F10" s="2228"/>
      <c r="G10" s="2228"/>
      <c r="H10" s="2229"/>
      <c r="I10" s="440"/>
      <c r="J10" s="441"/>
      <c r="K10" s="442"/>
      <c r="L10" s="442"/>
      <c r="M10" s="443"/>
      <c r="N10" s="444"/>
      <c r="O10" s="441"/>
      <c r="P10" s="442"/>
      <c r="Q10" s="442"/>
      <c r="R10" s="445"/>
      <c r="S10" s="444"/>
      <c r="T10" s="441"/>
      <c r="U10" s="442"/>
      <c r="V10" s="442"/>
      <c r="W10" s="444"/>
      <c r="X10" s="441"/>
      <c r="Y10" s="442"/>
      <c r="Z10" s="442"/>
      <c r="AA10" s="444"/>
      <c r="AB10" s="441"/>
      <c r="AC10" s="442"/>
      <c r="AD10" s="442"/>
      <c r="AE10" s="444"/>
      <c r="AF10" s="446"/>
      <c r="AG10" s="446"/>
    </row>
    <row r="11" spans="1:33" s="260" customFormat="1" ht="38.25" x14ac:dyDescent="0.2">
      <c r="B11" s="447" t="str">
        <f>'Available Stocks'!D13</f>
        <v>CDF</v>
      </c>
      <c r="C11" s="1613" t="str">
        <f>'Available Stocks'!E13</f>
        <v>AZT+3TC+NVP</v>
      </c>
      <c r="D11" s="1444" t="str">
        <f>'Available Stocks'!H13</f>
        <v>Zidovudine + Lamivudine + Névirapine</v>
      </c>
      <c r="E11" s="448" t="str">
        <f>'Available Stocks'!F13</f>
        <v>Cp</v>
      </c>
      <c r="F11" s="448" t="str">
        <f>'Available Stocks'!G13</f>
        <v>300/150/200 mg</v>
      </c>
      <c r="G11" s="1449">
        <f>'Available Stocks'!K13</f>
        <v>60</v>
      </c>
      <c r="H11" s="449">
        <f ca="1">'Prix VPP 102012 convert'!AA110*G11</f>
        <v>9.7899999999999991</v>
      </c>
      <c r="I11" s="450">
        <f>'Available Stocks'!M13</f>
        <v>78321</v>
      </c>
      <c r="J11" s="451">
        <f>'Synthesis Adults'!I36+'Synthesis Children'!I34</f>
        <v>128019</v>
      </c>
      <c r="K11" s="452">
        <f>'Synthesis Adults'!J36+'Synthesis Children'!J34</f>
        <v>32468</v>
      </c>
      <c r="L11" s="452">
        <f>'Synthesis Adults'!K36+'Synthesis Children'!K34</f>
        <v>160487</v>
      </c>
      <c r="M11" s="453">
        <f>IF(L11-I11&gt;0, L11-I11, 0)</f>
        <v>82166</v>
      </c>
      <c r="N11" s="454">
        <f t="shared" ref="N11:N13" ca="1" si="0">M11*H11</f>
        <v>804405.1399999999</v>
      </c>
      <c r="O11" s="451">
        <f>'Synthesis Adults'!M36+'Synthesis Children'!M34</f>
        <v>0</v>
      </c>
      <c r="P11" s="452">
        <f>'Synthesis Adults'!N36+'Synthesis Children'!N34</f>
        <v>0</v>
      </c>
      <c r="Q11" s="452">
        <f>'Synthesis Adults'!O36+'Synthesis Children'!O34</f>
        <v>0</v>
      </c>
      <c r="R11" s="453">
        <f>IF(M11=0, IF(Q11&gt;(I11-L11), Q11-(I11-L11), "0"), Q11)</f>
        <v>0</v>
      </c>
      <c r="S11" s="454">
        <f t="shared" ref="S11:S12" ca="1" si="1">R11*H11</f>
        <v>0</v>
      </c>
      <c r="T11" s="452">
        <f>'Synthesis Adults'!X36+'Synthesis Children'!X34</f>
        <v>0</v>
      </c>
      <c r="U11" s="452">
        <f>'Synthesis Adults'!Y36+'Synthesis Children'!Y34</f>
        <v>0</v>
      </c>
      <c r="V11" s="452">
        <f>'Synthesis Adults'!Z36+'Synthesis Children'!Z34</f>
        <v>0</v>
      </c>
      <c r="W11" s="454">
        <f ca="1">V11*H11</f>
        <v>0</v>
      </c>
      <c r="X11" s="452">
        <f>'Synthesis Adults'!AB36+'Synthesis Children'!AB34</f>
        <v>0</v>
      </c>
      <c r="Y11" s="452">
        <f>'Synthesis Adults'!AC36+'Synthesis Children'!AC34</f>
        <v>0</v>
      </c>
      <c r="Z11" s="452">
        <f>'Synthesis Adults'!AD36+'Synthesis Children'!AD34</f>
        <v>0</v>
      </c>
      <c r="AA11" s="454">
        <f t="shared" ref="AA11:AA45" ca="1" si="2">Z11*H11</f>
        <v>0</v>
      </c>
      <c r="AB11" s="452">
        <f>'Synthesis Adults'!AF36+'Synthesis Children'!AF34</f>
        <v>0</v>
      </c>
      <c r="AC11" s="452">
        <f>'Synthesis Adults'!AG36+'Synthesis Children'!AG34</f>
        <v>0</v>
      </c>
      <c r="AD11" s="452">
        <f>'Synthesis Adults'!AH36+'Synthesis Children'!AH34</f>
        <v>0</v>
      </c>
      <c r="AE11" s="454">
        <f t="shared" ref="AE11:AE12" ca="1" si="3">AD11*H11</f>
        <v>0</v>
      </c>
      <c r="AF11" s="869">
        <f ca="1">H11*(L11+Q11+V11+Z11+AD11)</f>
        <v>1571167.7299999997</v>
      </c>
      <c r="AG11" s="869">
        <f ca="1">AE11+AA11+W11+S11+N11</f>
        <v>804405.1399999999</v>
      </c>
    </row>
    <row r="12" spans="1:33" s="260" customFormat="1" ht="38.25" x14ac:dyDescent="0.2">
      <c r="B12" s="470"/>
      <c r="C12" s="868" t="str">
        <f>'Available Stocks'!E14</f>
        <v>AZT+3TC+NVP</v>
      </c>
      <c r="D12" s="1445" t="str">
        <f>'Available Stocks'!H14</f>
        <v>Zidovudine + Lamivudine + Névirapine</v>
      </c>
      <c r="E12" s="471" t="str">
        <f>'Available Stocks'!F14</f>
        <v>Cp</v>
      </c>
      <c r="F12" s="471" t="str">
        <f>'Available Stocks'!G14</f>
        <v>60/30/50 mg</v>
      </c>
      <c r="G12" s="1450">
        <f>'Available Stocks'!K14</f>
        <v>60</v>
      </c>
      <c r="H12" s="472">
        <f ca="1">'Prix VPP 102012 convert'!AA111*G12</f>
        <v>4.1500000000000004</v>
      </c>
      <c r="I12" s="473">
        <f>'Available Stocks'!M14</f>
        <v>18946</v>
      </c>
      <c r="J12" s="474">
        <f>'Synthesis Children'!I35</f>
        <v>12736.238400000002</v>
      </c>
      <c r="K12" s="475">
        <f>'Synthesis Children'!J35</f>
        <v>3184.0595999999987</v>
      </c>
      <c r="L12" s="475">
        <f>'Synthesis Children'!K35</f>
        <v>15920.298000000001</v>
      </c>
      <c r="M12" s="476">
        <f>IF(L12-I12&gt;0, L12-I12, 0)</f>
        <v>0</v>
      </c>
      <c r="N12" s="477">
        <f ca="1">M12*H12</f>
        <v>0</v>
      </c>
      <c r="O12" s="474">
        <f>'Synthesis Children'!M35</f>
        <v>0</v>
      </c>
      <c r="P12" s="475">
        <f>'Synthesis Children'!N35</f>
        <v>0</v>
      </c>
      <c r="Q12" s="475">
        <f>'Synthesis Children'!O35</f>
        <v>0</v>
      </c>
      <c r="R12" s="476" t="str">
        <f>IF(M12=0, IF(Q12&gt;(I12-L12), Q12-(I12-L12), "0"), Q12)</f>
        <v>0</v>
      </c>
      <c r="S12" s="477">
        <f t="shared" ca="1" si="1"/>
        <v>0</v>
      </c>
      <c r="T12" s="475">
        <f>'Synthesis Children'!X35</f>
        <v>0</v>
      </c>
      <c r="U12" s="475">
        <f>'Synthesis Children'!Y35</f>
        <v>0</v>
      </c>
      <c r="V12" s="475">
        <f>'Synthesis Children'!Z35</f>
        <v>0</v>
      </c>
      <c r="W12" s="477">
        <f ca="1">V12*H12</f>
        <v>0</v>
      </c>
      <c r="X12" s="475">
        <f>'Synthesis Children'!AB35</f>
        <v>0</v>
      </c>
      <c r="Y12" s="475">
        <f>'Synthesis Children'!AC35</f>
        <v>0</v>
      </c>
      <c r="Z12" s="475">
        <f>'Synthesis Children'!AD35</f>
        <v>0</v>
      </c>
      <c r="AA12" s="477">
        <f t="shared" ca="1" si="2"/>
        <v>0</v>
      </c>
      <c r="AB12" s="475">
        <f>'Synthesis Children'!AF35</f>
        <v>0</v>
      </c>
      <c r="AC12" s="475">
        <f>'Synthesis Children'!AG35</f>
        <v>0</v>
      </c>
      <c r="AD12" s="475">
        <f>'Synthesis Children'!AH35</f>
        <v>0</v>
      </c>
      <c r="AE12" s="477">
        <f t="shared" ca="1" si="3"/>
        <v>0</v>
      </c>
      <c r="AF12" s="870">
        <f t="shared" ref="AF12:AF58" ca="1" si="4">H12*(L12+Q12+V12+Z12+AD12)</f>
        <v>66069.236700000009</v>
      </c>
      <c r="AG12" s="870">
        <f t="shared" ref="AG12" ca="1" si="5">AE12+AA12+W12+S12+N12</f>
        <v>0</v>
      </c>
    </row>
    <row r="13" spans="1:33" s="260" customFormat="1" ht="38.25" x14ac:dyDescent="0.2">
      <c r="B13" s="470"/>
      <c r="C13" s="868" t="str">
        <f>'Available Stocks'!E15</f>
        <v>AZT+3TC+ABC</v>
      </c>
      <c r="D13" s="1445" t="str">
        <f>'Available Stocks'!H15</f>
        <v>Zidovudine + Lamivudine + Abacavir</v>
      </c>
      <c r="E13" s="471" t="str">
        <f>'Available Stocks'!F15</f>
        <v>Cp</v>
      </c>
      <c r="F13" s="471" t="str">
        <f>'Available Stocks'!G15</f>
        <v>300/150/300 mg</v>
      </c>
      <c r="G13" s="1450">
        <f>'Available Stocks'!K15</f>
        <v>60</v>
      </c>
      <c r="H13" s="472">
        <f ca="1">'Prix VPP 102012 convert'!AA108*G13</f>
        <v>28</v>
      </c>
      <c r="I13" s="473">
        <f>'Available Stocks'!M15</f>
        <v>3309</v>
      </c>
      <c r="J13" s="474">
        <f>'Synthesis Adults'!I37+'Synthesis Children'!I41</f>
        <v>671</v>
      </c>
      <c r="K13" s="475">
        <f>'Synthesis Adults'!J37+'Synthesis Children'!J41</f>
        <v>260</v>
      </c>
      <c r="L13" s="475">
        <f>'Synthesis Adults'!K37+'Synthesis Children'!K41</f>
        <v>931</v>
      </c>
      <c r="M13" s="476">
        <f>IF(L13-I13&gt;0, L13-I13, 0)</f>
        <v>0</v>
      </c>
      <c r="N13" s="477">
        <f t="shared" ca="1" si="0"/>
        <v>0</v>
      </c>
      <c r="O13" s="474">
        <f>'Synthesis Adults'!M37+'Synthesis Children'!M41</f>
        <v>0</v>
      </c>
      <c r="P13" s="475">
        <f>'Synthesis Adults'!N37+'Synthesis Children'!N41</f>
        <v>0</v>
      </c>
      <c r="Q13" s="475">
        <f>'Synthesis Adults'!O37+'Synthesis Children'!O41</f>
        <v>0</v>
      </c>
      <c r="R13" s="476" t="str">
        <f t="shared" ref="R13:R47" si="6">IF(M13=0, IF(Q13&gt;(I13-L13), Q13-(I13-L13), "0"), Q13)</f>
        <v>0</v>
      </c>
      <c r="S13" s="477">
        <f t="shared" ref="S13:S47" ca="1" si="7">R13*H13</f>
        <v>0</v>
      </c>
      <c r="T13" s="475">
        <f>'Synthesis Adults'!X37+'Synthesis Children'!X41</f>
        <v>0</v>
      </c>
      <c r="U13" s="475">
        <f>'Synthesis Adults'!Y37+'Synthesis Children'!Y41</f>
        <v>0</v>
      </c>
      <c r="V13" s="475">
        <f>'Synthesis Adults'!Z37+'Synthesis Children'!Z41</f>
        <v>0</v>
      </c>
      <c r="W13" s="477">
        <f ca="1">V13*H13</f>
        <v>0</v>
      </c>
      <c r="X13" s="475">
        <f>'Synthesis Adults'!AB37+'Synthesis Children'!AB41</f>
        <v>0</v>
      </c>
      <c r="Y13" s="475">
        <f>'Synthesis Adults'!AC37+'Synthesis Children'!AC41</f>
        <v>0</v>
      </c>
      <c r="Z13" s="475">
        <f>'Synthesis Adults'!AD37+'Synthesis Children'!AD41</f>
        <v>0</v>
      </c>
      <c r="AA13" s="477">
        <f t="shared" ca="1" si="2"/>
        <v>0</v>
      </c>
      <c r="AB13" s="475">
        <f>'Synthesis Adults'!AF37+'Synthesis Children'!AF41</f>
        <v>0</v>
      </c>
      <c r="AC13" s="475">
        <f>'Synthesis Adults'!AG37+'Synthesis Children'!AG41</f>
        <v>0</v>
      </c>
      <c r="AD13" s="475">
        <f>'Synthesis Adults'!AH37+'Synthesis Children'!AH41</f>
        <v>0</v>
      </c>
      <c r="AE13" s="477">
        <f t="shared" ref="AE13:AE46" ca="1" si="8">AD13*H13</f>
        <v>0</v>
      </c>
      <c r="AF13" s="870">
        <f t="shared" ref="AF13:AF46" ca="1" si="9">H13*(L13+Q13+V13+Z13+AD13)</f>
        <v>26068</v>
      </c>
      <c r="AG13" s="870">
        <f t="shared" ref="AG13:AG46" ca="1" si="10">AE13+AA13+W13+S13+N13</f>
        <v>0</v>
      </c>
    </row>
    <row r="14" spans="1:33" s="260" customFormat="1" ht="38.25" x14ac:dyDescent="0.2">
      <c r="B14" s="470"/>
      <c r="C14" s="868" t="str">
        <f>'Available Stocks'!E16</f>
        <v>AZT+3TC+ABC</v>
      </c>
      <c r="D14" s="1445" t="str">
        <f>'Available Stocks'!H16</f>
        <v>Zidovudine + Lamivudine
 + Abacavir</v>
      </c>
      <c r="E14" s="471" t="str">
        <f>'Available Stocks'!F16</f>
        <v>Cp</v>
      </c>
      <c r="F14" s="471" t="str">
        <f>'Available Stocks'!G16</f>
        <v>60/30/60 mg</v>
      </c>
      <c r="G14" s="1450">
        <f>'Available Stocks'!K16</f>
        <v>60</v>
      </c>
      <c r="H14" s="472">
        <f ca="1">'Prix VPP 102012 convert'!AA109*G14</f>
        <v>0</v>
      </c>
      <c r="I14" s="473">
        <f>'Available Stocks'!M16</f>
        <v>284</v>
      </c>
      <c r="J14" s="474">
        <f>'Synthesis Children'!I42</f>
        <v>0</v>
      </c>
      <c r="K14" s="475">
        <f>'Synthesis Children'!J42</f>
        <v>0</v>
      </c>
      <c r="L14" s="475">
        <f>'Synthesis Children'!K42</f>
        <v>0</v>
      </c>
      <c r="M14" s="476">
        <f t="shared" ref="M14:M48" si="11">IF(L14-I14&gt;0, L14-I14, 0)</f>
        <v>0</v>
      </c>
      <c r="N14" s="477">
        <f t="shared" ref="N14:N48" ca="1" si="12">M14*H14</f>
        <v>0</v>
      </c>
      <c r="O14" s="474">
        <f>'Synthesis Children'!M42</f>
        <v>0</v>
      </c>
      <c r="P14" s="475">
        <f>'Synthesis Children'!N42</f>
        <v>0</v>
      </c>
      <c r="Q14" s="475">
        <f>'Synthesis Children'!O42</f>
        <v>0</v>
      </c>
      <c r="R14" s="476" t="str">
        <f t="shared" si="6"/>
        <v>0</v>
      </c>
      <c r="S14" s="477">
        <f t="shared" ca="1" si="7"/>
        <v>0</v>
      </c>
      <c r="T14" s="475">
        <f>'Synthesis Children'!X42</f>
        <v>0</v>
      </c>
      <c r="U14" s="475">
        <f>'Synthesis Children'!Y42</f>
        <v>0</v>
      </c>
      <c r="V14" s="475">
        <f>'Synthesis Children'!Z42</f>
        <v>0</v>
      </c>
      <c r="W14" s="477">
        <f t="shared" ref="W14:W45" ca="1" si="13">V14*H14</f>
        <v>0</v>
      </c>
      <c r="X14" s="475">
        <f>'Synthesis Children'!AB42</f>
        <v>0</v>
      </c>
      <c r="Y14" s="475">
        <f>'Synthesis Children'!AC42</f>
        <v>0</v>
      </c>
      <c r="Z14" s="475">
        <f>'Synthesis Children'!AD42</f>
        <v>0</v>
      </c>
      <c r="AA14" s="477">
        <f t="shared" ca="1" si="2"/>
        <v>0</v>
      </c>
      <c r="AB14" s="475">
        <f>'Synthesis Children'!AF42</f>
        <v>0</v>
      </c>
      <c r="AC14" s="475">
        <f>'Synthesis Children'!AG42</f>
        <v>0</v>
      </c>
      <c r="AD14" s="475">
        <f>'Synthesis Children'!AH42</f>
        <v>0</v>
      </c>
      <c r="AE14" s="477">
        <f t="shared" ca="1" si="8"/>
        <v>0</v>
      </c>
      <c r="AF14" s="870">
        <f t="shared" ca="1" si="9"/>
        <v>0</v>
      </c>
      <c r="AG14" s="870">
        <f t="shared" ca="1" si="10"/>
        <v>0</v>
      </c>
    </row>
    <row r="15" spans="1:33" s="260" customFormat="1" ht="38.25" x14ac:dyDescent="0.2">
      <c r="B15" s="470"/>
      <c r="C15" s="868" t="str">
        <f>'Available Stocks'!E17</f>
        <v>[AZT+3TC]+EFV</v>
      </c>
      <c r="D15" s="1445" t="str">
        <f>'Available Stocks'!H17</f>
        <v>[Zidovudine + Lamivudine] + Efavirenz</v>
      </c>
      <c r="E15" s="471" t="str">
        <f>'Available Stocks'!F17</f>
        <v>Cp/coblister</v>
      </c>
      <c r="F15" s="471" t="str">
        <f>'Available Stocks'!G17</f>
        <v>[300/150]/600 mg</v>
      </c>
      <c r="G15" s="1450">
        <f>'Available Stocks'!K17</f>
        <v>60</v>
      </c>
      <c r="H15" s="472">
        <f ca="1">'Prix VPP 102012 convert'!AA112*G15</f>
        <v>17.5</v>
      </c>
      <c r="I15" s="473">
        <f>'Available Stocks'!M17</f>
        <v>0</v>
      </c>
      <c r="J15" s="474">
        <f>'Synthesis Adults'!I38</f>
        <v>0</v>
      </c>
      <c r="K15" s="475" t="str">
        <f>'Synthesis Adults'!J38</f>
        <v>0</v>
      </c>
      <c r="L15" s="475">
        <f>'Synthesis Adults'!K38</f>
        <v>0</v>
      </c>
      <c r="M15" s="460">
        <f t="shared" si="11"/>
        <v>0</v>
      </c>
      <c r="N15" s="477">
        <f t="shared" ca="1" si="12"/>
        <v>0</v>
      </c>
      <c r="O15" s="474">
        <f>'Synthesis Adults'!M38</f>
        <v>0</v>
      </c>
      <c r="P15" s="475">
        <f>'Synthesis Adults'!N38</f>
        <v>0</v>
      </c>
      <c r="Q15" s="475">
        <f>'Synthesis Adults'!O38</f>
        <v>0</v>
      </c>
      <c r="R15" s="476" t="str">
        <f t="shared" si="6"/>
        <v>0</v>
      </c>
      <c r="S15" s="477">
        <f t="shared" ca="1" si="7"/>
        <v>0</v>
      </c>
      <c r="T15" s="475">
        <f>'Synthesis Adults'!X38</f>
        <v>0</v>
      </c>
      <c r="U15" s="475">
        <f>'Synthesis Adults'!Y38</f>
        <v>0</v>
      </c>
      <c r="V15" s="475">
        <f>'Synthesis Adults'!Z38</f>
        <v>0</v>
      </c>
      <c r="W15" s="477">
        <f t="shared" ca="1" si="13"/>
        <v>0</v>
      </c>
      <c r="X15" s="475">
        <f>'Synthesis Adults'!AB38</f>
        <v>0</v>
      </c>
      <c r="Y15" s="475">
        <f>'Synthesis Adults'!AC38</f>
        <v>0</v>
      </c>
      <c r="Z15" s="475">
        <f>'Synthesis Adults'!AD38</f>
        <v>0</v>
      </c>
      <c r="AA15" s="477">
        <f t="shared" ca="1" si="2"/>
        <v>0</v>
      </c>
      <c r="AB15" s="475">
        <f>'Synthesis Adults'!AF38</f>
        <v>0</v>
      </c>
      <c r="AC15" s="475">
        <f>'Synthesis Adults'!AG38</f>
        <v>0</v>
      </c>
      <c r="AD15" s="475">
        <f>'Synthesis Adults'!AH38</f>
        <v>0</v>
      </c>
      <c r="AE15" s="477">
        <f t="shared" ref="AE15" ca="1" si="14">AD15*H15</f>
        <v>0</v>
      </c>
      <c r="AF15" s="870">
        <f t="shared" ref="AF15" ca="1" si="15">H15*(L15+Q15+V15+Z15+AD15)</f>
        <v>0</v>
      </c>
      <c r="AG15" s="870">
        <f t="shared" ref="AG15" ca="1" si="16">AE15+AA15+W15+S15+N15</f>
        <v>0</v>
      </c>
    </row>
    <row r="16" spans="1:33" s="260" customFormat="1" ht="25.5" x14ac:dyDescent="0.2">
      <c r="B16" s="455"/>
      <c r="C16" s="913" t="str">
        <f>'Available Stocks'!E18</f>
        <v>AZT+3TC</v>
      </c>
      <c r="D16" s="1446" t="str">
        <f>'Available Stocks'!H18</f>
        <v>Zidovudine + Lamivudine</v>
      </c>
      <c r="E16" s="456" t="str">
        <f>'Available Stocks'!F18</f>
        <v>Cp</v>
      </c>
      <c r="F16" s="456" t="str">
        <f>'Available Stocks'!G18</f>
        <v>300/150 mg</v>
      </c>
      <c r="G16" s="1451">
        <f>'Available Stocks'!K18</f>
        <v>60</v>
      </c>
      <c r="H16" s="385">
        <f ca="1">'Prix VPP 102012 convert'!AA106*G16</f>
        <v>7.65</v>
      </c>
      <c r="I16" s="457">
        <f>'Available Stocks'!M18</f>
        <v>11750</v>
      </c>
      <c r="J16" s="458">
        <f>'Synthesis Adults'!I39+'Synthesis Children'!I36</f>
        <v>24628</v>
      </c>
      <c r="K16" s="459">
        <f>'Synthesis Adults'!J39+'Synthesis Children'!J36</f>
        <v>6295</v>
      </c>
      <c r="L16" s="459">
        <f>'Synthesis Adults'!K39+'Synthesis Children'!K36</f>
        <v>30923</v>
      </c>
      <c r="M16" s="460">
        <f t="shared" si="11"/>
        <v>19173</v>
      </c>
      <c r="N16" s="461">
        <f t="shared" ca="1" si="12"/>
        <v>146673.45000000001</v>
      </c>
      <c r="O16" s="458">
        <f>'Synthesis Adults'!M39+'Synthesis Children'!M36</f>
        <v>0</v>
      </c>
      <c r="P16" s="459">
        <f>'Synthesis Adults'!N39+'Synthesis Children'!N36</f>
        <v>0</v>
      </c>
      <c r="Q16" s="459">
        <f>'Synthesis Adults'!O39+'Synthesis Children'!O36</f>
        <v>0</v>
      </c>
      <c r="R16" s="460">
        <f t="shared" si="6"/>
        <v>0</v>
      </c>
      <c r="S16" s="461">
        <f t="shared" ca="1" si="7"/>
        <v>0</v>
      </c>
      <c r="T16" s="459">
        <f>'Synthesis Adults'!X39+'Synthesis Children'!X36</f>
        <v>0</v>
      </c>
      <c r="U16" s="459">
        <f>'Synthesis Adults'!Y39+'Synthesis Children'!Y36</f>
        <v>0</v>
      </c>
      <c r="V16" s="459">
        <f>'Synthesis Adults'!Z39+'Synthesis Children'!Z36</f>
        <v>0</v>
      </c>
      <c r="W16" s="461">
        <f t="shared" ca="1" si="13"/>
        <v>0</v>
      </c>
      <c r="X16" s="459">
        <f>'Synthesis Adults'!AB39+'Synthesis Children'!AB36</f>
        <v>0</v>
      </c>
      <c r="Y16" s="459">
        <f>'Synthesis Adults'!AC39+'Synthesis Children'!AC36</f>
        <v>0</v>
      </c>
      <c r="Z16" s="459">
        <f>'Synthesis Adults'!AD39+'Synthesis Children'!AD36</f>
        <v>0</v>
      </c>
      <c r="AA16" s="461">
        <f t="shared" ca="1" si="2"/>
        <v>0</v>
      </c>
      <c r="AB16" s="459">
        <f>'Synthesis Adults'!AF39+'Synthesis Children'!AF36</f>
        <v>0</v>
      </c>
      <c r="AC16" s="459">
        <f>'Synthesis Adults'!AG39+'Synthesis Children'!AG36</f>
        <v>0</v>
      </c>
      <c r="AD16" s="459">
        <f>'Synthesis Adults'!AH39+'Synthesis Children'!AH36</f>
        <v>0</v>
      </c>
      <c r="AE16" s="461">
        <f t="shared" ca="1" si="8"/>
        <v>0</v>
      </c>
      <c r="AF16" s="871">
        <f t="shared" ca="1" si="9"/>
        <v>236560.95</v>
      </c>
      <c r="AG16" s="871">
        <f t="shared" ca="1" si="10"/>
        <v>146673.45000000001</v>
      </c>
    </row>
    <row r="17" spans="2:33" s="260" customFormat="1" ht="25.5" x14ac:dyDescent="0.2">
      <c r="B17" s="455"/>
      <c r="C17" s="914" t="str">
        <f>'Available Stocks'!E19</f>
        <v>AZT+3TC</v>
      </c>
      <c r="D17" s="1447" t="str">
        <f>'Available Stocks'!H19</f>
        <v>Zidovudine + Lamivudine</v>
      </c>
      <c r="E17" s="456" t="str">
        <f>'Available Stocks'!F19</f>
        <v>Cp</v>
      </c>
      <c r="F17" s="463" t="str">
        <f>'Available Stocks'!G19</f>
        <v>60/30 mg</v>
      </c>
      <c r="G17" s="1452">
        <f>'Available Stocks'!K19</f>
        <v>60</v>
      </c>
      <c r="H17" s="464">
        <f ca="1">'Prix VPP 102012 convert'!AA107*G17</f>
        <v>2.69</v>
      </c>
      <c r="I17" s="465">
        <f>'Available Stocks'!M19</f>
        <v>1227</v>
      </c>
      <c r="J17" s="466">
        <f>'Synthesis Children'!I37</f>
        <v>3901.0999080000001</v>
      </c>
      <c r="K17" s="467">
        <f>'Synthesis Children'!J37</f>
        <v>1881.9945120000002</v>
      </c>
      <c r="L17" s="467">
        <f>'Synthesis Children'!K37</f>
        <v>5783.0944200000004</v>
      </c>
      <c r="M17" s="460">
        <f t="shared" si="11"/>
        <v>4556.0944200000004</v>
      </c>
      <c r="N17" s="469">
        <f t="shared" ca="1" si="12"/>
        <v>12255.893989800001</v>
      </c>
      <c r="O17" s="466">
        <f>'Synthesis Children'!M37</f>
        <v>0</v>
      </c>
      <c r="P17" s="467">
        <f>'Synthesis Children'!N37</f>
        <v>0</v>
      </c>
      <c r="Q17" s="467">
        <f>'Synthesis Children'!O37</f>
        <v>0</v>
      </c>
      <c r="R17" s="460">
        <f t="shared" si="6"/>
        <v>0</v>
      </c>
      <c r="S17" s="469">
        <f t="shared" ca="1" si="7"/>
        <v>0</v>
      </c>
      <c r="T17" s="467">
        <f>'Synthesis Children'!X37</f>
        <v>0</v>
      </c>
      <c r="U17" s="467">
        <f>'Synthesis Children'!Y37</f>
        <v>0</v>
      </c>
      <c r="V17" s="467">
        <f>'Synthesis Children'!Z37</f>
        <v>0</v>
      </c>
      <c r="W17" s="469">
        <f t="shared" ca="1" si="13"/>
        <v>0</v>
      </c>
      <c r="X17" s="467">
        <f>'Synthesis Children'!AB37</f>
        <v>0</v>
      </c>
      <c r="Y17" s="467">
        <f>'Synthesis Children'!AC37</f>
        <v>0</v>
      </c>
      <c r="Z17" s="467">
        <f>'Synthesis Children'!AD37</f>
        <v>0</v>
      </c>
      <c r="AA17" s="469">
        <f t="shared" ca="1" si="2"/>
        <v>0</v>
      </c>
      <c r="AB17" s="467">
        <f>'Synthesis Children'!AF37</f>
        <v>0</v>
      </c>
      <c r="AC17" s="467">
        <f>'Synthesis Children'!AG37</f>
        <v>0</v>
      </c>
      <c r="AD17" s="467">
        <f>'Synthesis Children'!AH37</f>
        <v>0</v>
      </c>
      <c r="AE17" s="469">
        <f t="shared" ca="1" si="8"/>
        <v>0</v>
      </c>
      <c r="AF17" s="872">
        <f t="shared" ca="1" si="9"/>
        <v>15556.5239898</v>
      </c>
      <c r="AG17" s="872">
        <f t="shared" ca="1" si="10"/>
        <v>12255.893989800001</v>
      </c>
    </row>
    <row r="18" spans="2:33" s="260" customFormat="1" ht="38.25" x14ac:dyDescent="0.2">
      <c r="B18" s="462"/>
      <c r="C18" s="914" t="str">
        <f>'Available Stocks'!E22</f>
        <v>D4T+3TC+NVP</v>
      </c>
      <c r="D18" s="1447" t="str">
        <f>'Available Stocks'!H22</f>
        <v>Stavudine + Lamivudine + Névirapine</v>
      </c>
      <c r="E18" s="463" t="str">
        <f>'Available Stocks'!F22</f>
        <v>Cp</v>
      </c>
      <c r="F18" s="463" t="str">
        <f>'Available Stocks'!G22</f>
        <v>30/150/200 mg</v>
      </c>
      <c r="G18" s="1452">
        <f>'Available Stocks'!K22</f>
        <v>60</v>
      </c>
      <c r="H18" s="464">
        <f ca="1">'Prix VPP 102012 convert'!AA91*G18</f>
        <v>4.57</v>
      </c>
      <c r="I18" s="465">
        <f>'Available Stocks'!M22</f>
        <v>0</v>
      </c>
      <c r="J18" s="466">
        <f>'Synthesis Adults'!I41+'Synthesis Children'!I38</f>
        <v>0</v>
      </c>
      <c r="K18" s="467">
        <f>'Synthesis Adults'!J41+'Synthesis Children'!J38</f>
        <v>0</v>
      </c>
      <c r="L18" s="467">
        <f>'Synthesis Adults'!K41+'Synthesis Children'!K38</f>
        <v>0</v>
      </c>
      <c r="M18" s="460">
        <f t="shared" si="11"/>
        <v>0</v>
      </c>
      <c r="N18" s="469">
        <f t="shared" ca="1" si="12"/>
        <v>0</v>
      </c>
      <c r="O18" s="466">
        <f>'Synthesis Adults'!M41+'Synthesis Children'!M38</f>
        <v>0</v>
      </c>
      <c r="P18" s="467">
        <f>'Synthesis Adults'!N41+'Synthesis Children'!N38</f>
        <v>0</v>
      </c>
      <c r="Q18" s="467">
        <f>'Synthesis Adults'!O41+'Synthesis Children'!O38</f>
        <v>0</v>
      </c>
      <c r="R18" s="468" t="str">
        <f t="shared" si="6"/>
        <v>0</v>
      </c>
      <c r="S18" s="469">
        <f t="shared" ca="1" si="7"/>
        <v>0</v>
      </c>
      <c r="T18" s="467">
        <f>'Synthesis Adults'!X41+'Synthesis Children'!X38</f>
        <v>0</v>
      </c>
      <c r="U18" s="467">
        <f>'Synthesis Adults'!Y41+'Synthesis Children'!Y38</f>
        <v>0</v>
      </c>
      <c r="V18" s="467">
        <f>'Synthesis Adults'!Z41+'Synthesis Children'!Z38</f>
        <v>0</v>
      </c>
      <c r="W18" s="469">
        <f t="shared" ca="1" si="13"/>
        <v>0</v>
      </c>
      <c r="X18" s="467">
        <f>'Synthesis Adults'!AB41+'Synthesis Children'!AB38</f>
        <v>0</v>
      </c>
      <c r="Y18" s="467">
        <f>'Synthesis Adults'!AC41+'Synthesis Children'!AC38</f>
        <v>0</v>
      </c>
      <c r="Z18" s="467">
        <f>'Synthesis Adults'!AD41+'Synthesis Children'!AD38</f>
        <v>0</v>
      </c>
      <c r="AA18" s="469">
        <f t="shared" ca="1" si="2"/>
        <v>0</v>
      </c>
      <c r="AB18" s="467">
        <f>'Synthesis Adults'!AF41+'Synthesis Children'!AF38</f>
        <v>0</v>
      </c>
      <c r="AC18" s="467">
        <f>'Synthesis Adults'!AG41+'Synthesis Children'!AG38</f>
        <v>0</v>
      </c>
      <c r="AD18" s="467">
        <f>'Synthesis Adults'!AH41+'Synthesis Children'!AH38</f>
        <v>0</v>
      </c>
      <c r="AE18" s="469">
        <f t="shared" ca="1" si="8"/>
        <v>0</v>
      </c>
      <c r="AF18" s="872">
        <f t="shared" ca="1" si="9"/>
        <v>0</v>
      </c>
      <c r="AG18" s="872">
        <f t="shared" ca="1" si="10"/>
        <v>0</v>
      </c>
    </row>
    <row r="19" spans="2:33" s="260" customFormat="1" ht="38.25" x14ac:dyDescent="0.2">
      <c r="B19" s="462"/>
      <c r="C19" s="913" t="str">
        <f>'Available Stocks'!E23</f>
        <v>D4T+3TC+NVP</v>
      </c>
      <c r="D19" s="1446" t="str">
        <f>'Available Stocks'!H23</f>
        <v>Stavudine + Lamivudine + Névirapine</v>
      </c>
      <c r="E19" s="456" t="str">
        <f>'Available Stocks'!F23</f>
        <v>Cp</v>
      </c>
      <c r="F19" s="456" t="str">
        <f>'Available Stocks'!G23</f>
        <v>6/30/50 mg</v>
      </c>
      <c r="G19" s="1451">
        <f>'Available Stocks'!K23</f>
        <v>60</v>
      </c>
      <c r="H19" s="385">
        <f ca="1">'Prix VPP 102012 convert'!AA93*G19</f>
        <v>2.2999999999999998</v>
      </c>
      <c r="I19" s="457">
        <f>'Available Stocks'!M23</f>
        <v>0</v>
      </c>
      <c r="J19" s="458">
        <f>'Synthesis Children'!I39</f>
        <v>0</v>
      </c>
      <c r="K19" s="459">
        <f>'Synthesis Children'!J39</f>
        <v>0</v>
      </c>
      <c r="L19" s="459">
        <f>'Synthesis Children'!K39</f>
        <v>0</v>
      </c>
      <c r="M19" s="460">
        <f t="shared" si="11"/>
        <v>0</v>
      </c>
      <c r="N19" s="461">
        <f t="shared" ca="1" si="12"/>
        <v>0</v>
      </c>
      <c r="O19" s="458">
        <f>'Synthesis Children'!M39</f>
        <v>0</v>
      </c>
      <c r="P19" s="459">
        <f>'Synthesis Children'!N39</f>
        <v>0</v>
      </c>
      <c r="Q19" s="459">
        <f>'Synthesis Children'!O39</f>
        <v>0</v>
      </c>
      <c r="R19" s="460" t="str">
        <f t="shared" si="6"/>
        <v>0</v>
      </c>
      <c r="S19" s="461">
        <f t="shared" ca="1" si="7"/>
        <v>0</v>
      </c>
      <c r="T19" s="459">
        <f>'Synthesis Children'!X39</f>
        <v>0</v>
      </c>
      <c r="U19" s="459">
        <f>'Synthesis Children'!Y39</f>
        <v>0</v>
      </c>
      <c r="V19" s="459">
        <f>'Synthesis Children'!Z39</f>
        <v>0</v>
      </c>
      <c r="W19" s="461">
        <f t="shared" ca="1" si="13"/>
        <v>0</v>
      </c>
      <c r="X19" s="459">
        <f>'Synthesis Children'!AB39</f>
        <v>0</v>
      </c>
      <c r="Y19" s="459">
        <f>'Synthesis Children'!AC39</f>
        <v>0</v>
      </c>
      <c r="Z19" s="459">
        <f>'Synthesis Children'!AD39</f>
        <v>0</v>
      </c>
      <c r="AA19" s="461">
        <f t="shared" ca="1" si="2"/>
        <v>0</v>
      </c>
      <c r="AB19" s="459">
        <f>'Synthesis Children'!AF39</f>
        <v>0</v>
      </c>
      <c r="AC19" s="459">
        <f>'Synthesis Children'!AG39</f>
        <v>0</v>
      </c>
      <c r="AD19" s="459">
        <f>'Synthesis Children'!AH39</f>
        <v>0</v>
      </c>
      <c r="AE19" s="461">
        <f t="shared" ca="1" si="8"/>
        <v>0</v>
      </c>
      <c r="AF19" s="871">
        <f t="shared" ca="1" si="9"/>
        <v>0</v>
      </c>
      <c r="AG19" s="871">
        <f t="shared" ca="1" si="10"/>
        <v>0</v>
      </c>
    </row>
    <row r="20" spans="2:33" s="260" customFormat="1" ht="25.5" x14ac:dyDescent="0.2">
      <c r="B20" s="470"/>
      <c r="C20" s="868" t="str">
        <f>'Available Stocks'!E24</f>
        <v>D4T+3TC</v>
      </c>
      <c r="D20" s="1445" t="str">
        <f>'Available Stocks'!H24</f>
        <v>Stavudine + Lamivudine</v>
      </c>
      <c r="E20" s="471" t="str">
        <f>'Available Stocks'!F24</f>
        <v>Cp</v>
      </c>
      <c r="F20" s="471" t="str">
        <f>'Available Stocks'!G24</f>
        <v>30/150 mg</v>
      </c>
      <c r="G20" s="1450">
        <f>'Available Stocks'!K24</f>
        <v>60</v>
      </c>
      <c r="H20" s="472">
        <f ca="1">'Prix VPP 102012 convert'!AA88*G20</f>
        <v>2.92</v>
      </c>
      <c r="I20" s="473">
        <f>'Available Stocks'!M24</f>
        <v>0</v>
      </c>
      <c r="J20" s="474">
        <f>'Synthesis Adults'!I42</f>
        <v>0</v>
      </c>
      <c r="K20" s="475" t="str">
        <f>'Synthesis Adults'!J42</f>
        <v>0</v>
      </c>
      <c r="L20" s="475">
        <f>'Synthesis Adults'!K42</f>
        <v>0</v>
      </c>
      <c r="M20" s="476">
        <f t="shared" si="11"/>
        <v>0</v>
      </c>
      <c r="N20" s="477">
        <f t="shared" ca="1" si="12"/>
        <v>0</v>
      </c>
      <c r="O20" s="474">
        <f>'Synthesis Adults'!M42</f>
        <v>0</v>
      </c>
      <c r="P20" s="475">
        <f>'Synthesis Adults'!N42</f>
        <v>0</v>
      </c>
      <c r="Q20" s="475">
        <f>'Synthesis Adults'!O42</f>
        <v>0</v>
      </c>
      <c r="R20" s="476" t="str">
        <f t="shared" si="6"/>
        <v>0</v>
      </c>
      <c r="S20" s="477">
        <f t="shared" ca="1" si="7"/>
        <v>0</v>
      </c>
      <c r="T20" s="475">
        <f>'Synthesis Adults'!X42</f>
        <v>0</v>
      </c>
      <c r="U20" s="475">
        <f>'Synthesis Adults'!Y42</f>
        <v>0</v>
      </c>
      <c r="V20" s="475">
        <f>'Synthesis Adults'!Z42</f>
        <v>0</v>
      </c>
      <c r="W20" s="477">
        <f t="shared" ca="1" si="13"/>
        <v>0</v>
      </c>
      <c r="X20" s="475">
        <f>'Synthesis Adults'!AB42</f>
        <v>0</v>
      </c>
      <c r="Y20" s="475">
        <f>'Synthesis Adults'!AC42</f>
        <v>0</v>
      </c>
      <c r="Z20" s="475">
        <f>'Synthesis Adults'!AD42</f>
        <v>0</v>
      </c>
      <c r="AA20" s="477">
        <f t="shared" ca="1" si="2"/>
        <v>0</v>
      </c>
      <c r="AB20" s="475">
        <f>'Synthesis Adults'!AF42</f>
        <v>0</v>
      </c>
      <c r="AC20" s="475">
        <f>'Synthesis Adults'!AG42</f>
        <v>0</v>
      </c>
      <c r="AD20" s="475">
        <f>'Synthesis Adults'!AH42</f>
        <v>0</v>
      </c>
      <c r="AE20" s="477">
        <f t="shared" ca="1" si="8"/>
        <v>0</v>
      </c>
      <c r="AF20" s="870">
        <f t="shared" ca="1" si="9"/>
        <v>0</v>
      </c>
      <c r="AG20" s="870">
        <f t="shared" ca="1" si="10"/>
        <v>0</v>
      </c>
    </row>
    <row r="21" spans="2:33" s="260" customFormat="1" ht="25.5" x14ac:dyDescent="0.2">
      <c r="B21" s="470"/>
      <c r="C21" s="868" t="str">
        <f>'Available Stocks'!E25</f>
        <v>D4T+3TC</v>
      </c>
      <c r="D21" s="1445" t="str">
        <f>'Available Stocks'!H25</f>
        <v>Stavudine + Lamivudine</v>
      </c>
      <c r="E21" s="471" t="str">
        <f>'Available Stocks'!F25</f>
        <v>Cp</v>
      </c>
      <c r="F21" s="471" t="str">
        <f>'Available Stocks'!G25</f>
        <v>6/30 mg</v>
      </c>
      <c r="G21" s="1450">
        <f>'Available Stocks'!K25</f>
        <v>60</v>
      </c>
      <c r="H21" s="472">
        <f ca="1">'Prix VPP 102012 convert'!AA90*G21</f>
        <v>1.8999999999999997</v>
      </c>
      <c r="I21" s="473">
        <f>'Available Stocks'!M25</f>
        <v>0</v>
      </c>
      <c r="J21" s="474">
        <f>'Synthesis Children'!I40</f>
        <v>0</v>
      </c>
      <c r="K21" s="475">
        <f>'Synthesis Children'!J40</f>
        <v>0</v>
      </c>
      <c r="L21" s="475">
        <f>'Synthesis Children'!K40</f>
        <v>0</v>
      </c>
      <c r="M21" s="476">
        <f t="shared" si="11"/>
        <v>0</v>
      </c>
      <c r="N21" s="477">
        <f t="shared" ca="1" si="12"/>
        <v>0</v>
      </c>
      <c r="O21" s="474">
        <f>'Synthesis Children'!M40</f>
        <v>0</v>
      </c>
      <c r="P21" s="475">
        <f>'Synthesis Children'!N40</f>
        <v>0</v>
      </c>
      <c r="Q21" s="475">
        <f>'Synthesis Children'!O40</f>
        <v>0</v>
      </c>
      <c r="R21" s="476" t="str">
        <f t="shared" ref="R21" si="17">IF(M21=0, IF(Q21&gt;(I21-L21), Q21-(I21-L21), "0"), Q21)</f>
        <v>0</v>
      </c>
      <c r="S21" s="477">
        <f t="shared" ref="S21" ca="1" si="18">R21*H21</f>
        <v>0</v>
      </c>
      <c r="T21" s="475">
        <f>'Synthesis Children'!X40</f>
        <v>0</v>
      </c>
      <c r="U21" s="475">
        <f>'Synthesis Children'!Y40</f>
        <v>0</v>
      </c>
      <c r="V21" s="475">
        <f>'Synthesis Children'!Z40</f>
        <v>0</v>
      </c>
      <c r="W21" s="477">
        <f t="shared" ca="1" si="13"/>
        <v>0</v>
      </c>
      <c r="X21" s="475">
        <f>'Synthesis Children'!AB40</f>
        <v>0</v>
      </c>
      <c r="Y21" s="475">
        <f>'Synthesis Children'!AC40</f>
        <v>0</v>
      </c>
      <c r="Z21" s="475">
        <f>'Synthesis Children'!AD40</f>
        <v>0</v>
      </c>
      <c r="AA21" s="477">
        <f t="shared" ca="1" si="2"/>
        <v>0</v>
      </c>
      <c r="AB21" s="475">
        <f>'Synthesis Children'!AF40</f>
        <v>0</v>
      </c>
      <c r="AC21" s="475">
        <f>'Synthesis Children'!AG40</f>
        <v>0</v>
      </c>
      <c r="AD21" s="475">
        <f>'Synthesis Children'!AH40</f>
        <v>0</v>
      </c>
      <c r="AE21" s="477">
        <f t="shared" ref="AE21" ca="1" si="19">AD21*H21</f>
        <v>0</v>
      </c>
      <c r="AF21" s="870">
        <f t="shared" ref="AF21" ca="1" si="20">H21*(L21+Q21+V21+Z21+AD21)</f>
        <v>0</v>
      </c>
      <c r="AG21" s="870">
        <f t="shared" ref="AG21" ca="1" si="21">AE21+AA21+W21+S21+N21</f>
        <v>0</v>
      </c>
    </row>
    <row r="22" spans="2:33" s="260" customFormat="1" ht="25.5" x14ac:dyDescent="0.2">
      <c r="B22" s="470"/>
      <c r="C22" s="868" t="str">
        <f>'Available Stocks'!E20</f>
        <v>3TC+ABC</v>
      </c>
      <c r="D22" s="1445" t="str">
        <f>'Available Stocks'!H20</f>
        <v>Lamivudine + Abacavir</v>
      </c>
      <c r="E22" s="471" t="str">
        <f>'Available Stocks'!F20</f>
        <v>Cp</v>
      </c>
      <c r="F22" s="471" t="str">
        <f>'Available Stocks'!G20</f>
        <v>300/600 mg</v>
      </c>
      <c r="G22" s="1450">
        <f>'Available Stocks'!K20</f>
        <v>30</v>
      </c>
      <c r="H22" s="472">
        <f ca="1">'Prix VPP 102012 convert'!AA70*G22</f>
        <v>17.82</v>
      </c>
      <c r="I22" s="473">
        <f>'Available Stocks'!M20</f>
        <v>298</v>
      </c>
      <c r="J22" s="474">
        <f>'Synthesis Children'!I43+'Synthesis Adults'!I40</f>
        <v>524</v>
      </c>
      <c r="K22" s="475">
        <f>'Synthesis Children'!J43+'Synthesis Adults'!J40</f>
        <v>131</v>
      </c>
      <c r="L22" s="475">
        <f>'Synthesis Children'!K43+'Synthesis Adults'!K40</f>
        <v>655</v>
      </c>
      <c r="M22" s="476">
        <f t="shared" si="11"/>
        <v>357</v>
      </c>
      <c r="N22" s="477">
        <f t="shared" ca="1" si="12"/>
        <v>6361.74</v>
      </c>
      <c r="O22" s="474">
        <f>'Synthesis Children'!M43+'Synthesis Adults'!M40</f>
        <v>0</v>
      </c>
      <c r="P22" s="475">
        <f>'Synthesis Children'!N43+'Synthesis Adults'!N40</f>
        <v>0</v>
      </c>
      <c r="Q22" s="475">
        <f>'Synthesis Children'!O43+'Synthesis Adults'!O40</f>
        <v>0</v>
      </c>
      <c r="R22" s="476">
        <f t="shared" si="6"/>
        <v>0</v>
      </c>
      <c r="S22" s="477">
        <f t="shared" ca="1" si="7"/>
        <v>0</v>
      </c>
      <c r="T22" s="475">
        <f>'Synthesis Children'!X43+'Synthesis Adults'!X40</f>
        <v>0</v>
      </c>
      <c r="U22" s="475">
        <f>'Synthesis Children'!Y43+'Synthesis Adults'!Y40</f>
        <v>0</v>
      </c>
      <c r="V22" s="475">
        <f>'Synthesis Children'!Z43+'Synthesis Adults'!Z40</f>
        <v>0</v>
      </c>
      <c r="W22" s="477">
        <f t="shared" ca="1" si="13"/>
        <v>0</v>
      </c>
      <c r="X22" s="475">
        <f>'Synthesis Children'!AB43+'Synthesis Adults'!AB40</f>
        <v>0</v>
      </c>
      <c r="Y22" s="475">
        <f>'Synthesis Children'!AC43+'Synthesis Adults'!AC40</f>
        <v>0</v>
      </c>
      <c r="Z22" s="475">
        <f>'Synthesis Children'!AD43+'Synthesis Adults'!AD40</f>
        <v>0</v>
      </c>
      <c r="AA22" s="477">
        <f t="shared" ca="1" si="2"/>
        <v>0</v>
      </c>
      <c r="AB22" s="475">
        <f>'Synthesis Children'!AF43+'Synthesis Adults'!AF40</f>
        <v>0</v>
      </c>
      <c r="AC22" s="475">
        <f>'Synthesis Children'!AG43+'Synthesis Adults'!AG40</f>
        <v>0</v>
      </c>
      <c r="AD22" s="475">
        <f>'Synthesis Children'!AH43+'Synthesis Adults'!AH40</f>
        <v>0</v>
      </c>
      <c r="AE22" s="477">
        <f t="shared" ca="1" si="8"/>
        <v>0</v>
      </c>
      <c r="AF22" s="870">
        <f t="shared" ca="1" si="9"/>
        <v>11672.1</v>
      </c>
      <c r="AG22" s="870">
        <f t="shared" ca="1" si="10"/>
        <v>6361.74</v>
      </c>
    </row>
    <row r="23" spans="2:33" s="260" customFormat="1" ht="25.5" x14ac:dyDescent="0.2">
      <c r="B23" s="470"/>
      <c r="C23" s="868" t="str">
        <f>'Available Stocks'!E21</f>
        <v>3TC+ABC</v>
      </c>
      <c r="D23" s="1445" t="str">
        <f>'Available Stocks'!H21</f>
        <v>Lamivudine + Abacavir</v>
      </c>
      <c r="E23" s="471" t="str">
        <f>'Available Stocks'!F21</f>
        <v>Cp</v>
      </c>
      <c r="F23" s="471" t="str">
        <f>'Available Stocks'!G21</f>
        <v>30/60 mg</v>
      </c>
      <c r="G23" s="1450">
        <f>'Available Stocks'!K21</f>
        <v>60</v>
      </c>
      <c r="H23" s="472">
        <f ca="1">'Prix VPP 102012 convert'!AA69*G23</f>
        <v>6.25</v>
      </c>
      <c r="I23" s="473">
        <f>'Available Stocks'!M21</f>
        <v>1198</v>
      </c>
      <c r="J23" s="474">
        <f>'Synthesis Children'!I44</f>
        <v>375.86869200000001</v>
      </c>
      <c r="K23" s="475">
        <f>'Synthesis Children'!J44</f>
        <v>166.03138799999999</v>
      </c>
      <c r="L23" s="475">
        <f>'Synthesis Children'!K44</f>
        <v>541.90008</v>
      </c>
      <c r="M23" s="476">
        <f t="shared" si="11"/>
        <v>0</v>
      </c>
      <c r="N23" s="477">
        <f t="shared" ca="1" si="12"/>
        <v>0</v>
      </c>
      <c r="O23" s="474">
        <f>'Synthesis Children'!M44</f>
        <v>0</v>
      </c>
      <c r="P23" s="475">
        <f>'Synthesis Children'!N44</f>
        <v>0</v>
      </c>
      <c r="Q23" s="475">
        <f>'Synthesis Children'!O44</f>
        <v>0</v>
      </c>
      <c r="R23" s="476" t="str">
        <f t="shared" si="6"/>
        <v>0</v>
      </c>
      <c r="S23" s="477">
        <f t="shared" ca="1" si="7"/>
        <v>0</v>
      </c>
      <c r="T23" s="475">
        <f>'Synthesis Children'!X44</f>
        <v>0</v>
      </c>
      <c r="U23" s="475">
        <f>'Synthesis Children'!Y44</f>
        <v>0</v>
      </c>
      <c r="V23" s="475">
        <f>'Synthesis Children'!Z44</f>
        <v>0</v>
      </c>
      <c r="W23" s="477">
        <f t="shared" ca="1" si="13"/>
        <v>0</v>
      </c>
      <c r="X23" s="475">
        <f>'Synthesis Children'!AB44</f>
        <v>0</v>
      </c>
      <c r="Y23" s="475">
        <f>'Synthesis Children'!AC44</f>
        <v>0</v>
      </c>
      <c r="Z23" s="475">
        <f>'Synthesis Children'!AD44</f>
        <v>0</v>
      </c>
      <c r="AA23" s="477">
        <f t="shared" ca="1" si="2"/>
        <v>0</v>
      </c>
      <c r="AB23" s="475">
        <f>'Synthesis Children'!AF44</f>
        <v>0</v>
      </c>
      <c r="AC23" s="475">
        <f>'Synthesis Children'!AG44</f>
        <v>0</v>
      </c>
      <c r="AD23" s="475">
        <f>'Synthesis Children'!AH44</f>
        <v>0</v>
      </c>
      <c r="AE23" s="477">
        <f t="shared" ca="1" si="8"/>
        <v>0</v>
      </c>
      <c r="AF23" s="870">
        <f t="shared" ca="1" si="9"/>
        <v>3386.8755000000001</v>
      </c>
      <c r="AG23" s="870">
        <f t="shared" ca="1" si="10"/>
        <v>0</v>
      </c>
    </row>
    <row r="24" spans="2:33" s="260" customFormat="1" ht="38.25" x14ac:dyDescent="0.2">
      <c r="B24" s="470"/>
      <c r="C24" s="868" t="str">
        <f>'Available Stocks'!E26</f>
        <v>TDF+FTC+EFV</v>
      </c>
      <c r="D24" s="1445" t="str">
        <f>'Available Stocks'!H26</f>
        <v>Ténofovir + Emtricitabine
 + Efavirenz</v>
      </c>
      <c r="E24" s="471" t="str">
        <f>'Available Stocks'!F26</f>
        <v>Cp</v>
      </c>
      <c r="F24" s="471" t="str">
        <f>'Available Stocks'!G26</f>
        <v>300/200/600 mg</v>
      </c>
      <c r="G24" s="1450">
        <f>'Available Stocks'!K26</f>
        <v>30</v>
      </c>
      <c r="H24" s="472">
        <f ca="1">'Prix VPP 102012 convert'!AA97*G24</f>
        <v>14.49</v>
      </c>
      <c r="I24" s="1455">
        <f>'Available Stocks'!M26+'Available Stocks'!M28</f>
        <v>8730</v>
      </c>
      <c r="J24" s="474">
        <f>'Synthesis Adults'!I43+'Synthesis Children'!I45</f>
        <v>0</v>
      </c>
      <c r="K24" s="475">
        <f>'Synthesis Adults'!J43+'Synthesis Children'!J45</f>
        <v>0</v>
      </c>
      <c r="L24" s="475">
        <f>'Synthesis Adults'!K43+'Synthesis Children'!K45</f>
        <v>0</v>
      </c>
      <c r="M24" s="476">
        <f t="shared" si="11"/>
        <v>0</v>
      </c>
      <c r="N24" s="477">
        <f t="shared" ca="1" si="12"/>
        <v>0</v>
      </c>
      <c r="O24" s="474">
        <f>'Synthesis Adults'!M43+'Synthesis Children'!M45</f>
        <v>0</v>
      </c>
      <c r="P24" s="475">
        <f>'Synthesis Adults'!N43+'Synthesis Children'!N45</f>
        <v>0</v>
      </c>
      <c r="Q24" s="475">
        <f>'Synthesis Adults'!O43+'Synthesis Children'!O45</f>
        <v>0</v>
      </c>
      <c r="R24" s="476" t="str">
        <f t="shared" si="6"/>
        <v>0</v>
      </c>
      <c r="S24" s="477">
        <f t="shared" ca="1" si="7"/>
        <v>0</v>
      </c>
      <c r="T24" s="475">
        <f>'Synthesis Adults'!X43+'Synthesis Children'!X45</f>
        <v>0</v>
      </c>
      <c r="U24" s="475">
        <f>'Synthesis Adults'!Y43+'Synthesis Children'!Y45</f>
        <v>0</v>
      </c>
      <c r="V24" s="475">
        <f>'Synthesis Adults'!Z43+'Synthesis Children'!Z45</f>
        <v>0</v>
      </c>
      <c r="W24" s="477">
        <f t="shared" ca="1" si="13"/>
        <v>0</v>
      </c>
      <c r="X24" s="475">
        <f>'Synthesis Adults'!AB43+'Synthesis Children'!AB45</f>
        <v>0</v>
      </c>
      <c r="Y24" s="475">
        <f>'Synthesis Adults'!AC43+'Synthesis Children'!AC45</f>
        <v>0</v>
      </c>
      <c r="Z24" s="475">
        <f>'Synthesis Adults'!AD43+'Synthesis Children'!AD45</f>
        <v>0</v>
      </c>
      <c r="AA24" s="477">
        <f t="shared" ca="1" si="2"/>
        <v>0</v>
      </c>
      <c r="AB24" s="475">
        <f>'Synthesis Adults'!AF43+'Synthesis Children'!AF45</f>
        <v>0</v>
      </c>
      <c r="AC24" s="475">
        <f>'Synthesis Adults'!AG43+'Synthesis Children'!AG45</f>
        <v>0</v>
      </c>
      <c r="AD24" s="475">
        <f>'Synthesis Adults'!AH43+'Synthesis Children'!AH45</f>
        <v>0</v>
      </c>
      <c r="AE24" s="477">
        <f t="shared" ca="1" si="8"/>
        <v>0</v>
      </c>
      <c r="AF24" s="870">
        <f t="shared" ca="1" si="9"/>
        <v>0</v>
      </c>
      <c r="AG24" s="870">
        <f t="shared" ca="1" si="10"/>
        <v>0</v>
      </c>
    </row>
    <row r="25" spans="2:33" s="260" customFormat="1" ht="25.5" x14ac:dyDescent="0.2">
      <c r="B25" s="470"/>
      <c r="C25" s="868" t="str">
        <f>'Available Stocks'!E27</f>
        <v>TDF+FTC</v>
      </c>
      <c r="D25" s="1445" t="str">
        <f>'Available Stocks'!H27</f>
        <v>Ténofovir + Emtricitabine</v>
      </c>
      <c r="E25" s="471" t="str">
        <f>'Available Stocks'!F27</f>
        <v>Cp</v>
      </c>
      <c r="F25" s="471" t="str">
        <f>'Available Stocks'!G27</f>
        <v>300/200 mg</v>
      </c>
      <c r="G25" s="1450">
        <f>'Available Stocks'!K27</f>
        <v>30</v>
      </c>
      <c r="H25" s="472">
        <f ca="1">'Prix VPP 102012 convert'!AA96*G25</f>
        <v>5.93</v>
      </c>
      <c r="I25" s="1455">
        <f>'Available Stocks'!M27+'Available Stocks'!M29</f>
        <v>7256</v>
      </c>
      <c r="J25" s="474">
        <f>'Synthesis Adults'!I44+'Synthesis Children'!I46</f>
        <v>0</v>
      </c>
      <c r="K25" s="475">
        <f>'Synthesis Adults'!J44+'Synthesis Children'!J46</f>
        <v>0</v>
      </c>
      <c r="L25" s="475">
        <f>'Synthesis Adults'!K44+'Synthesis Children'!K46</f>
        <v>0</v>
      </c>
      <c r="M25" s="476">
        <f t="shared" si="11"/>
        <v>0</v>
      </c>
      <c r="N25" s="477">
        <f t="shared" ca="1" si="12"/>
        <v>0</v>
      </c>
      <c r="O25" s="474">
        <f>'Synthesis Adults'!M44+'Synthesis Children'!M46</f>
        <v>0</v>
      </c>
      <c r="P25" s="475">
        <f>'Synthesis Adults'!N44+'Synthesis Children'!N46</f>
        <v>0</v>
      </c>
      <c r="Q25" s="475">
        <f>'Synthesis Adults'!O44+'Synthesis Children'!O46</f>
        <v>0</v>
      </c>
      <c r="R25" s="476" t="str">
        <f t="shared" si="6"/>
        <v>0</v>
      </c>
      <c r="S25" s="477">
        <f t="shared" ca="1" si="7"/>
        <v>0</v>
      </c>
      <c r="T25" s="475">
        <f>'Synthesis Adults'!X44+'Synthesis Children'!X46</f>
        <v>0</v>
      </c>
      <c r="U25" s="475">
        <f>'Synthesis Adults'!Y44+'Synthesis Children'!Y46</f>
        <v>0</v>
      </c>
      <c r="V25" s="475">
        <f>'Synthesis Adults'!Z44+'Synthesis Children'!Z46</f>
        <v>0</v>
      </c>
      <c r="W25" s="477">
        <f t="shared" ca="1" si="13"/>
        <v>0</v>
      </c>
      <c r="X25" s="475">
        <f>'Synthesis Adults'!AB44+'Synthesis Children'!AB46</f>
        <v>0</v>
      </c>
      <c r="Y25" s="475">
        <f>'Synthesis Adults'!AC44+'Synthesis Children'!AC46</f>
        <v>0</v>
      </c>
      <c r="Z25" s="475">
        <f>'Synthesis Adults'!AD44+'Synthesis Children'!AD46</f>
        <v>0</v>
      </c>
      <c r="AA25" s="477">
        <f t="shared" ca="1" si="2"/>
        <v>0</v>
      </c>
      <c r="AB25" s="475">
        <f>'Synthesis Adults'!AF44+'Synthesis Children'!AF46</f>
        <v>0</v>
      </c>
      <c r="AC25" s="475">
        <f>'Synthesis Adults'!AG44+'Synthesis Children'!AG46</f>
        <v>0</v>
      </c>
      <c r="AD25" s="475">
        <f>'Synthesis Adults'!AH44+'Synthesis Children'!AH46</f>
        <v>0</v>
      </c>
      <c r="AE25" s="477">
        <f t="shared" ca="1" si="8"/>
        <v>0</v>
      </c>
      <c r="AF25" s="870">
        <f t="shared" ca="1" si="9"/>
        <v>0</v>
      </c>
      <c r="AG25" s="870">
        <f t="shared" ca="1" si="10"/>
        <v>0</v>
      </c>
    </row>
    <row r="26" spans="2:33" s="260" customFormat="1" ht="38.25" x14ac:dyDescent="0.2">
      <c r="B26" s="470"/>
      <c r="C26" s="868" t="str">
        <f>'Available Stocks'!E28</f>
        <v>TDF+3TC+EFV</v>
      </c>
      <c r="D26" s="1445" t="str">
        <f>'Available Stocks'!H28</f>
        <v>Ténofovir + Lamivudine
 + Efavirenz</v>
      </c>
      <c r="E26" s="471" t="str">
        <f>'Available Stocks'!F28</f>
        <v>Cp</v>
      </c>
      <c r="F26" s="471" t="str">
        <f>'Available Stocks'!G28</f>
        <v>300/200/600 mg</v>
      </c>
      <c r="G26" s="1450">
        <f>'Available Stocks'!K28</f>
        <v>30</v>
      </c>
      <c r="H26" s="472">
        <f ca="1">'Prix VPP 102012 convert'!AA100*G26</f>
        <v>13</v>
      </c>
      <c r="I26" s="1455">
        <f>'Available Stocks'!M26+'Available Stocks'!M28</f>
        <v>8730</v>
      </c>
      <c r="J26" s="474">
        <f>'Synthesis Adults'!I45+'Synthesis Children'!I47</f>
        <v>47017</v>
      </c>
      <c r="K26" s="475">
        <f>'Synthesis Adults'!J45+'Synthesis Children'!J47</f>
        <v>20283</v>
      </c>
      <c r="L26" s="475">
        <f>'Synthesis Adults'!K45+'Synthesis Children'!K47</f>
        <v>67300</v>
      </c>
      <c r="M26" s="476">
        <f t="shared" si="11"/>
        <v>58570</v>
      </c>
      <c r="N26" s="477">
        <f t="shared" ca="1" si="12"/>
        <v>761410</v>
      </c>
      <c r="O26" s="474">
        <f>'Synthesis Adults'!M45+'Synthesis Children'!M47</f>
        <v>0</v>
      </c>
      <c r="P26" s="475">
        <f>'Synthesis Adults'!N45+'Synthesis Children'!N47</f>
        <v>0</v>
      </c>
      <c r="Q26" s="475">
        <f>'Synthesis Adults'!O45+'Synthesis Children'!O47</f>
        <v>0</v>
      </c>
      <c r="R26" s="476">
        <f t="shared" si="6"/>
        <v>0</v>
      </c>
      <c r="S26" s="477">
        <f t="shared" ca="1" si="7"/>
        <v>0</v>
      </c>
      <c r="T26" s="475">
        <f>'Synthesis Adults'!X45</f>
        <v>0</v>
      </c>
      <c r="U26" s="475">
        <f>'Synthesis Adults'!Y45</f>
        <v>0</v>
      </c>
      <c r="V26" s="475">
        <f>'Synthesis Adults'!Z45</f>
        <v>0</v>
      </c>
      <c r="W26" s="477">
        <f t="shared" ca="1" si="13"/>
        <v>0</v>
      </c>
      <c r="X26" s="475">
        <f>'Synthesis Adults'!AB45+'Synthesis Children'!AB47</f>
        <v>0</v>
      </c>
      <c r="Y26" s="475">
        <f>'Synthesis Adults'!AC45+'Synthesis Children'!AC47</f>
        <v>0</v>
      </c>
      <c r="Z26" s="475">
        <f>'Synthesis Adults'!AD45+'Synthesis Children'!AD47</f>
        <v>0</v>
      </c>
      <c r="AA26" s="477">
        <f t="shared" ca="1" si="2"/>
        <v>0</v>
      </c>
      <c r="AB26" s="475">
        <f>'Synthesis Adults'!AF45+'Synthesis Children'!AF47</f>
        <v>0</v>
      </c>
      <c r="AC26" s="475">
        <f>'Synthesis Adults'!AG45+'Synthesis Children'!AG47</f>
        <v>0</v>
      </c>
      <c r="AD26" s="475">
        <f>'Synthesis Adults'!AH45+'Synthesis Children'!AH47</f>
        <v>0</v>
      </c>
      <c r="AE26" s="477">
        <f t="shared" ca="1" si="8"/>
        <v>0</v>
      </c>
      <c r="AF26" s="870">
        <f t="shared" ca="1" si="9"/>
        <v>874900</v>
      </c>
      <c r="AG26" s="870">
        <f t="shared" ca="1" si="10"/>
        <v>761410</v>
      </c>
    </row>
    <row r="27" spans="2:33" s="260" customFormat="1" ht="25.5" x14ac:dyDescent="0.2">
      <c r="B27" s="478"/>
      <c r="C27" s="915" t="str">
        <f>'Available Stocks'!E29</f>
        <v>TDF+3TC</v>
      </c>
      <c r="D27" s="1448" t="str">
        <f>'Available Stocks'!H29</f>
        <v>Ténofovir + Lamivudine</v>
      </c>
      <c r="E27" s="479" t="str">
        <f>'Available Stocks'!F29</f>
        <v>Cp</v>
      </c>
      <c r="F27" s="479" t="str">
        <f>'Available Stocks'!G29</f>
        <v>300/200 mg</v>
      </c>
      <c r="G27" s="1453">
        <f>'Available Stocks'!K29</f>
        <v>30</v>
      </c>
      <c r="H27" s="480">
        <f ca="1">'Prix VPP 102012 convert'!AA98*G27</f>
        <v>4.6500000000000004</v>
      </c>
      <c r="I27" s="1456">
        <f>'Available Stocks'!M27+'Available Stocks'!M29</f>
        <v>7256</v>
      </c>
      <c r="J27" s="482">
        <f>'Synthesis Adults'!I46+'Synthesis Children'!I48</f>
        <v>8170.9251647999999</v>
      </c>
      <c r="K27" s="483">
        <f>'Synthesis Adults'!J46+'Synthesis Children'!J48</f>
        <v>2838.0366272000001</v>
      </c>
      <c r="L27" s="483">
        <f>'Synthesis Adults'!K46+'Synthesis Children'!K48</f>
        <v>11008.961792</v>
      </c>
      <c r="M27" s="484">
        <f t="shared" si="11"/>
        <v>3752.9617920000001</v>
      </c>
      <c r="N27" s="485">
        <f t="shared" ca="1" si="12"/>
        <v>17451.272332800003</v>
      </c>
      <c r="O27" s="474">
        <f>'Synthesis Adults'!M46+'Synthesis Children'!M48</f>
        <v>0</v>
      </c>
      <c r="P27" s="475">
        <f>'Synthesis Adults'!N46+'Synthesis Children'!N48</f>
        <v>0</v>
      </c>
      <c r="Q27" s="475">
        <f>'Synthesis Adults'!O46+'Synthesis Children'!O48</f>
        <v>0</v>
      </c>
      <c r="R27" s="484">
        <f t="shared" si="6"/>
        <v>0</v>
      </c>
      <c r="S27" s="485">
        <f t="shared" ca="1" si="7"/>
        <v>0</v>
      </c>
      <c r="T27" s="483">
        <f>'Synthesis Adults'!X46</f>
        <v>0</v>
      </c>
      <c r="U27" s="483">
        <f>'Synthesis Adults'!Y46</f>
        <v>0</v>
      </c>
      <c r="V27" s="483">
        <f>'Synthesis Adults'!Z46</f>
        <v>0</v>
      </c>
      <c r="W27" s="485">
        <f t="shared" ca="1" si="13"/>
        <v>0</v>
      </c>
      <c r="X27" s="483">
        <f>'Synthesis Adults'!AB46+'Synthesis Children'!AB48</f>
        <v>0</v>
      </c>
      <c r="Y27" s="483">
        <f>'Synthesis Adults'!AC46+'Synthesis Children'!AC48</f>
        <v>0</v>
      </c>
      <c r="Z27" s="483">
        <f>'Synthesis Adults'!AD46+'Synthesis Children'!AD48</f>
        <v>0</v>
      </c>
      <c r="AA27" s="485">
        <f t="shared" ca="1" si="2"/>
        <v>0</v>
      </c>
      <c r="AB27" s="483">
        <f>'Synthesis Adults'!AF46+'Synthesis Children'!AF48</f>
        <v>0</v>
      </c>
      <c r="AC27" s="483">
        <f>'Synthesis Adults'!AG46+'Synthesis Children'!AG48</f>
        <v>0</v>
      </c>
      <c r="AD27" s="483">
        <f>'Synthesis Adults'!AH46+'Synthesis Children'!AH48</f>
        <v>0</v>
      </c>
      <c r="AE27" s="485">
        <f t="shared" ca="1" si="8"/>
        <v>0</v>
      </c>
      <c r="AF27" s="873">
        <f t="shared" ca="1" si="9"/>
        <v>51191.672332800001</v>
      </c>
      <c r="AG27" s="873">
        <f t="shared" ca="1" si="10"/>
        <v>17451.272332800003</v>
      </c>
    </row>
    <row r="28" spans="2:33" s="260" customFormat="1" x14ac:dyDescent="0.2">
      <c r="B28" s="470" t="str">
        <f>'Available Stocks'!D30</f>
        <v>INTI</v>
      </c>
      <c r="C28" s="912" t="str">
        <f>'Available Stocks'!E32</f>
        <v>EFV</v>
      </c>
      <c r="D28" s="1444" t="str">
        <f>'Available Stocks'!H32</f>
        <v>Efavirenz</v>
      </c>
      <c r="E28" s="448" t="str">
        <f>'Available Stocks'!F32</f>
        <v>Cp</v>
      </c>
      <c r="F28" s="448" t="str">
        <f>'Available Stocks'!G32</f>
        <v>600 mg</v>
      </c>
      <c r="G28" s="1449">
        <f>'Available Stocks'!K32</f>
        <v>30</v>
      </c>
      <c r="H28" s="449">
        <f ca="1">'Prix VPP 102012 convert'!AA59*G28</f>
        <v>3.99</v>
      </c>
      <c r="I28" s="450">
        <f>'Available Stocks'!M32</f>
        <v>3671</v>
      </c>
      <c r="J28" s="451">
        <f>'Synthesis Adults'!I47</f>
        <v>17089</v>
      </c>
      <c r="K28" s="452">
        <f>'Synthesis Adults'!J47</f>
        <v>4319</v>
      </c>
      <c r="L28" s="452">
        <f>'Synthesis Adults'!K47</f>
        <v>21408</v>
      </c>
      <c r="M28" s="453">
        <f t="shared" si="11"/>
        <v>17737</v>
      </c>
      <c r="N28" s="454">
        <f t="shared" ca="1" si="12"/>
        <v>70770.63</v>
      </c>
      <c r="O28" s="451">
        <f>'Synthesis Adults'!M47</f>
        <v>0</v>
      </c>
      <c r="P28" s="452">
        <f>'Synthesis Adults'!N47</f>
        <v>0</v>
      </c>
      <c r="Q28" s="452">
        <f>'Synthesis Adults'!O47</f>
        <v>0</v>
      </c>
      <c r="R28" s="453">
        <f t="shared" si="6"/>
        <v>0</v>
      </c>
      <c r="S28" s="454">
        <f t="shared" ca="1" si="7"/>
        <v>0</v>
      </c>
      <c r="T28" s="452">
        <f>'Synthesis Adults'!X47</f>
        <v>0</v>
      </c>
      <c r="U28" s="452">
        <f>'Synthesis Adults'!Y47</f>
        <v>0</v>
      </c>
      <c r="V28" s="452">
        <f>'Synthesis Adults'!Z47</f>
        <v>0</v>
      </c>
      <c r="W28" s="454">
        <f t="shared" ca="1" si="13"/>
        <v>0</v>
      </c>
      <c r="X28" s="452">
        <f>'Synthesis Adults'!AB47</f>
        <v>0</v>
      </c>
      <c r="Y28" s="452">
        <f>'Synthesis Adults'!AC47</f>
        <v>0</v>
      </c>
      <c r="Z28" s="452">
        <f>'Synthesis Adults'!AD47</f>
        <v>0</v>
      </c>
      <c r="AA28" s="454">
        <f t="shared" ca="1" si="2"/>
        <v>0</v>
      </c>
      <c r="AB28" s="452">
        <f>'Synthesis Adults'!AF47</f>
        <v>0</v>
      </c>
      <c r="AC28" s="452">
        <f>'Synthesis Adults'!AG47</f>
        <v>0</v>
      </c>
      <c r="AD28" s="452">
        <f>'Synthesis Adults'!AH47</f>
        <v>0</v>
      </c>
      <c r="AE28" s="454">
        <f t="shared" ca="1" si="8"/>
        <v>0</v>
      </c>
      <c r="AF28" s="869">
        <f t="shared" ca="1" si="9"/>
        <v>85417.919999999998</v>
      </c>
      <c r="AG28" s="869">
        <f t="shared" ca="1" si="10"/>
        <v>70770.63</v>
      </c>
    </row>
    <row r="29" spans="2:33" s="260" customFormat="1" x14ac:dyDescent="0.2">
      <c r="B29" s="470"/>
      <c r="C29" s="913" t="str">
        <f>'Available Stocks'!E31</f>
        <v>EFV</v>
      </c>
      <c r="D29" s="1446" t="str">
        <f>'Available Stocks'!H31</f>
        <v>Efavirenz</v>
      </c>
      <c r="E29" s="456" t="str">
        <f>'Available Stocks'!F31</f>
        <v>Gél</v>
      </c>
      <c r="F29" s="456" t="str">
        <f>'Available Stocks'!G31</f>
        <v>200 mg</v>
      </c>
      <c r="G29" s="1451">
        <f>'Available Stocks'!K31</f>
        <v>90</v>
      </c>
      <c r="H29" s="385">
        <f ca="1">'Prix VPP 102012 convert'!AA56*G29</f>
        <v>6.65</v>
      </c>
      <c r="I29" s="457">
        <f>'Available Stocks'!M31</f>
        <v>435</v>
      </c>
      <c r="J29" s="458">
        <f>'Synthesis Children'!I56</f>
        <v>214.56269999999998</v>
      </c>
      <c r="K29" s="459">
        <f>'Synthesis Children'!J56</f>
        <v>62.317800000000005</v>
      </c>
      <c r="L29" s="459">
        <f>'Synthesis Children'!K56</f>
        <v>276.88049999999998</v>
      </c>
      <c r="M29" s="460">
        <f t="shared" si="11"/>
        <v>0</v>
      </c>
      <c r="N29" s="461">
        <f t="shared" ca="1" si="12"/>
        <v>0</v>
      </c>
      <c r="O29" s="458">
        <f>'Synthesis Children'!M56</f>
        <v>0</v>
      </c>
      <c r="P29" s="459">
        <f>'Synthesis Children'!N56</f>
        <v>0</v>
      </c>
      <c r="Q29" s="459">
        <f>'Synthesis Children'!O56</f>
        <v>0</v>
      </c>
      <c r="R29" s="460" t="str">
        <f t="shared" si="6"/>
        <v>0</v>
      </c>
      <c r="S29" s="461">
        <f t="shared" ca="1" si="7"/>
        <v>0</v>
      </c>
      <c r="T29" s="459">
        <f>'Synthesis Children'!X56</f>
        <v>0</v>
      </c>
      <c r="U29" s="459">
        <f>'Synthesis Children'!Y56</f>
        <v>0</v>
      </c>
      <c r="V29" s="459">
        <f>'Synthesis Children'!Z56</f>
        <v>0</v>
      </c>
      <c r="W29" s="461">
        <f t="shared" ca="1" si="13"/>
        <v>0</v>
      </c>
      <c r="X29" s="459">
        <f>'Synthesis Children'!AB56</f>
        <v>0</v>
      </c>
      <c r="Y29" s="459">
        <f>'Synthesis Children'!AC56</f>
        <v>0</v>
      </c>
      <c r="Z29" s="459">
        <f>'Synthesis Children'!AD56</f>
        <v>0</v>
      </c>
      <c r="AA29" s="461">
        <f t="shared" ca="1" si="2"/>
        <v>0</v>
      </c>
      <c r="AB29" s="459">
        <f>'Synthesis Children'!AF56</f>
        <v>0</v>
      </c>
      <c r="AC29" s="459">
        <f>'Synthesis Children'!AG56</f>
        <v>0</v>
      </c>
      <c r="AD29" s="459">
        <f>'Synthesis Children'!AH56</f>
        <v>0</v>
      </c>
      <c r="AE29" s="461">
        <f t="shared" ca="1" si="8"/>
        <v>0</v>
      </c>
      <c r="AF29" s="871">
        <f t="shared" ca="1" si="9"/>
        <v>1841.2553250000001</v>
      </c>
      <c r="AG29" s="871">
        <f t="shared" ca="1" si="10"/>
        <v>0</v>
      </c>
    </row>
    <row r="30" spans="2:33" s="260" customFormat="1" x14ac:dyDescent="0.2">
      <c r="B30" s="470"/>
      <c r="C30" s="913" t="str">
        <f>'Available Stocks'!E33</f>
        <v>NVP</v>
      </c>
      <c r="D30" s="1446" t="str">
        <f>'Available Stocks'!H33</f>
        <v>Névirapine</v>
      </c>
      <c r="E30" s="456" t="str">
        <f>'Available Stocks'!F33</f>
        <v>Cp</v>
      </c>
      <c r="F30" s="456" t="str">
        <f>'Available Stocks'!G33</f>
        <v>200 mg</v>
      </c>
      <c r="G30" s="1451">
        <f>'Available Stocks'!K33</f>
        <v>60</v>
      </c>
      <c r="H30" s="385">
        <f ca="1">'Prix VPP 102012 convert'!AA77*G30</f>
        <v>2.52</v>
      </c>
      <c r="I30" s="457">
        <f>'Available Stocks'!M33</f>
        <v>600</v>
      </c>
      <c r="J30" s="458">
        <f>'Synthesis Adults'!I48+'Synthesis Children'!I54</f>
        <v>0</v>
      </c>
      <c r="K30" s="459">
        <f>'Synthesis Adults'!J48+'Synthesis Children'!J54</f>
        <v>0</v>
      </c>
      <c r="L30" s="459">
        <f>'Synthesis Adults'!K48+'Synthesis Children'!K54</f>
        <v>0</v>
      </c>
      <c r="M30" s="460">
        <f t="shared" si="11"/>
        <v>0</v>
      </c>
      <c r="N30" s="461">
        <f t="shared" ca="1" si="12"/>
        <v>0</v>
      </c>
      <c r="O30" s="458">
        <f>'Synthesis Adults'!M48+'Synthesis Children'!M54</f>
        <v>0</v>
      </c>
      <c r="P30" s="459">
        <f>'Synthesis Adults'!N48+'Synthesis Children'!N54</f>
        <v>0</v>
      </c>
      <c r="Q30" s="459">
        <f>'Synthesis Adults'!O48+'Synthesis Children'!O54</f>
        <v>0</v>
      </c>
      <c r="R30" s="460" t="str">
        <f t="shared" si="6"/>
        <v>0</v>
      </c>
      <c r="S30" s="461">
        <f t="shared" ca="1" si="7"/>
        <v>0</v>
      </c>
      <c r="T30" s="459">
        <f>'Synthesis Adults'!X48+'Synthesis Children'!X54</f>
        <v>0</v>
      </c>
      <c r="U30" s="459">
        <f>'Synthesis Adults'!Y48+'Synthesis Children'!Y54</f>
        <v>0</v>
      </c>
      <c r="V30" s="459">
        <f>'Synthesis Adults'!Z48+'Synthesis Children'!Z54</f>
        <v>0</v>
      </c>
      <c r="W30" s="461">
        <f t="shared" ca="1" si="13"/>
        <v>0</v>
      </c>
      <c r="X30" s="459">
        <f>'Synthesis Adults'!AB48+'Synthesis Children'!AB54</f>
        <v>0</v>
      </c>
      <c r="Y30" s="459">
        <f>'Synthesis Adults'!AC48+'Synthesis Children'!AC54</f>
        <v>0</v>
      </c>
      <c r="Z30" s="459">
        <f>'Synthesis Adults'!AD48+'Synthesis Children'!AD54</f>
        <v>0</v>
      </c>
      <c r="AA30" s="461">
        <f t="shared" ca="1" si="2"/>
        <v>0</v>
      </c>
      <c r="AB30" s="459">
        <f>'Synthesis Adults'!AF48+'Synthesis Children'!AF54</f>
        <v>0</v>
      </c>
      <c r="AC30" s="459">
        <f>'Synthesis Adults'!AG48+'Synthesis Children'!AG54</f>
        <v>0</v>
      </c>
      <c r="AD30" s="459">
        <f>'Synthesis Adults'!AH48+'Synthesis Children'!AH54</f>
        <v>0</v>
      </c>
      <c r="AE30" s="461">
        <f t="shared" ca="1" si="8"/>
        <v>0</v>
      </c>
      <c r="AF30" s="871">
        <f t="shared" ca="1" si="9"/>
        <v>0</v>
      </c>
      <c r="AG30" s="871">
        <f t="shared" ca="1" si="10"/>
        <v>0</v>
      </c>
    </row>
    <row r="31" spans="2:33" s="260" customFormat="1" x14ac:dyDescent="0.2">
      <c r="B31" s="486"/>
      <c r="C31" s="915" t="str">
        <f>'Available Stocks'!E34</f>
        <v>NVP</v>
      </c>
      <c r="D31" s="1448" t="str">
        <f>'Available Stocks'!H34</f>
        <v>Névirapine</v>
      </c>
      <c r="E31" s="479" t="str">
        <f>'Available Stocks'!F34</f>
        <v>Cp</v>
      </c>
      <c r="F31" s="479" t="str">
        <f>'Available Stocks'!G34</f>
        <v>50 mg</v>
      </c>
      <c r="G31" s="1451">
        <f>'Available Stocks'!K34</f>
        <v>60</v>
      </c>
      <c r="H31" s="480">
        <f ca="1">'Prix VPP 102012 convert'!AA76*G31</f>
        <v>1.25</v>
      </c>
      <c r="I31" s="457">
        <f>'Available Stocks'!M34</f>
        <v>276</v>
      </c>
      <c r="J31" s="482">
        <f>'Synthesis Children'!I55</f>
        <v>89.615040000000022</v>
      </c>
      <c r="K31" s="483">
        <f>'Synthesis Children'!J55</f>
        <v>22.403759999999991</v>
      </c>
      <c r="L31" s="483">
        <f>'Synthesis Children'!K55</f>
        <v>112.01880000000001</v>
      </c>
      <c r="M31" s="460">
        <f t="shared" si="11"/>
        <v>0</v>
      </c>
      <c r="N31" s="461">
        <f t="shared" ca="1" si="12"/>
        <v>0</v>
      </c>
      <c r="O31" s="482">
        <f>'Synthesis Children'!M55</f>
        <v>0</v>
      </c>
      <c r="P31" s="483">
        <f>'Synthesis Children'!N55</f>
        <v>0</v>
      </c>
      <c r="Q31" s="483">
        <f>'Synthesis Children'!O55</f>
        <v>0</v>
      </c>
      <c r="R31" s="484" t="str">
        <f t="shared" si="6"/>
        <v>0</v>
      </c>
      <c r="S31" s="485">
        <f t="shared" ca="1" si="7"/>
        <v>0</v>
      </c>
      <c r="T31" s="483">
        <f>'Synthesis Children'!X55</f>
        <v>0</v>
      </c>
      <c r="U31" s="483">
        <f>'Synthesis Children'!Y55</f>
        <v>0</v>
      </c>
      <c r="V31" s="483">
        <f>'Synthesis Children'!Z55</f>
        <v>0</v>
      </c>
      <c r="W31" s="485">
        <f t="shared" ca="1" si="13"/>
        <v>0</v>
      </c>
      <c r="X31" s="483">
        <f>'Synthesis Children'!AB55</f>
        <v>0</v>
      </c>
      <c r="Y31" s="483">
        <f>'Synthesis Children'!AC55</f>
        <v>0</v>
      </c>
      <c r="Z31" s="483">
        <f>'Synthesis Children'!AD55</f>
        <v>0</v>
      </c>
      <c r="AA31" s="485">
        <f t="shared" ca="1" si="2"/>
        <v>0</v>
      </c>
      <c r="AB31" s="483">
        <f>'Synthesis Children'!AF55</f>
        <v>0</v>
      </c>
      <c r="AC31" s="483">
        <f>'Synthesis Children'!AG55</f>
        <v>0</v>
      </c>
      <c r="AD31" s="483">
        <f>'Synthesis Children'!AH55</f>
        <v>0</v>
      </c>
      <c r="AE31" s="485">
        <f t="shared" ca="1" si="8"/>
        <v>0</v>
      </c>
      <c r="AF31" s="873">
        <f t="shared" ca="1" si="9"/>
        <v>140.02350000000001</v>
      </c>
      <c r="AG31" s="873">
        <f t="shared" ca="1" si="10"/>
        <v>0</v>
      </c>
    </row>
    <row r="32" spans="2:33" s="260" customFormat="1" x14ac:dyDescent="0.2">
      <c r="B32" s="470" t="str">
        <f>'Available Stocks'!D35</f>
        <v>INNTI</v>
      </c>
      <c r="C32" s="912" t="str">
        <f>'Available Stocks'!E37</f>
        <v>AZT</v>
      </c>
      <c r="D32" s="1444" t="str">
        <f>'Available Stocks'!H37</f>
        <v>Zidovudine</v>
      </c>
      <c r="E32" s="448" t="str">
        <f>'Available Stocks'!F37</f>
        <v>Cp</v>
      </c>
      <c r="F32" s="448" t="str">
        <f>'Available Stocks'!G37</f>
        <v>300 mg</v>
      </c>
      <c r="G32" s="1449">
        <f>'Available Stocks'!K37</f>
        <v>60</v>
      </c>
      <c r="H32" s="449">
        <f ca="1">'Prix VPP 102012 convert'!AA104*G32</f>
        <v>0</v>
      </c>
      <c r="I32" s="450">
        <f>'Available Stocks'!M37</f>
        <v>1882</v>
      </c>
      <c r="J32" s="451">
        <f>'Synthesis Adults'!I49</f>
        <v>0</v>
      </c>
      <c r="K32" s="452" t="str">
        <f>'Synthesis Adults'!J49</f>
        <v>0</v>
      </c>
      <c r="L32" s="452">
        <f>'Synthesis Adults'!K49</f>
        <v>0</v>
      </c>
      <c r="M32" s="453">
        <f t="shared" si="11"/>
        <v>0</v>
      </c>
      <c r="N32" s="454">
        <f t="shared" ca="1" si="12"/>
        <v>0</v>
      </c>
      <c r="O32" s="451">
        <f>'Synthesis Adults'!M49</f>
        <v>0</v>
      </c>
      <c r="P32" s="452">
        <f>'Synthesis Adults'!N49</f>
        <v>0</v>
      </c>
      <c r="Q32" s="452">
        <f>'Synthesis Adults'!O49</f>
        <v>0</v>
      </c>
      <c r="R32" s="453" t="str">
        <f t="shared" si="6"/>
        <v>0</v>
      </c>
      <c r="S32" s="454">
        <f t="shared" ca="1" si="7"/>
        <v>0</v>
      </c>
      <c r="T32" s="452">
        <f>'Synthesis Adults'!X49</f>
        <v>0</v>
      </c>
      <c r="U32" s="452">
        <f>'Synthesis Adults'!Y49</f>
        <v>0</v>
      </c>
      <c r="V32" s="452">
        <f>'Synthesis Adults'!Z49</f>
        <v>0</v>
      </c>
      <c r="W32" s="454">
        <f t="shared" ca="1" si="13"/>
        <v>0</v>
      </c>
      <c r="X32" s="452">
        <f>'Synthesis Adults'!AB49</f>
        <v>0</v>
      </c>
      <c r="Y32" s="452">
        <f>'Synthesis Adults'!AC49</f>
        <v>0</v>
      </c>
      <c r="Z32" s="452">
        <f>'Synthesis Adults'!AD49</f>
        <v>0</v>
      </c>
      <c r="AA32" s="454">
        <f t="shared" ca="1" si="2"/>
        <v>0</v>
      </c>
      <c r="AB32" s="452">
        <f>'Synthesis Adults'!AF49</f>
        <v>0</v>
      </c>
      <c r="AC32" s="452">
        <f>'Synthesis Adults'!AG49</f>
        <v>0</v>
      </c>
      <c r="AD32" s="452">
        <f>'Synthesis Adults'!AH49</f>
        <v>0</v>
      </c>
      <c r="AE32" s="454">
        <f t="shared" ca="1" si="8"/>
        <v>0</v>
      </c>
      <c r="AF32" s="869">
        <f t="shared" ca="1" si="9"/>
        <v>0</v>
      </c>
      <c r="AG32" s="869">
        <f t="shared" ca="1" si="10"/>
        <v>0</v>
      </c>
    </row>
    <row r="33" spans="2:33" s="260" customFormat="1" x14ac:dyDescent="0.2">
      <c r="B33" s="470"/>
      <c r="C33" s="868" t="str">
        <f>'Available Stocks'!E40</f>
        <v>3TC</v>
      </c>
      <c r="D33" s="1445" t="str">
        <f>'Available Stocks'!H40</f>
        <v>Lamivudine</v>
      </c>
      <c r="E33" s="471" t="str">
        <f>'Available Stocks'!F40</f>
        <v>Cp</v>
      </c>
      <c r="F33" s="471" t="str">
        <f>'Available Stocks'!G40</f>
        <v>150 mg</v>
      </c>
      <c r="G33" s="1450">
        <f>'Available Stocks'!K40</f>
        <v>60</v>
      </c>
      <c r="H33" s="472">
        <f ca="1">'Prix VPP 102012 convert'!AA66*G33</f>
        <v>2.4</v>
      </c>
      <c r="I33" s="473">
        <f>'Available Stocks'!M40</f>
        <v>0</v>
      </c>
      <c r="J33" s="474">
        <f>'Synthesis Adults'!I50+'Synthesis Children'!I50</f>
        <v>0</v>
      </c>
      <c r="K33" s="475">
        <f>'Synthesis Adults'!J50+'Synthesis Children'!J50</f>
        <v>0</v>
      </c>
      <c r="L33" s="475">
        <f>'Synthesis Adults'!K50+'Synthesis Children'!K50</f>
        <v>0</v>
      </c>
      <c r="M33" s="476">
        <f t="shared" si="11"/>
        <v>0</v>
      </c>
      <c r="N33" s="477">
        <f t="shared" ca="1" si="12"/>
        <v>0</v>
      </c>
      <c r="O33" s="474">
        <f>'Synthesis Adults'!M50+'Synthesis Children'!M50</f>
        <v>0</v>
      </c>
      <c r="P33" s="475">
        <f>'Synthesis Adults'!N50+'Synthesis Children'!N50</f>
        <v>0</v>
      </c>
      <c r="Q33" s="475">
        <f>'Synthesis Adults'!O50+'Synthesis Children'!O50</f>
        <v>0</v>
      </c>
      <c r="R33" s="476" t="str">
        <f t="shared" si="6"/>
        <v>0</v>
      </c>
      <c r="S33" s="477">
        <f t="shared" ca="1" si="7"/>
        <v>0</v>
      </c>
      <c r="T33" s="475">
        <f>'Synthesis Adults'!X50+'Synthesis Children'!X50</f>
        <v>0</v>
      </c>
      <c r="U33" s="475">
        <f>'Synthesis Adults'!Y50+'Synthesis Children'!Y50</f>
        <v>0</v>
      </c>
      <c r="V33" s="475">
        <f>'Synthesis Adults'!Z50+'Synthesis Children'!Z50</f>
        <v>0</v>
      </c>
      <c r="W33" s="477">
        <f t="shared" ca="1" si="13"/>
        <v>0</v>
      </c>
      <c r="X33" s="475">
        <f>'Synthesis Adults'!AB50+'Synthesis Children'!AB50</f>
        <v>0</v>
      </c>
      <c r="Y33" s="475">
        <f>'Synthesis Adults'!AC50+'Synthesis Children'!AC50</f>
        <v>0</v>
      </c>
      <c r="Z33" s="475">
        <f>'Synthesis Adults'!AD50+'Synthesis Children'!AD50</f>
        <v>0</v>
      </c>
      <c r="AA33" s="477">
        <f t="shared" ca="1" si="2"/>
        <v>0</v>
      </c>
      <c r="AB33" s="475">
        <f>'Synthesis Adults'!AF50+'Synthesis Children'!AF50</f>
        <v>0</v>
      </c>
      <c r="AC33" s="475">
        <f>'Synthesis Adults'!AG50+'Synthesis Children'!AG50</f>
        <v>0</v>
      </c>
      <c r="AD33" s="475">
        <f>'Synthesis Adults'!AH50+'Synthesis Children'!AH50</f>
        <v>0</v>
      </c>
      <c r="AE33" s="477">
        <f t="shared" ca="1" si="8"/>
        <v>0</v>
      </c>
      <c r="AF33" s="870">
        <f t="shared" ca="1" si="9"/>
        <v>0</v>
      </c>
      <c r="AG33" s="870">
        <f t="shared" ca="1" si="10"/>
        <v>0</v>
      </c>
    </row>
    <row r="34" spans="2:33" s="260" customFormat="1" x14ac:dyDescent="0.2">
      <c r="B34" s="470"/>
      <c r="C34" s="868" t="str">
        <f>'Available Stocks'!E41</f>
        <v>FTC</v>
      </c>
      <c r="D34" s="1445" t="str">
        <f>'Available Stocks'!H41</f>
        <v>Emtricitabine</v>
      </c>
      <c r="E34" s="471" t="str">
        <f>'Available Stocks'!F41</f>
        <v>Cp</v>
      </c>
      <c r="F34" s="471" t="str">
        <f>'Available Stocks'!G41</f>
        <v>200 mg</v>
      </c>
      <c r="G34" s="1450">
        <f>'Available Stocks'!K41</f>
        <v>30</v>
      </c>
      <c r="H34" s="472">
        <f ca="1">'Prix VPP 102012 convert'!AA60*G34</f>
        <v>0</v>
      </c>
      <c r="I34" s="473">
        <f>'Available Stocks'!M41</f>
        <v>0</v>
      </c>
      <c r="J34" s="474">
        <f>'Synthesis Adults'!I51</f>
        <v>0</v>
      </c>
      <c r="K34" s="475">
        <f>'Synthesis Adults'!J51</f>
        <v>0</v>
      </c>
      <c r="L34" s="475">
        <f>'Synthesis Adults'!K51</f>
        <v>0</v>
      </c>
      <c r="M34" s="476">
        <f t="shared" si="11"/>
        <v>0</v>
      </c>
      <c r="N34" s="477">
        <f t="shared" ca="1" si="12"/>
        <v>0</v>
      </c>
      <c r="O34" s="474">
        <f>'Synthesis Adults'!M51</f>
        <v>0</v>
      </c>
      <c r="P34" s="475">
        <f>'Synthesis Adults'!N51</f>
        <v>0</v>
      </c>
      <c r="Q34" s="475">
        <f>'Synthesis Adults'!O51</f>
        <v>0</v>
      </c>
      <c r="R34" s="476" t="str">
        <f t="shared" si="6"/>
        <v>0</v>
      </c>
      <c r="S34" s="477">
        <f t="shared" ca="1" si="7"/>
        <v>0</v>
      </c>
      <c r="T34" s="475">
        <f>'Synthesis Adults'!X51</f>
        <v>0</v>
      </c>
      <c r="U34" s="475">
        <f>'Synthesis Adults'!Y51</f>
        <v>0</v>
      </c>
      <c r="V34" s="475">
        <f>'Synthesis Adults'!Z51</f>
        <v>0</v>
      </c>
      <c r="W34" s="477">
        <f t="shared" ca="1" si="13"/>
        <v>0</v>
      </c>
      <c r="X34" s="475">
        <f>'Synthesis Adults'!AB51</f>
        <v>0</v>
      </c>
      <c r="Y34" s="475">
        <f>'Synthesis Adults'!AC51</f>
        <v>0</v>
      </c>
      <c r="Z34" s="475">
        <f>'Synthesis Adults'!AD51</f>
        <v>0</v>
      </c>
      <c r="AA34" s="477">
        <f t="shared" ca="1" si="2"/>
        <v>0</v>
      </c>
      <c r="AB34" s="475">
        <f>'Synthesis Adults'!AF51</f>
        <v>0</v>
      </c>
      <c r="AC34" s="475">
        <f>'Synthesis Adults'!AG51</f>
        <v>0</v>
      </c>
      <c r="AD34" s="475">
        <f>'Synthesis Adults'!AH51</f>
        <v>0</v>
      </c>
      <c r="AE34" s="477">
        <f t="shared" ca="1" si="8"/>
        <v>0</v>
      </c>
      <c r="AF34" s="870">
        <f t="shared" ca="1" si="9"/>
        <v>0</v>
      </c>
      <c r="AG34" s="870">
        <f t="shared" ca="1" si="10"/>
        <v>0</v>
      </c>
    </row>
    <row r="35" spans="2:33" s="260" customFormat="1" x14ac:dyDescent="0.2">
      <c r="B35" s="470"/>
      <c r="C35" s="868" t="str">
        <f>'Available Stocks'!E35</f>
        <v>ABC</v>
      </c>
      <c r="D35" s="1445" t="str">
        <f>'Available Stocks'!H35</f>
        <v>Abacavir</v>
      </c>
      <c r="E35" s="471" t="str">
        <f>'Available Stocks'!F35</f>
        <v>Cp</v>
      </c>
      <c r="F35" s="471" t="str">
        <f>'Available Stocks'!G35</f>
        <v>300 mg</v>
      </c>
      <c r="G35" s="1450">
        <f>'Available Stocks'!K35</f>
        <v>60</v>
      </c>
      <c r="H35" s="472">
        <f ca="1">'Prix VPP 102012 convert'!AA33*G35</f>
        <v>12.99</v>
      </c>
      <c r="I35" s="473">
        <f>'Available Stocks'!M35</f>
        <v>1027</v>
      </c>
      <c r="J35" s="474">
        <f>'Synthesis Adults'!I52+'Synthesis Children'!I51</f>
        <v>0</v>
      </c>
      <c r="K35" s="475">
        <f>'Synthesis Adults'!J52+'Synthesis Children'!J51</f>
        <v>0</v>
      </c>
      <c r="L35" s="475">
        <f>'Synthesis Adults'!K52+'Synthesis Children'!K51</f>
        <v>0</v>
      </c>
      <c r="M35" s="476">
        <f t="shared" si="11"/>
        <v>0</v>
      </c>
      <c r="N35" s="477">
        <f t="shared" ca="1" si="12"/>
        <v>0</v>
      </c>
      <c r="O35" s="474">
        <f>'Synthesis Adults'!M52+'Synthesis Children'!M51</f>
        <v>0</v>
      </c>
      <c r="P35" s="475">
        <f>'Synthesis Adults'!N52+'Synthesis Children'!N51</f>
        <v>0</v>
      </c>
      <c r="Q35" s="475">
        <f>'Synthesis Adults'!O52+'Synthesis Children'!O51</f>
        <v>0</v>
      </c>
      <c r="R35" s="476" t="str">
        <f t="shared" si="6"/>
        <v>0</v>
      </c>
      <c r="S35" s="477">
        <f t="shared" ca="1" si="7"/>
        <v>0</v>
      </c>
      <c r="T35" s="475">
        <f>'Synthesis Adults'!X52+'Synthesis Children'!X51</f>
        <v>0</v>
      </c>
      <c r="U35" s="475">
        <f>'Synthesis Adults'!Y52+'Synthesis Children'!Y51</f>
        <v>0</v>
      </c>
      <c r="V35" s="475">
        <f>'Synthesis Adults'!Z52+'Synthesis Children'!Z51</f>
        <v>0</v>
      </c>
      <c r="W35" s="477">
        <f t="shared" ca="1" si="13"/>
        <v>0</v>
      </c>
      <c r="X35" s="475">
        <f>'Synthesis Adults'!AB52+'Synthesis Children'!AB51</f>
        <v>0</v>
      </c>
      <c r="Y35" s="475">
        <f>'Synthesis Adults'!AC52+'Synthesis Children'!AC51</f>
        <v>0</v>
      </c>
      <c r="Z35" s="475">
        <f>'Synthesis Adults'!AD52+'Synthesis Children'!AD51</f>
        <v>0</v>
      </c>
      <c r="AA35" s="477">
        <f t="shared" ca="1" si="2"/>
        <v>0</v>
      </c>
      <c r="AB35" s="475">
        <f>'Synthesis Adults'!AF52+'Synthesis Children'!AF51</f>
        <v>0</v>
      </c>
      <c r="AC35" s="475">
        <f>'Synthesis Adults'!AG52+'Synthesis Children'!AG51</f>
        <v>0</v>
      </c>
      <c r="AD35" s="475">
        <f>'Synthesis Adults'!AH52+'Synthesis Children'!AH51</f>
        <v>0</v>
      </c>
      <c r="AE35" s="477">
        <f t="shared" ca="1" si="8"/>
        <v>0</v>
      </c>
      <c r="AF35" s="870">
        <f t="shared" ca="1" si="9"/>
        <v>0</v>
      </c>
      <c r="AG35" s="870">
        <f t="shared" ca="1" si="10"/>
        <v>0</v>
      </c>
    </row>
    <row r="36" spans="2:33" s="260" customFormat="1" x14ac:dyDescent="0.2">
      <c r="B36" s="470"/>
      <c r="C36" s="868" t="str">
        <f>'Available Stocks'!E36</f>
        <v>ABC</v>
      </c>
      <c r="D36" s="1445" t="str">
        <f>'Available Stocks'!H36</f>
        <v>Abacavir</v>
      </c>
      <c r="E36" s="471" t="str">
        <f>'Available Stocks'!F36</f>
        <v>Cp</v>
      </c>
      <c r="F36" s="471" t="str">
        <f>'Available Stocks'!G36</f>
        <v>60 mg</v>
      </c>
      <c r="G36" s="1450">
        <f>'Available Stocks'!K36</f>
        <v>60</v>
      </c>
      <c r="H36" s="472">
        <f ca="1">'Prix VPP 102012 convert'!AA34*G36</f>
        <v>6.2</v>
      </c>
      <c r="I36" s="473">
        <f>'Available Stocks'!M36</f>
        <v>194</v>
      </c>
      <c r="J36" s="474">
        <f>'Synthesis Children'!I52</f>
        <v>0</v>
      </c>
      <c r="K36" s="475">
        <f>'Synthesis Children'!J52</f>
        <v>0</v>
      </c>
      <c r="L36" s="475">
        <f>'Synthesis Children'!K52</f>
        <v>0</v>
      </c>
      <c r="M36" s="476">
        <f t="shared" ref="M36" si="22">IF(L36-I36&gt;0, L36-I36, 0)</f>
        <v>0</v>
      </c>
      <c r="N36" s="477">
        <f t="shared" ref="N36" ca="1" si="23">M36*H36</f>
        <v>0</v>
      </c>
      <c r="O36" s="474">
        <f>'Synthesis Children'!M52</f>
        <v>0</v>
      </c>
      <c r="P36" s="475">
        <f>'Synthesis Children'!N52</f>
        <v>0</v>
      </c>
      <c r="Q36" s="475">
        <f>'Synthesis Children'!O52</f>
        <v>0</v>
      </c>
      <c r="R36" s="476" t="str">
        <f t="shared" si="6"/>
        <v>0</v>
      </c>
      <c r="S36" s="477">
        <f t="shared" ca="1" si="7"/>
        <v>0</v>
      </c>
      <c r="T36" s="475">
        <f>'Synthesis Children'!X52</f>
        <v>0</v>
      </c>
      <c r="U36" s="475">
        <f>'Synthesis Children'!Y52</f>
        <v>0</v>
      </c>
      <c r="V36" s="475">
        <f>'Synthesis Children'!Z52</f>
        <v>0</v>
      </c>
      <c r="W36" s="477">
        <f t="shared" ca="1" si="13"/>
        <v>0</v>
      </c>
      <c r="X36" s="475">
        <f>'Synthesis Children'!AB52</f>
        <v>0</v>
      </c>
      <c r="Y36" s="475">
        <f>'Synthesis Children'!AC52</f>
        <v>0</v>
      </c>
      <c r="Z36" s="475">
        <f>'Synthesis Children'!AD52</f>
        <v>0</v>
      </c>
      <c r="AA36" s="477">
        <f t="shared" ca="1" si="2"/>
        <v>0</v>
      </c>
      <c r="AB36" s="475">
        <f>'Synthesis Children'!AF52</f>
        <v>0</v>
      </c>
      <c r="AC36" s="475">
        <f>'Synthesis Children'!AG52</f>
        <v>0</v>
      </c>
      <c r="AD36" s="475">
        <f>'Synthesis Children'!AH52</f>
        <v>0</v>
      </c>
      <c r="AE36" s="477">
        <f t="shared" ca="1" si="8"/>
        <v>0</v>
      </c>
      <c r="AF36" s="870">
        <f t="shared" ca="1" si="9"/>
        <v>0</v>
      </c>
      <c r="AG36" s="870">
        <f t="shared" ca="1" si="10"/>
        <v>0</v>
      </c>
    </row>
    <row r="37" spans="2:33" s="260" customFormat="1" x14ac:dyDescent="0.2">
      <c r="B37" s="462"/>
      <c r="C37" s="913" t="str">
        <f>'Available Stocks'!E42</f>
        <v>DDI</v>
      </c>
      <c r="D37" s="1446" t="str">
        <f>'Available Stocks'!H42</f>
        <v>Didanosine</v>
      </c>
      <c r="E37" s="456" t="str">
        <f>'Available Stocks'!F42</f>
        <v>Gél</v>
      </c>
      <c r="F37" s="456" t="str">
        <f>'Available Stocks'!G42</f>
        <v>250 mg</v>
      </c>
      <c r="G37" s="1451">
        <f>'Available Stocks'!K42</f>
        <v>30</v>
      </c>
      <c r="H37" s="385">
        <f ca="1">'Prix VPP 102012 convert'!AA52*G37</f>
        <v>13</v>
      </c>
      <c r="I37" s="457">
        <f>'Available Stocks'!M42</f>
        <v>0</v>
      </c>
      <c r="J37" s="458">
        <f>'Synthesis Adults'!I53+'Synthesis Children'!I53</f>
        <v>0</v>
      </c>
      <c r="K37" s="459">
        <f>'Synthesis Adults'!J53+'Synthesis Children'!J53</f>
        <v>0</v>
      </c>
      <c r="L37" s="459">
        <f>'Synthesis Adults'!K53+'Synthesis Children'!K53</f>
        <v>0</v>
      </c>
      <c r="M37" s="460">
        <f t="shared" si="11"/>
        <v>0</v>
      </c>
      <c r="N37" s="461">
        <f t="shared" ca="1" si="12"/>
        <v>0</v>
      </c>
      <c r="O37" s="458">
        <f>'Synthesis Adults'!M53+'Synthesis Children'!M53</f>
        <v>0</v>
      </c>
      <c r="P37" s="459">
        <f>'Synthesis Adults'!N53+'Synthesis Children'!N53</f>
        <v>0</v>
      </c>
      <c r="Q37" s="459">
        <f>'Synthesis Adults'!O53+'Synthesis Children'!O53</f>
        <v>0</v>
      </c>
      <c r="R37" s="460" t="str">
        <f t="shared" si="6"/>
        <v>0</v>
      </c>
      <c r="S37" s="461">
        <f t="shared" ca="1" si="7"/>
        <v>0</v>
      </c>
      <c r="T37" s="459">
        <f>'Synthesis Adults'!X53+'Synthesis Children'!X53</f>
        <v>0</v>
      </c>
      <c r="U37" s="459">
        <f>'Synthesis Adults'!Y53+'Synthesis Children'!Y53</f>
        <v>0</v>
      </c>
      <c r="V37" s="459">
        <f>'Synthesis Adults'!Z53+'Synthesis Children'!Z53</f>
        <v>0</v>
      </c>
      <c r="W37" s="461">
        <f t="shared" ca="1" si="13"/>
        <v>0</v>
      </c>
      <c r="X37" s="459">
        <f>'Synthesis Adults'!AB53+'Synthesis Children'!AB53</f>
        <v>0</v>
      </c>
      <c r="Y37" s="459">
        <f>'Synthesis Adults'!AC53+'Synthesis Children'!AC53</f>
        <v>0</v>
      </c>
      <c r="Z37" s="459">
        <f>'Synthesis Adults'!AD53+'Synthesis Children'!AD53</f>
        <v>0</v>
      </c>
      <c r="AA37" s="461">
        <f t="shared" ca="1" si="2"/>
        <v>0</v>
      </c>
      <c r="AB37" s="459">
        <f>'Synthesis Adults'!AF53+'Synthesis Children'!AF53</f>
        <v>0</v>
      </c>
      <c r="AC37" s="459">
        <f>'Synthesis Adults'!AG53+'Synthesis Children'!AG53</f>
        <v>0</v>
      </c>
      <c r="AD37" s="459">
        <f>'Synthesis Adults'!AH53+'Synthesis Children'!AH53</f>
        <v>0</v>
      </c>
      <c r="AE37" s="461">
        <f t="shared" ca="1" si="8"/>
        <v>0</v>
      </c>
      <c r="AF37" s="871">
        <f t="shared" ca="1" si="9"/>
        <v>0</v>
      </c>
      <c r="AG37" s="871">
        <f t="shared" ca="1" si="10"/>
        <v>0</v>
      </c>
    </row>
    <row r="38" spans="2:33" s="260" customFormat="1" x14ac:dyDescent="0.2">
      <c r="B38" s="462"/>
      <c r="C38" s="913" t="str">
        <f>'Available Stocks'!E43</f>
        <v>DDI</v>
      </c>
      <c r="D38" s="1446" t="str">
        <f>'Available Stocks'!H43</f>
        <v>Didanosine</v>
      </c>
      <c r="E38" s="456" t="str">
        <f>'Available Stocks'!F43</f>
        <v>Gél</v>
      </c>
      <c r="F38" s="456" t="str">
        <f>'Available Stocks'!G43</f>
        <v>400 mg</v>
      </c>
      <c r="G38" s="1451">
        <f>'Available Stocks'!K43</f>
        <v>30</v>
      </c>
      <c r="H38" s="385">
        <f ca="1">'Prix VPP 102012 convert'!AA53*G38</f>
        <v>20</v>
      </c>
      <c r="I38" s="457">
        <f>'Available Stocks'!M43</f>
        <v>806</v>
      </c>
      <c r="J38" s="458">
        <f>'Synthesis Adults'!I54</f>
        <v>0</v>
      </c>
      <c r="K38" s="459" t="str">
        <f>'Synthesis Adults'!J54</f>
        <v>0</v>
      </c>
      <c r="L38" s="459">
        <f>'Synthesis Adults'!K54</f>
        <v>0</v>
      </c>
      <c r="M38" s="460">
        <f t="shared" si="11"/>
        <v>0</v>
      </c>
      <c r="N38" s="461">
        <f t="shared" ca="1" si="12"/>
        <v>0</v>
      </c>
      <c r="O38" s="458">
        <f>'Synthesis Adults'!M54</f>
        <v>0</v>
      </c>
      <c r="P38" s="459">
        <f>'Synthesis Adults'!N54</f>
        <v>0</v>
      </c>
      <c r="Q38" s="459">
        <f>'Synthesis Adults'!O54</f>
        <v>0</v>
      </c>
      <c r="R38" s="460" t="str">
        <f t="shared" si="6"/>
        <v>0</v>
      </c>
      <c r="S38" s="461">
        <f t="shared" ca="1" si="7"/>
        <v>0</v>
      </c>
      <c r="T38" s="459">
        <f>'Synthesis Adults'!X54</f>
        <v>0</v>
      </c>
      <c r="U38" s="459">
        <f>'Synthesis Adults'!Y54</f>
        <v>0</v>
      </c>
      <c r="V38" s="459">
        <f>'Synthesis Adults'!Z54</f>
        <v>0</v>
      </c>
      <c r="W38" s="461">
        <f t="shared" ca="1" si="13"/>
        <v>0</v>
      </c>
      <c r="X38" s="459">
        <f>'Synthesis Adults'!AB54</f>
        <v>0</v>
      </c>
      <c r="Y38" s="459">
        <f>'Synthesis Adults'!AC54</f>
        <v>0</v>
      </c>
      <c r="Z38" s="459">
        <f>'Synthesis Adults'!AD54</f>
        <v>0</v>
      </c>
      <c r="AA38" s="461">
        <f t="shared" ca="1" si="2"/>
        <v>0</v>
      </c>
      <c r="AB38" s="459">
        <f>'Synthesis Adults'!AF54</f>
        <v>0</v>
      </c>
      <c r="AC38" s="459">
        <f>'Synthesis Adults'!AG54</f>
        <v>0</v>
      </c>
      <c r="AD38" s="459">
        <f>'Synthesis Adults'!AH54</f>
        <v>0</v>
      </c>
      <c r="AE38" s="461">
        <f t="shared" ca="1" si="8"/>
        <v>0</v>
      </c>
      <c r="AF38" s="871">
        <f t="shared" ca="1" si="9"/>
        <v>0</v>
      </c>
      <c r="AG38" s="871">
        <f t="shared" ca="1" si="10"/>
        <v>0</v>
      </c>
    </row>
    <row r="39" spans="2:33" s="260" customFormat="1" x14ac:dyDescent="0.2">
      <c r="B39" s="478"/>
      <c r="C39" s="915" t="str">
        <f>'Available Stocks'!E44</f>
        <v>TDF</v>
      </c>
      <c r="D39" s="1448" t="str">
        <f>'Available Stocks'!H44</f>
        <v>Ténofovir</v>
      </c>
      <c r="E39" s="479" t="str">
        <f>'Available Stocks'!F44</f>
        <v>Cp</v>
      </c>
      <c r="F39" s="479" t="str">
        <f>'Available Stocks'!G44</f>
        <v>300 mg</v>
      </c>
      <c r="G39" s="1453">
        <f>'Available Stocks'!K44</f>
        <v>30</v>
      </c>
      <c r="H39" s="480">
        <f ca="1">'Prix VPP 102012 convert'!AA94*G39</f>
        <v>4</v>
      </c>
      <c r="I39" s="481">
        <f>'Available Stocks'!M44</f>
        <v>300</v>
      </c>
      <c r="J39" s="482">
        <f>'Synthesis Adults'!I55+'Synthesis Children'!I49</f>
        <v>0</v>
      </c>
      <c r="K39" s="483">
        <f>'Synthesis Adults'!J55+'Synthesis Children'!J49</f>
        <v>0</v>
      </c>
      <c r="L39" s="483">
        <f>'Synthesis Adults'!K55+'Synthesis Children'!K49</f>
        <v>0</v>
      </c>
      <c r="M39" s="484">
        <f t="shared" si="11"/>
        <v>0</v>
      </c>
      <c r="N39" s="485">
        <f t="shared" ca="1" si="12"/>
        <v>0</v>
      </c>
      <c r="O39" s="482">
        <f>'Synthesis Adults'!M55+'Synthesis Children'!M49</f>
        <v>0</v>
      </c>
      <c r="P39" s="483">
        <f>'Synthesis Adults'!N55+'Synthesis Children'!N49</f>
        <v>0</v>
      </c>
      <c r="Q39" s="483">
        <f>'Synthesis Adults'!O55+'Synthesis Children'!O49</f>
        <v>0</v>
      </c>
      <c r="R39" s="484" t="str">
        <f t="shared" si="6"/>
        <v>0</v>
      </c>
      <c r="S39" s="485">
        <f t="shared" ca="1" si="7"/>
        <v>0</v>
      </c>
      <c r="T39" s="483">
        <f>'Synthesis Adults'!X55+'Synthesis Children'!X49</f>
        <v>0</v>
      </c>
      <c r="U39" s="483">
        <f>'Synthesis Adults'!Y55+'Synthesis Children'!Y49</f>
        <v>0</v>
      </c>
      <c r="V39" s="483">
        <f>'Synthesis Adults'!Z55+'Synthesis Children'!Z49</f>
        <v>0</v>
      </c>
      <c r="W39" s="485">
        <f t="shared" ca="1" si="13"/>
        <v>0</v>
      </c>
      <c r="X39" s="483">
        <f>'Synthesis Adults'!AB55+'Synthesis Children'!AB49</f>
        <v>0</v>
      </c>
      <c r="Y39" s="483">
        <f>'Synthesis Adults'!AC55+'Synthesis Children'!AC49</f>
        <v>0</v>
      </c>
      <c r="Z39" s="483">
        <f>'Synthesis Adults'!AD55+'Synthesis Children'!AD49</f>
        <v>0</v>
      </c>
      <c r="AA39" s="485">
        <f t="shared" ca="1" si="2"/>
        <v>0</v>
      </c>
      <c r="AB39" s="483">
        <f>'Synthesis Adults'!AF55+'Synthesis Children'!AF49</f>
        <v>0</v>
      </c>
      <c r="AC39" s="483">
        <f>'Synthesis Adults'!AG55+'Synthesis Children'!AG49</f>
        <v>0</v>
      </c>
      <c r="AD39" s="483">
        <f>'Synthesis Adults'!AH55+'Synthesis Children'!AH49</f>
        <v>0</v>
      </c>
      <c r="AE39" s="485">
        <f t="shared" ca="1" si="8"/>
        <v>0</v>
      </c>
      <c r="AF39" s="873">
        <f t="shared" ca="1" si="9"/>
        <v>0</v>
      </c>
      <c r="AG39" s="873">
        <f t="shared" ca="1" si="10"/>
        <v>0</v>
      </c>
    </row>
    <row r="40" spans="2:33" s="260" customFormat="1" ht="25.5" x14ac:dyDescent="0.2">
      <c r="B40" s="470" t="str">
        <f>'Available Stocks'!D45</f>
        <v>IP</v>
      </c>
      <c r="C40" s="868" t="str">
        <f>'Available Stocks'!E45</f>
        <v>LPV/r</v>
      </c>
      <c r="D40" s="1445" t="str">
        <f>'Available Stocks'!H45</f>
        <v>Lopinavir/ritonavir</v>
      </c>
      <c r="E40" s="471" t="str">
        <f>'Available Stocks'!F45</f>
        <v>Cp</v>
      </c>
      <c r="F40" s="471" t="str">
        <f>'Available Stocks'!G45</f>
        <v>200/50 mg</v>
      </c>
      <c r="G40" s="1450">
        <f>'Available Stocks'!K45</f>
        <v>120</v>
      </c>
      <c r="H40" s="472">
        <f ca="1">'Prix VPP 102012 convert'!AA72*G40</f>
        <v>30.749999999999996</v>
      </c>
      <c r="I40" s="473">
        <f>'Available Stocks'!M45</f>
        <v>10862</v>
      </c>
      <c r="J40" s="474">
        <f>'Synthesis Adults'!I56+'Synthesis Children'!I57</f>
        <v>15750</v>
      </c>
      <c r="K40" s="475">
        <f>'Synthesis Adults'!J56+'Synthesis Children'!J57</f>
        <v>4826</v>
      </c>
      <c r="L40" s="475">
        <f>'Synthesis Adults'!K56+'Synthesis Children'!K57</f>
        <v>20576</v>
      </c>
      <c r="M40" s="476">
        <f t="shared" si="11"/>
        <v>9714</v>
      </c>
      <c r="N40" s="477">
        <f t="shared" ca="1" si="12"/>
        <v>298705.49999999994</v>
      </c>
      <c r="O40" s="474">
        <f>'Synthesis Adults'!M56+'Synthesis Children'!M57</f>
        <v>0</v>
      </c>
      <c r="P40" s="475">
        <f>'Synthesis Adults'!N56+'Synthesis Children'!N57</f>
        <v>0</v>
      </c>
      <c r="Q40" s="475">
        <f>'Synthesis Adults'!O56+'Synthesis Children'!O57</f>
        <v>0</v>
      </c>
      <c r="R40" s="476">
        <f t="shared" si="6"/>
        <v>0</v>
      </c>
      <c r="S40" s="477">
        <f t="shared" ca="1" si="7"/>
        <v>0</v>
      </c>
      <c r="T40" s="475">
        <f>'Synthesis Adults'!X56+'Synthesis Children'!X57</f>
        <v>0</v>
      </c>
      <c r="U40" s="475">
        <f>'Synthesis Adults'!Y56+'Synthesis Children'!Y57</f>
        <v>0</v>
      </c>
      <c r="V40" s="475">
        <f>'Synthesis Adults'!Z56+'Synthesis Children'!Z57</f>
        <v>0</v>
      </c>
      <c r="W40" s="477">
        <f t="shared" ca="1" si="13"/>
        <v>0</v>
      </c>
      <c r="X40" s="475">
        <f>'Synthesis Adults'!AB56+'Synthesis Children'!AB57</f>
        <v>0</v>
      </c>
      <c r="Y40" s="475">
        <f>'Synthesis Adults'!AC56+'Synthesis Children'!AC57</f>
        <v>0</v>
      </c>
      <c r="Z40" s="475">
        <f>'Synthesis Adults'!AD56+'Synthesis Children'!AD57</f>
        <v>0</v>
      </c>
      <c r="AA40" s="477">
        <f t="shared" ca="1" si="2"/>
        <v>0</v>
      </c>
      <c r="AB40" s="475">
        <f>'Synthesis Adults'!AF56+'Synthesis Children'!AF57</f>
        <v>0</v>
      </c>
      <c r="AC40" s="475">
        <f>'Synthesis Adults'!AG56+'Synthesis Children'!AG57</f>
        <v>0</v>
      </c>
      <c r="AD40" s="475">
        <f>'Synthesis Adults'!AH56+'Synthesis Children'!AH57</f>
        <v>0</v>
      </c>
      <c r="AE40" s="477">
        <f t="shared" ca="1" si="8"/>
        <v>0</v>
      </c>
      <c r="AF40" s="870">
        <f t="shared" ca="1" si="9"/>
        <v>632711.99999999988</v>
      </c>
      <c r="AG40" s="870">
        <f t="shared" ca="1" si="10"/>
        <v>298705.49999999994</v>
      </c>
    </row>
    <row r="41" spans="2:33" s="260" customFormat="1" ht="25.5" x14ac:dyDescent="0.2">
      <c r="B41" s="470"/>
      <c r="C41" s="868" t="str">
        <f>'Available Stocks'!E46</f>
        <v>LPV/r</v>
      </c>
      <c r="D41" s="1445" t="str">
        <f>'Available Stocks'!H46</f>
        <v>Lopinavir/ritonavir</v>
      </c>
      <c r="E41" s="471" t="str">
        <f>'Available Stocks'!F46</f>
        <v>Cp</v>
      </c>
      <c r="F41" s="471" t="str">
        <f>'Available Stocks'!G46</f>
        <v>100/25 mg</v>
      </c>
      <c r="G41" s="1450">
        <f>'Available Stocks'!K46</f>
        <v>60</v>
      </c>
      <c r="H41" s="472">
        <f ca="1">'Prix VPP 102012 convert'!AA71*G41</f>
        <v>8.0399999999999991</v>
      </c>
      <c r="I41" s="473">
        <f>'Available Stocks'!M46</f>
        <v>100</v>
      </c>
      <c r="J41" s="474">
        <f>'Synthesis Children'!I58</f>
        <v>2290.1982000000003</v>
      </c>
      <c r="K41" s="475">
        <f>'Synthesis Children'!J58</f>
        <v>1144.9698000000003</v>
      </c>
      <c r="L41" s="475">
        <f>'Synthesis Children'!K58</f>
        <v>3435.1680000000006</v>
      </c>
      <c r="M41" s="476">
        <f t="shared" si="11"/>
        <v>3335.1680000000006</v>
      </c>
      <c r="N41" s="477">
        <f t="shared" ca="1" si="12"/>
        <v>26814.75072</v>
      </c>
      <c r="O41" s="474">
        <f>'Synthesis Children'!M58</f>
        <v>0</v>
      </c>
      <c r="P41" s="475">
        <f>'Synthesis Children'!N58</f>
        <v>0</v>
      </c>
      <c r="Q41" s="475">
        <f>'Synthesis Children'!O58</f>
        <v>0</v>
      </c>
      <c r="R41" s="476">
        <f t="shared" si="6"/>
        <v>0</v>
      </c>
      <c r="S41" s="477">
        <f t="shared" ca="1" si="7"/>
        <v>0</v>
      </c>
      <c r="T41" s="475">
        <f>'Synthesis Children'!X58</f>
        <v>0</v>
      </c>
      <c r="U41" s="475">
        <f>'Synthesis Children'!Y58</f>
        <v>0</v>
      </c>
      <c r="V41" s="475">
        <f>'Synthesis Children'!Z58</f>
        <v>0</v>
      </c>
      <c r="W41" s="477">
        <f t="shared" ca="1" si="13"/>
        <v>0</v>
      </c>
      <c r="X41" s="475">
        <f>'Synthesis Children'!AB58</f>
        <v>0</v>
      </c>
      <c r="Y41" s="475">
        <f>'Synthesis Children'!AC58</f>
        <v>0</v>
      </c>
      <c r="Z41" s="475">
        <f>'Synthesis Children'!AD58</f>
        <v>0</v>
      </c>
      <c r="AA41" s="477">
        <f t="shared" ca="1" si="2"/>
        <v>0</v>
      </c>
      <c r="AB41" s="475">
        <f>'Synthesis Children'!AF58</f>
        <v>0</v>
      </c>
      <c r="AC41" s="475">
        <f>'Synthesis Children'!AG58</f>
        <v>0</v>
      </c>
      <c r="AD41" s="475">
        <f>'Synthesis Children'!AH58</f>
        <v>0</v>
      </c>
      <c r="AE41" s="477">
        <f t="shared" ca="1" si="8"/>
        <v>0</v>
      </c>
      <c r="AF41" s="870">
        <f t="shared" ca="1" si="9"/>
        <v>27618.75072</v>
      </c>
      <c r="AG41" s="870">
        <f t="shared" ca="1" si="10"/>
        <v>26814.75072</v>
      </c>
    </row>
    <row r="42" spans="2:33" s="260" customFormat="1" x14ac:dyDescent="0.2">
      <c r="B42" s="462"/>
      <c r="C42" s="868" t="str">
        <f>'Available Stocks'!E47</f>
        <v>IDV</v>
      </c>
      <c r="D42" s="1445" t="str">
        <f>'Available Stocks'!H47</f>
        <v>Indinavir</v>
      </c>
      <c r="E42" s="471" t="str">
        <f>'Available Stocks'!F47</f>
        <v>Gél</v>
      </c>
      <c r="F42" s="471" t="str">
        <f>'Available Stocks'!G47</f>
        <v>400 mg</v>
      </c>
      <c r="G42" s="1450">
        <f>'Available Stocks'!K47</f>
        <v>180</v>
      </c>
      <c r="H42" s="472">
        <f ca="1">'Prix VPP 102012 convert'!AA64*G42</f>
        <v>50</v>
      </c>
      <c r="I42" s="473">
        <f>'Available Stocks'!M47</f>
        <v>0</v>
      </c>
      <c r="J42" s="474">
        <f>'Synthesis Adults'!I57</f>
        <v>0</v>
      </c>
      <c r="K42" s="475" t="str">
        <f>'Synthesis Adults'!J57</f>
        <v>0</v>
      </c>
      <c r="L42" s="475">
        <f>'Synthesis Adults'!K57</f>
        <v>0</v>
      </c>
      <c r="M42" s="476">
        <f t="shared" si="11"/>
        <v>0</v>
      </c>
      <c r="N42" s="461">
        <f t="shared" ca="1" si="12"/>
        <v>0</v>
      </c>
      <c r="O42" s="474">
        <f>'Synthesis Adults'!M57</f>
        <v>0</v>
      </c>
      <c r="P42" s="475">
        <f>'Synthesis Adults'!N57</f>
        <v>0</v>
      </c>
      <c r="Q42" s="475">
        <f>'Synthesis Adults'!O57</f>
        <v>0</v>
      </c>
      <c r="R42" s="476" t="str">
        <f t="shared" si="6"/>
        <v>0</v>
      </c>
      <c r="S42" s="461">
        <f t="shared" ca="1" si="7"/>
        <v>0</v>
      </c>
      <c r="T42" s="475">
        <f>'Synthesis Adults'!X57</f>
        <v>0</v>
      </c>
      <c r="U42" s="475">
        <f>'Synthesis Adults'!Y57</f>
        <v>0</v>
      </c>
      <c r="V42" s="475">
        <f>'Synthesis Adults'!Z57</f>
        <v>0</v>
      </c>
      <c r="W42" s="461">
        <f t="shared" ca="1" si="13"/>
        <v>0</v>
      </c>
      <c r="X42" s="475">
        <f>'Synthesis Adults'!AB57</f>
        <v>0</v>
      </c>
      <c r="Y42" s="475">
        <f>'Synthesis Adults'!AC57</f>
        <v>0</v>
      </c>
      <c r="Z42" s="475">
        <f>'Synthesis Adults'!AD57</f>
        <v>0</v>
      </c>
      <c r="AA42" s="461">
        <f t="shared" ca="1" si="2"/>
        <v>0</v>
      </c>
      <c r="AB42" s="475">
        <f>'Synthesis Adults'!AF57</f>
        <v>0</v>
      </c>
      <c r="AC42" s="475">
        <f>'Synthesis Adults'!AG57</f>
        <v>0</v>
      </c>
      <c r="AD42" s="475">
        <f>'Synthesis Adults'!AH57</f>
        <v>0</v>
      </c>
      <c r="AE42" s="461">
        <f t="shared" ca="1" si="8"/>
        <v>0</v>
      </c>
      <c r="AF42" s="871">
        <f t="shared" ca="1" si="9"/>
        <v>0</v>
      </c>
      <c r="AG42" s="871">
        <f t="shared" ca="1" si="10"/>
        <v>0</v>
      </c>
    </row>
    <row r="43" spans="2:33" s="260" customFormat="1" x14ac:dyDescent="0.2">
      <c r="B43" s="462"/>
      <c r="C43" s="913" t="str">
        <f>'Available Stocks'!E48</f>
        <v>RTV</v>
      </c>
      <c r="D43" s="1446" t="str">
        <f>'Available Stocks'!H48</f>
        <v>Ritonavir</v>
      </c>
      <c r="E43" s="456" t="str">
        <f>'Available Stocks'!F48</f>
        <v>Caps. Molle</v>
      </c>
      <c r="F43" s="456" t="str">
        <f>'Available Stocks'!G48</f>
        <v>100 mg</v>
      </c>
      <c r="G43" s="1451">
        <f>'Available Stocks'!K48</f>
        <v>84</v>
      </c>
      <c r="H43" s="385">
        <f ca="1">'Prix VPP 102012 convert'!AA82*G43</f>
        <v>9.59</v>
      </c>
      <c r="I43" s="457">
        <f>'Available Stocks'!M48</f>
        <v>0</v>
      </c>
      <c r="J43" s="458">
        <f>'Synthesis Adults'!I58</f>
        <v>0</v>
      </c>
      <c r="K43" s="459" t="str">
        <f>'Synthesis Adults'!J58</f>
        <v>0</v>
      </c>
      <c r="L43" s="459">
        <f>'Synthesis Adults'!K58</f>
        <v>0</v>
      </c>
      <c r="M43" s="460">
        <f t="shared" si="11"/>
        <v>0</v>
      </c>
      <c r="N43" s="461">
        <f t="shared" ca="1" si="12"/>
        <v>0</v>
      </c>
      <c r="O43" s="458">
        <f>'Synthesis Adults'!M58</f>
        <v>0</v>
      </c>
      <c r="P43" s="459">
        <f>'Synthesis Adults'!N58</f>
        <v>0</v>
      </c>
      <c r="Q43" s="459">
        <f>'Synthesis Adults'!O58</f>
        <v>0</v>
      </c>
      <c r="R43" s="460" t="str">
        <f t="shared" si="6"/>
        <v>0</v>
      </c>
      <c r="S43" s="461">
        <f t="shared" ca="1" si="7"/>
        <v>0</v>
      </c>
      <c r="T43" s="459">
        <f>'Synthesis Adults'!X58</f>
        <v>0</v>
      </c>
      <c r="U43" s="459">
        <f>'Synthesis Adults'!Y58</f>
        <v>0</v>
      </c>
      <c r="V43" s="459">
        <f>'Synthesis Adults'!Z58</f>
        <v>0</v>
      </c>
      <c r="W43" s="461">
        <f t="shared" ca="1" si="13"/>
        <v>0</v>
      </c>
      <c r="X43" s="459">
        <f>'Synthesis Adults'!AB58</f>
        <v>0</v>
      </c>
      <c r="Y43" s="459">
        <f>'Synthesis Adults'!AC58</f>
        <v>0</v>
      </c>
      <c r="Z43" s="459">
        <f>'Synthesis Adults'!AD58</f>
        <v>0</v>
      </c>
      <c r="AA43" s="461">
        <f t="shared" ca="1" si="2"/>
        <v>0</v>
      </c>
      <c r="AB43" s="459">
        <f>'Synthesis Adults'!AF58</f>
        <v>0</v>
      </c>
      <c r="AC43" s="459">
        <f>'Synthesis Adults'!AG58</f>
        <v>0</v>
      </c>
      <c r="AD43" s="459">
        <f>'Synthesis Adults'!AH58</f>
        <v>0</v>
      </c>
      <c r="AE43" s="461">
        <f t="shared" ca="1" si="8"/>
        <v>0</v>
      </c>
      <c r="AF43" s="871">
        <f t="shared" ca="1" si="9"/>
        <v>0</v>
      </c>
      <c r="AG43" s="871">
        <f t="shared" ca="1" si="10"/>
        <v>0</v>
      </c>
    </row>
    <row r="44" spans="2:33" s="260" customFormat="1" x14ac:dyDescent="0.2">
      <c r="B44" s="462"/>
      <c r="C44" s="913" t="str">
        <f>'Available Stocks'!E49</f>
        <v>SQV</v>
      </c>
      <c r="D44" s="1446" t="str">
        <f>'Available Stocks'!H49</f>
        <v>Saquinavir</v>
      </c>
      <c r="E44" s="456" t="str">
        <f>'Available Stocks'!F49</f>
        <v>Cp</v>
      </c>
      <c r="F44" s="456" t="str">
        <f>'Available Stocks'!G49</f>
        <v>500 mg</v>
      </c>
      <c r="G44" s="1451">
        <f>'Available Stocks'!K49</f>
        <v>120</v>
      </c>
      <c r="H44" s="385">
        <f ca="1">'Prix VPP 102012 convert'!AA83*G44</f>
        <v>104.38</v>
      </c>
      <c r="I44" s="457">
        <f>'Available Stocks'!M49</f>
        <v>0</v>
      </c>
      <c r="J44" s="458">
        <f>'Synthesis Adults'!I59</f>
        <v>0</v>
      </c>
      <c r="K44" s="459" t="str">
        <f>'Synthesis Adults'!J59</f>
        <v>0</v>
      </c>
      <c r="L44" s="459">
        <f>'Synthesis Adults'!K59</f>
        <v>0</v>
      </c>
      <c r="M44" s="460">
        <f t="shared" si="11"/>
        <v>0</v>
      </c>
      <c r="N44" s="461">
        <f t="shared" ca="1" si="12"/>
        <v>0</v>
      </c>
      <c r="O44" s="458">
        <f>'Synthesis Adults'!M59</f>
        <v>0</v>
      </c>
      <c r="P44" s="459">
        <f>'Synthesis Adults'!N59</f>
        <v>0</v>
      </c>
      <c r="Q44" s="459">
        <f>'Synthesis Adults'!O59</f>
        <v>0</v>
      </c>
      <c r="R44" s="460" t="str">
        <f t="shared" si="6"/>
        <v>0</v>
      </c>
      <c r="S44" s="461">
        <f t="shared" ca="1" si="7"/>
        <v>0</v>
      </c>
      <c r="T44" s="459">
        <f>'Synthesis Adults'!X59</f>
        <v>0</v>
      </c>
      <c r="U44" s="459">
        <f>'Synthesis Adults'!Y59</f>
        <v>0</v>
      </c>
      <c r="V44" s="459">
        <f>'Synthesis Adults'!Z59</f>
        <v>0</v>
      </c>
      <c r="W44" s="461">
        <f t="shared" ca="1" si="13"/>
        <v>0</v>
      </c>
      <c r="X44" s="459">
        <f>'Synthesis Adults'!AB59</f>
        <v>0</v>
      </c>
      <c r="Y44" s="459">
        <f>'Synthesis Adults'!AC59</f>
        <v>0</v>
      </c>
      <c r="Z44" s="459">
        <f>'Synthesis Adults'!AD59</f>
        <v>0</v>
      </c>
      <c r="AA44" s="461">
        <f t="shared" ca="1" si="2"/>
        <v>0</v>
      </c>
      <c r="AB44" s="459">
        <f>'Synthesis Adults'!AF59</f>
        <v>0</v>
      </c>
      <c r="AC44" s="459">
        <f>'Synthesis Adults'!AG59</f>
        <v>0</v>
      </c>
      <c r="AD44" s="459">
        <f>'Synthesis Adults'!AH59</f>
        <v>0</v>
      </c>
      <c r="AE44" s="461">
        <f t="shared" ca="1" si="8"/>
        <v>0</v>
      </c>
      <c r="AF44" s="871">
        <f t="shared" ca="1" si="9"/>
        <v>0</v>
      </c>
      <c r="AG44" s="871">
        <f t="shared" ca="1" si="10"/>
        <v>0</v>
      </c>
    </row>
    <row r="45" spans="2:33" s="260" customFormat="1" ht="25.5" x14ac:dyDescent="0.2">
      <c r="B45" s="462"/>
      <c r="C45" s="913" t="str">
        <f>'Available Stocks'!E50</f>
        <v>ATV/r</v>
      </c>
      <c r="D45" s="1446" t="str">
        <f>'Available Stocks'!H50</f>
        <v>Atazanavir/ritonavir</v>
      </c>
      <c r="E45" s="456" t="str">
        <f>'Available Stocks'!F50</f>
        <v>Cp</v>
      </c>
      <c r="F45" s="456" t="str">
        <f>'Available Stocks'!G50</f>
        <v>300/100 mg</v>
      </c>
      <c r="G45" s="1451">
        <f>'Available Stocks'!K50</f>
        <v>30</v>
      </c>
      <c r="H45" s="385">
        <f ca="1">'Prix VPP 102012 convert'!AA40*G45</f>
        <v>22.5</v>
      </c>
      <c r="I45" s="457">
        <f>'Available Stocks'!M50</f>
        <v>0</v>
      </c>
      <c r="J45" s="458">
        <f>'Synthesis Adults'!I60</f>
        <v>419</v>
      </c>
      <c r="K45" s="459">
        <f>'Synthesis Adults'!J60</f>
        <v>105</v>
      </c>
      <c r="L45" s="459">
        <f>'Synthesis Adults'!K60</f>
        <v>524</v>
      </c>
      <c r="M45" s="460">
        <f t="shared" si="11"/>
        <v>524</v>
      </c>
      <c r="N45" s="461">
        <f t="shared" ca="1" si="12"/>
        <v>11790</v>
      </c>
      <c r="O45" s="458">
        <f>'Synthesis Adults'!M60</f>
        <v>0</v>
      </c>
      <c r="P45" s="459">
        <f>'Synthesis Adults'!N60</f>
        <v>0</v>
      </c>
      <c r="Q45" s="459">
        <f>'Synthesis Adults'!O60</f>
        <v>0</v>
      </c>
      <c r="R45" s="460">
        <f t="shared" si="6"/>
        <v>0</v>
      </c>
      <c r="S45" s="461">
        <f t="shared" ca="1" si="7"/>
        <v>0</v>
      </c>
      <c r="T45" s="459">
        <f>'Synthesis Adults'!X60</f>
        <v>0</v>
      </c>
      <c r="U45" s="459">
        <f>'Synthesis Adults'!Y60</f>
        <v>0</v>
      </c>
      <c r="V45" s="459">
        <f>'Synthesis Adults'!Z60</f>
        <v>0</v>
      </c>
      <c r="W45" s="461">
        <f t="shared" ca="1" si="13"/>
        <v>0</v>
      </c>
      <c r="X45" s="459">
        <f>'Synthesis Adults'!AB60</f>
        <v>0</v>
      </c>
      <c r="Y45" s="459">
        <f>'Synthesis Adults'!AC60</f>
        <v>0</v>
      </c>
      <c r="Z45" s="459">
        <f>'Synthesis Adults'!AD60</f>
        <v>0</v>
      </c>
      <c r="AA45" s="461">
        <f t="shared" ca="1" si="2"/>
        <v>0</v>
      </c>
      <c r="AB45" s="459">
        <f>'Synthesis Adults'!AF60</f>
        <v>0</v>
      </c>
      <c r="AC45" s="459">
        <f>'Synthesis Adults'!AG60</f>
        <v>0</v>
      </c>
      <c r="AD45" s="459">
        <f>'Synthesis Adults'!AH60</f>
        <v>0</v>
      </c>
      <c r="AE45" s="461">
        <f t="shared" ca="1" si="8"/>
        <v>0</v>
      </c>
      <c r="AF45" s="871">
        <f t="shared" ca="1" si="9"/>
        <v>11790</v>
      </c>
      <c r="AG45" s="871">
        <f t="shared" ca="1" si="10"/>
        <v>11790</v>
      </c>
    </row>
    <row r="46" spans="2:33" s="260" customFormat="1" x14ac:dyDescent="0.2">
      <c r="B46" s="478"/>
      <c r="C46" s="915" t="str">
        <f>'Available Stocks'!E51</f>
        <v>DRV</v>
      </c>
      <c r="D46" s="1448" t="str">
        <f>'Available Stocks'!H51</f>
        <v>Darunavir</v>
      </c>
      <c r="E46" s="479" t="str">
        <f>'Available Stocks'!F51</f>
        <v>Cp</v>
      </c>
      <c r="F46" s="479" t="str">
        <f>'Available Stocks'!G51</f>
        <v>600 mg</v>
      </c>
      <c r="G46" s="1453">
        <f>'Available Stocks'!K51</f>
        <v>60</v>
      </c>
      <c r="H46" s="480">
        <f ca="1">'Prix VPP 102012 convert'!AA44*G46</f>
        <v>0</v>
      </c>
      <c r="I46" s="481">
        <f>'Available Stocks'!M51</f>
        <v>0</v>
      </c>
      <c r="J46" s="482">
        <f>'Synthesis Adults'!I61</f>
        <v>0</v>
      </c>
      <c r="K46" s="483" t="str">
        <f>'Synthesis Adults'!J61</f>
        <v>0</v>
      </c>
      <c r="L46" s="483">
        <f>'Synthesis Adults'!K61</f>
        <v>0</v>
      </c>
      <c r="M46" s="484">
        <f t="shared" si="11"/>
        <v>0</v>
      </c>
      <c r="N46" s="485">
        <f t="shared" ca="1" si="12"/>
        <v>0</v>
      </c>
      <c r="O46" s="482">
        <f>'Synthesis Adults'!M61</f>
        <v>0</v>
      </c>
      <c r="P46" s="483">
        <f>'Synthesis Adults'!N61</f>
        <v>0</v>
      </c>
      <c r="Q46" s="483">
        <f>'Synthesis Adults'!O61</f>
        <v>0</v>
      </c>
      <c r="R46" s="484" t="str">
        <f t="shared" si="6"/>
        <v>0</v>
      </c>
      <c r="S46" s="485">
        <f t="shared" ca="1" si="7"/>
        <v>0</v>
      </c>
      <c r="T46" s="483">
        <f>'Synthesis Adults'!X61</f>
        <v>0</v>
      </c>
      <c r="U46" s="483">
        <f>'Synthesis Adults'!Y61</f>
        <v>0</v>
      </c>
      <c r="V46" s="483">
        <f>'Synthesis Adults'!Z61</f>
        <v>0</v>
      </c>
      <c r="W46" s="485">
        <f ca="1">V46*H46</f>
        <v>0</v>
      </c>
      <c r="X46" s="483">
        <f>'Synthesis Adults'!AB61</f>
        <v>0</v>
      </c>
      <c r="Y46" s="483">
        <f>'Synthesis Adults'!AC61</f>
        <v>0</v>
      </c>
      <c r="Z46" s="483">
        <f>'Synthesis Adults'!AD61</f>
        <v>0</v>
      </c>
      <c r="AA46" s="485">
        <f ca="1">Z46*H46</f>
        <v>0</v>
      </c>
      <c r="AB46" s="483">
        <f>'Synthesis Adults'!AF61</f>
        <v>0</v>
      </c>
      <c r="AC46" s="483">
        <f>'Synthesis Adults'!AG61</f>
        <v>0</v>
      </c>
      <c r="AD46" s="483">
        <f>'Synthesis Adults'!AH61</f>
        <v>0</v>
      </c>
      <c r="AE46" s="485">
        <f t="shared" ca="1" si="8"/>
        <v>0</v>
      </c>
      <c r="AF46" s="873">
        <f t="shared" ca="1" si="9"/>
        <v>0</v>
      </c>
      <c r="AG46" s="873">
        <f t="shared" ca="1" si="10"/>
        <v>0</v>
      </c>
    </row>
    <row r="47" spans="2:33" s="260" customFormat="1" x14ac:dyDescent="0.2">
      <c r="B47" s="486" t="str">
        <f>'Available Stocks'!D52</f>
        <v>I Int.</v>
      </c>
      <c r="C47" s="915" t="str">
        <f>'Available Stocks'!E52</f>
        <v>RLT = RAL</v>
      </c>
      <c r="D47" s="1448" t="str">
        <f>'Available Stocks'!H52</f>
        <v>Raltégravir</v>
      </c>
      <c r="E47" s="479" t="str">
        <f>'Available Stocks'!F52</f>
        <v>Cp</v>
      </c>
      <c r="F47" s="479" t="str">
        <f>'Available Stocks'!G52</f>
        <v>400 mg</v>
      </c>
      <c r="G47" s="1453">
        <f>'Available Stocks'!K52</f>
        <v>60</v>
      </c>
      <c r="H47" s="480">
        <f ca="1">'Prix VPP 102012 convert'!AA80*G47</f>
        <v>55.5</v>
      </c>
      <c r="I47" s="481">
        <f>'Available Stocks'!M52</f>
        <v>0</v>
      </c>
      <c r="J47" s="482">
        <f>'Synthesis Adults'!I62</f>
        <v>0</v>
      </c>
      <c r="K47" s="483" t="str">
        <f>'Synthesis Adults'!J62</f>
        <v>0</v>
      </c>
      <c r="L47" s="483">
        <f>'Synthesis Adults'!K62</f>
        <v>0</v>
      </c>
      <c r="M47" s="484">
        <f t="shared" si="11"/>
        <v>0</v>
      </c>
      <c r="N47" s="485">
        <f t="shared" ca="1" si="12"/>
        <v>0</v>
      </c>
      <c r="O47" s="482">
        <f>'Synthesis Adults'!M62</f>
        <v>0</v>
      </c>
      <c r="P47" s="483">
        <f>'Synthesis Adults'!N62</f>
        <v>0</v>
      </c>
      <c r="Q47" s="483">
        <f>'Synthesis Adults'!O62</f>
        <v>0</v>
      </c>
      <c r="R47" s="484" t="str">
        <f t="shared" si="6"/>
        <v>0</v>
      </c>
      <c r="S47" s="485">
        <f t="shared" ca="1" si="7"/>
        <v>0</v>
      </c>
      <c r="T47" s="483">
        <f>'Synthesis Adults'!X62</f>
        <v>0</v>
      </c>
      <c r="U47" s="483">
        <f>'Synthesis Adults'!Y62</f>
        <v>0</v>
      </c>
      <c r="V47" s="483">
        <f>'Synthesis Adults'!Z62</f>
        <v>0</v>
      </c>
      <c r="W47" s="485">
        <f ca="1">V47*H47</f>
        <v>0</v>
      </c>
      <c r="X47" s="483">
        <f>'Synthesis Adults'!AB62</f>
        <v>0</v>
      </c>
      <c r="Y47" s="483">
        <f>'Synthesis Adults'!AC62</f>
        <v>0</v>
      </c>
      <c r="Z47" s="483">
        <f>'Synthesis Adults'!AD62</f>
        <v>0</v>
      </c>
      <c r="AA47" s="485">
        <f ca="1">Z47*H47</f>
        <v>0</v>
      </c>
      <c r="AB47" s="483">
        <f>'Synthesis Adults'!AF62</f>
        <v>0</v>
      </c>
      <c r="AC47" s="483">
        <f>'Synthesis Adults'!AG62</f>
        <v>0</v>
      </c>
      <c r="AD47" s="483">
        <f>'Synthesis Adults'!AH62</f>
        <v>0</v>
      </c>
      <c r="AE47" s="485">
        <f ca="1">AD47*H47</f>
        <v>0</v>
      </c>
      <c r="AF47" s="873">
        <f t="shared" ca="1" si="4"/>
        <v>0</v>
      </c>
      <c r="AG47" s="873">
        <f t="shared" ref="AG47:AG48" ca="1" si="24">AE47+AA47+W47+S47+N47</f>
        <v>0</v>
      </c>
    </row>
    <row r="48" spans="2:33" s="260" customFormat="1" ht="13.5" thickBot="1" x14ac:dyDescent="0.25">
      <c r="B48" s="487" t="str">
        <f>'Available Stocks'!D53</f>
        <v>INNTI 3ème ligne</v>
      </c>
      <c r="C48" s="916" t="str">
        <f>'Available Stocks'!E53</f>
        <v>ETV</v>
      </c>
      <c r="D48" s="1448" t="str">
        <f>'Available Stocks'!H53</f>
        <v>Etravirine</v>
      </c>
      <c r="E48" s="489" t="str">
        <f>'Available Stocks'!F53</f>
        <v>Cp</v>
      </c>
      <c r="F48" s="488" t="str">
        <f>'Available Stocks'!G53</f>
        <v>100 mg</v>
      </c>
      <c r="G48" s="1453">
        <f>'Available Stocks'!K53</f>
        <v>120</v>
      </c>
      <c r="H48" s="490">
        <f ca="1">'Prix VPP 102012 convert'!AA61*G48</f>
        <v>86.73</v>
      </c>
      <c r="I48" s="491">
        <f>'Available Stocks'!M53</f>
        <v>0</v>
      </c>
      <c r="J48" s="492">
        <f>'Synthesis Adults'!I63</f>
        <v>0</v>
      </c>
      <c r="K48" s="493" t="str">
        <f>'Synthesis Adults'!J63</f>
        <v>0</v>
      </c>
      <c r="L48" s="493">
        <f>'Synthesis Adults'!K63</f>
        <v>0</v>
      </c>
      <c r="M48" s="494">
        <f t="shared" si="11"/>
        <v>0</v>
      </c>
      <c r="N48" s="495">
        <f t="shared" ca="1" si="12"/>
        <v>0</v>
      </c>
      <c r="O48" s="492">
        <f>'Synthesis Adults'!M63</f>
        <v>0</v>
      </c>
      <c r="P48" s="493">
        <f>'Synthesis Adults'!N63</f>
        <v>0</v>
      </c>
      <c r="Q48" s="493">
        <f>'Synthesis Adults'!O63</f>
        <v>0</v>
      </c>
      <c r="R48" s="494" t="str">
        <f>IF(M48=0, IF(Q48&gt;(I48-L48), Q48-(I48-L48), "0"), Q48)</f>
        <v>0</v>
      </c>
      <c r="S48" s="495">
        <f ca="1">R48*H48</f>
        <v>0</v>
      </c>
      <c r="T48" s="493">
        <f>'Synthesis Adults'!X63</f>
        <v>0</v>
      </c>
      <c r="U48" s="493">
        <f>'Synthesis Adults'!Y63</f>
        <v>0</v>
      </c>
      <c r="V48" s="493">
        <f>'Synthesis Adults'!Z63</f>
        <v>0</v>
      </c>
      <c r="W48" s="495">
        <f ca="1">V48*H48</f>
        <v>0</v>
      </c>
      <c r="X48" s="493">
        <f>'Synthesis Adults'!AB63</f>
        <v>0</v>
      </c>
      <c r="Y48" s="493">
        <f>'Synthesis Adults'!AC63</f>
        <v>0</v>
      </c>
      <c r="Z48" s="493">
        <f>'Synthesis Adults'!AD63</f>
        <v>0</v>
      </c>
      <c r="AA48" s="495">
        <f ca="1">Z48*H48</f>
        <v>0</v>
      </c>
      <c r="AB48" s="493">
        <f>'Synthesis Adults'!AF63</f>
        <v>0</v>
      </c>
      <c r="AC48" s="493">
        <f>'Synthesis Adults'!AG63</f>
        <v>0</v>
      </c>
      <c r="AD48" s="493">
        <f>'Synthesis Adults'!AH63</f>
        <v>0</v>
      </c>
      <c r="AE48" s="495">
        <f ca="1">AD48*H48</f>
        <v>0</v>
      </c>
      <c r="AF48" s="496">
        <f t="shared" ca="1" si="4"/>
        <v>0</v>
      </c>
      <c r="AG48" s="496">
        <f t="shared" ca="1" si="24"/>
        <v>0</v>
      </c>
    </row>
    <row r="49" spans="2:33" s="260" customFormat="1" ht="13.5" thickBot="1" x14ac:dyDescent="0.25">
      <c r="B49" s="2230" t="str">
        <f>'Available Stocks'!C55</f>
        <v>Formes buvables</v>
      </c>
      <c r="C49" s="2231"/>
      <c r="D49" s="2231"/>
      <c r="E49" s="2231"/>
      <c r="F49" s="2231"/>
      <c r="G49" s="2231"/>
      <c r="H49" s="2232"/>
      <c r="I49" s="440"/>
      <c r="J49" s="284"/>
      <c r="K49" s="497"/>
      <c r="L49" s="497"/>
      <c r="M49" s="497"/>
      <c r="N49" s="285"/>
      <c r="O49" s="284"/>
      <c r="P49" s="497"/>
      <c r="Q49" s="497"/>
      <c r="R49" s="497"/>
      <c r="S49" s="285"/>
      <c r="T49" s="284"/>
      <c r="U49" s="497"/>
      <c r="V49" s="497"/>
      <c r="W49" s="285"/>
      <c r="X49" s="284"/>
      <c r="Y49" s="497"/>
      <c r="Z49" s="497"/>
      <c r="AA49" s="285"/>
      <c r="AB49" s="284"/>
      <c r="AC49" s="497"/>
      <c r="AD49" s="497"/>
      <c r="AE49" s="285"/>
    </row>
    <row r="50" spans="2:33" s="260" customFormat="1" ht="115.5" thickBot="1" x14ac:dyDescent="0.25">
      <c r="B50" s="368"/>
      <c r="C50" s="369" t="str">
        <f>'TRAD-Global Synthesis'!B8</f>
        <v>Produit</v>
      </c>
      <c r="D50" s="369" t="str">
        <f>'TRAD-Global Synthesis'!B9</f>
        <v>DCI</v>
      </c>
      <c r="E50" s="369" t="str">
        <f>'TRAD-Global Synthesis'!B10</f>
        <v>Forme galénique</v>
      </c>
      <c r="F50" s="369" t="str">
        <f>'TRAD-Global Synthesis'!B11</f>
        <v>Dosage</v>
      </c>
      <c r="G50" s="369" t="str">
        <f>'TRAD-Global Synthesis'!B12</f>
        <v xml:space="preserve">unité de mesure (ml, conditionnement, etc) </v>
      </c>
      <c r="H50" s="498" t="str">
        <f>'TRAD-Global Synthesis'!B15</f>
        <v>Unité  de prix  (US$)  [1]</v>
      </c>
      <c r="I50" s="938" t="str">
        <f>'TRAD-Global Synthesis'!B13</f>
        <v>Stocks disponibles au début de la période [2]</v>
      </c>
      <c r="J50" s="405" t="str">
        <f>'TRAD-Global Synthesis'!B16</f>
        <v>TOTAL (nbre de paquets)</v>
      </c>
      <c r="K50" s="296" t="str">
        <f>'TRAD-Global Synthesis'!B22</f>
        <v>Tampon / Année précédente (nbre de paquets)</v>
      </c>
      <c r="L50" s="406" t="str">
        <f>'TRAD-Global Synthesis'!B18</f>
        <v>TOTAL + Tampon (nbre de paquets)</v>
      </c>
      <c r="M50" s="302" t="str">
        <f>'TRAD-Global Synthesis'!B14</f>
        <v>TOTAL + Tampon (nbre de paquets) - STOCK disponible [3]</v>
      </c>
      <c r="N50" s="939" t="str">
        <f>'TRAD-Global Synthesis'!B19</f>
        <v>PRIX TOTAL (US$)</v>
      </c>
      <c r="O50" s="405" t="str">
        <f>'TRAD-Global Synthesis'!B16</f>
        <v>TOTAL (nbre de paquets)</v>
      </c>
      <c r="P50" s="296" t="str">
        <f>'TRAD-Global Synthesis'!B22</f>
        <v>Tampon / Année précédente (nbre de paquets)</v>
      </c>
      <c r="Q50" s="296" t="str">
        <f>'TRAD-Global Synthesis'!B18</f>
        <v>TOTAL + Tampon (nbre de paquets)</v>
      </c>
      <c r="R50" s="299" t="str">
        <f>'TRAD-Global Synthesis'!B7</f>
        <v>TOTAL + Tampon (nbre de paquets) - STOCK restant de l'année précédente [3]</v>
      </c>
      <c r="S50" s="407" t="str">
        <f>'TRAD-Global Synthesis'!B19</f>
        <v>PRIX TOTAL (US$)</v>
      </c>
      <c r="T50" s="405" t="str">
        <f>'TRAD-Global Synthesis'!B16</f>
        <v>TOTAL (nbre de paquets)</v>
      </c>
      <c r="U50" s="296" t="str">
        <f>'TRAD-Global Synthesis'!B22</f>
        <v>Tampon / Année précédente (nbre de paquets)</v>
      </c>
      <c r="V50" s="296" t="str">
        <f>'TRAD-Global Synthesis'!B18</f>
        <v>TOTAL + Tampon (nbre de paquets)</v>
      </c>
      <c r="W50" s="407" t="str">
        <f>'TRAD-Global Synthesis'!B19</f>
        <v>PRIX TOTAL (US$)</v>
      </c>
      <c r="X50" s="405" t="str">
        <f>'TRAD-Global Synthesis'!B16</f>
        <v>TOTAL (nbre de paquets)</v>
      </c>
      <c r="Y50" s="296" t="str">
        <f>'TRAD-Global Synthesis'!B22</f>
        <v>Tampon / Année précédente (nbre de paquets)</v>
      </c>
      <c r="Z50" s="296" t="str">
        <f>'TRAD-Global Synthesis'!B18</f>
        <v>TOTAL + Tampon (nbre de paquets)</v>
      </c>
      <c r="AA50" s="407" t="str">
        <f>'TRAD-Global Synthesis'!B19</f>
        <v>PRIX TOTAL (US$)</v>
      </c>
      <c r="AB50" s="405" t="str">
        <f>'TRAD-Global Synthesis'!B16</f>
        <v>TOTAL (nbre de paquets)</v>
      </c>
      <c r="AC50" s="296" t="str">
        <f>'TRAD-Global Synthesis'!B22</f>
        <v>Tampon / Année précédente (nbre de paquets)</v>
      </c>
      <c r="AD50" s="296" t="str">
        <f>'TRAD-Global Synthesis'!B18</f>
        <v>TOTAL + Tampon (nbre de paquets)</v>
      </c>
      <c r="AE50" s="407" t="str">
        <f>'TRAD-Global Synthesis'!B19</f>
        <v>PRIX TOTAL (US$)</v>
      </c>
      <c r="AF50" s="439" t="str">
        <f>'TRAD-Global Synthesis'!B20</f>
        <v>Prix TOTAL (US$) sans Stocks</v>
      </c>
      <c r="AG50" s="439" t="str">
        <f>'TRAD-Global Synthesis'!B21</f>
        <v>Prix TOTAL (US$) avec Stocks</v>
      </c>
    </row>
    <row r="51" spans="2:33" s="260" customFormat="1" x14ac:dyDescent="0.2">
      <c r="B51" s="865" t="str">
        <f>'Available Stocks'!D55</f>
        <v>INTI</v>
      </c>
      <c r="C51" s="372" t="str">
        <f>'Available Stocks'!E55</f>
        <v>AZT</v>
      </c>
      <c r="D51" s="372" t="str">
        <f>'Available Stocks'!H55</f>
        <v>Zidovudine</v>
      </c>
      <c r="E51" s="372" t="str">
        <f>'Available Stocks'!F55</f>
        <v>Susp. Buv.</v>
      </c>
      <c r="F51" s="372" t="str">
        <f>'Available Stocks'!G55</f>
        <v>10 mg/mL</v>
      </c>
      <c r="G51" s="375">
        <f>'Synthesis Children'!F25</f>
        <v>240</v>
      </c>
      <c r="H51" s="377">
        <f ca="1">'Prix VPP 102012 convert'!AA102*G51</f>
        <v>2.1</v>
      </c>
      <c r="I51" s="450">
        <f>'Available Stocks'!M55</f>
        <v>323</v>
      </c>
      <c r="J51" s="378">
        <f>'Synthesis Children'!I25</f>
        <v>0</v>
      </c>
      <c r="K51" s="379">
        <f>'Synthesis Children'!J25</f>
        <v>0</v>
      </c>
      <c r="L51" s="379">
        <f>'Synthesis Children'!K25</f>
        <v>0</v>
      </c>
      <c r="M51" s="499">
        <f>IF(L51-I51&gt;0, L51-I51, 0)</f>
        <v>0</v>
      </c>
      <c r="N51" s="380">
        <f t="shared" ref="N51:N58" ca="1" si="25">M51*$H51</f>
        <v>0</v>
      </c>
      <c r="O51" s="378">
        <f>'Synthesis Children'!M25</f>
        <v>0</v>
      </c>
      <c r="P51" s="379">
        <f>'Synthesis Children'!N25</f>
        <v>0</v>
      </c>
      <c r="Q51" s="379">
        <f>'Synthesis Children'!O25</f>
        <v>0</v>
      </c>
      <c r="R51" s="499" t="str">
        <f>IF(M51=0, IF(Q51&gt;(I51-L51), Q51-(I51-L51), "0"), Q51)</f>
        <v>0</v>
      </c>
      <c r="S51" s="380">
        <f t="shared" ref="S51:S58" ca="1" si="26">R51*$H51</f>
        <v>0</v>
      </c>
      <c r="T51" s="378">
        <f>'Synthesis Children'!X25</f>
        <v>0</v>
      </c>
      <c r="U51" s="379">
        <f>'Synthesis Children'!Y25</f>
        <v>0</v>
      </c>
      <c r="V51" s="379">
        <f>'Synthesis Children'!Z25</f>
        <v>0</v>
      </c>
      <c r="W51" s="380">
        <f t="shared" ref="W51:W58" ca="1" si="27">V51*$H51</f>
        <v>0</v>
      </c>
      <c r="X51" s="378">
        <f>'Synthesis Children'!AB25</f>
        <v>0</v>
      </c>
      <c r="Y51" s="379">
        <f>'Synthesis Children'!AC25</f>
        <v>0</v>
      </c>
      <c r="Z51" s="379">
        <f>'Synthesis Children'!AD25</f>
        <v>0</v>
      </c>
      <c r="AA51" s="380">
        <f t="shared" ref="AA51:AA58" ca="1" si="28">Z51*$H51</f>
        <v>0</v>
      </c>
      <c r="AB51" s="378">
        <f>'Synthesis Children'!AF25</f>
        <v>0</v>
      </c>
      <c r="AC51" s="379">
        <f>'Synthesis Children'!AG25</f>
        <v>0</v>
      </c>
      <c r="AD51" s="379">
        <f>'Synthesis Children'!AH25</f>
        <v>0</v>
      </c>
      <c r="AE51" s="380">
        <f t="shared" ref="AE51:AE58" ca="1" si="29">AD51*$H51</f>
        <v>0</v>
      </c>
      <c r="AF51" s="500">
        <f t="shared" ca="1" si="4"/>
        <v>0</v>
      </c>
      <c r="AG51" s="500">
        <f t="shared" ref="AG51:AG58" ca="1" si="30">AE51+AA51+W51+S51+N51</f>
        <v>0</v>
      </c>
    </row>
    <row r="52" spans="2:33" s="260" customFormat="1" x14ac:dyDescent="0.2">
      <c r="B52" s="399"/>
      <c r="C52" s="128" t="str">
        <f>'Available Stocks'!E56</f>
        <v>D4T</v>
      </c>
      <c r="D52" s="128" t="str">
        <f>'Available Stocks'!H56</f>
        <v>Stavudine</v>
      </c>
      <c r="E52" s="128" t="str">
        <f>'Available Stocks'!F56</f>
        <v>Susp. Buv.</v>
      </c>
      <c r="F52" s="128" t="str">
        <f>'Available Stocks'!G56</f>
        <v>10 mg/mL</v>
      </c>
      <c r="G52" s="383">
        <f>'Synthesis Children'!F26</f>
        <v>240</v>
      </c>
      <c r="H52" s="385">
        <f ca="1">'Prix VPP 102012 convert'!AA84*G52</f>
        <v>1.5</v>
      </c>
      <c r="I52" s="457">
        <f>'Available Stocks'!M56</f>
        <v>300</v>
      </c>
      <c r="J52" s="386">
        <f>'Synthesis Children'!I26</f>
        <v>0</v>
      </c>
      <c r="K52" s="387">
        <f>'Synthesis Children'!J26</f>
        <v>0</v>
      </c>
      <c r="L52" s="387">
        <f>'Synthesis Children'!K26</f>
        <v>0</v>
      </c>
      <c r="M52" s="501">
        <f t="shared" ref="M52:M58" si="31">IF(L52-I52&gt;0, L52-I52, 0)</f>
        <v>0</v>
      </c>
      <c r="N52" s="388">
        <f t="shared" ca="1" si="25"/>
        <v>0</v>
      </c>
      <c r="O52" s="386">
        <f>'Synthesis Children'!M26</f>
        <v>0</v>
      </c>
      <c r="P52" s="387">
        <f>'Synthesis Children'!N26</f>
        <v>0</v>
      </c>
      <c r="Q52" s="387">
        <f>'Synthesis Children'!O26</f>
        <v>0</v>
      </c>
      <c r="R52" s="501" t="str">
        <f t="shared" ref="R52:R58" si="32">IF(M52=0, IF(Q52&gt;(I52-L52), Q52-(I52-L52), "0"), Q52)</f>
        <v>0</v>
      </c>
      <c r="S52" s="388">
        <f t="shared" ca="1" si="26"/>
        <v>0</v>
      </c>
      <c r="T52" s="386">
        <f>'Synthesis Children'!X26</f>
        <v>0</v>
      </c>
      <c r="U52" s="387">
        <f>'Synthesis Children'!Y26</f>
        <v>0</v>
      </c>
      <c r="V52" s="387">
        <f>'Synthesis Children'!Z26</f>
        <v>0</v>
      </c>
      <c r="W52" s="388">
        <f t="shared" ca="1" si="27"/>
        <v>0</v>
      </c>
      <c r="X52" s="386">
        <f>'Synthesis Children'!AB26</f>
        <v>0</v>
      </c>
      <c r="Y52" s="387">
        <f>'Synthesis Children'!AC26</f>
        <v>0</v>
      </c>
      <c r="Z52" s="387">
        <f>'Synthesis Children'!AD26</f>
        <v>0</v>
      </c>
      <c r="AA52" s="388">
        <f t="shared" ca="1" si="28"/>
        <v>0</v>
      </c>
      <c r="AB52" s="386">
        <f>'Synthesis Children'!AF26</f>
        <v>0</v>
      </c>
      <c r="AC52" s="387">
        <f>'Synthesis Children'!AG26</f>
        <v>0</v>
      </c>
      <c r="AD52" s="387">
        <f>'Synthesis Children'!AH26</f>
        <v>0</v>
      </c>
      <c r="AE52" s="388">
        <f t="shared" ca="1" si="29"/>
        <v>0</v>
      </c>
      <c r="AF52" s="500">
        <f t="shared" ca="1" si="4"/>
        <v>0</v>
      </c>
      <c r="AG52" s="500">
        <f t="shared" ca="1" si="30"/>
        <v>0</v>
      </c>
    </row>
    <row r="53" spans="2:33" s="260" customFormat="1" x14ac:dyDescent="0.2">
      <c r="B53" s="399"/>
      <c r="C53" s="129" t="str">
        <f>'Available Stocks'!E57</f>
        <v>3TC</v>
      </c>
      <c r="D53" s="129" t="str">
        <f>'Available Stocks'!H57</f>
        <v>Lamivudine</v>
      </c>
      <c r="E53" s="129" t="str">
        <f>'Available Stocks'!F57</f>
        <v>Susp. Buv.</v>
      </c>
      <c r="F53" s="129" t="str">
        <f>'Available Stocks'!G57</f>
        <v>10 mg/mL</v>
      </c>
      <c r="G53" s="392">
        <f>'Synthesis Children'!F27</f>
        <v>240</v>
      </c>
      <c r="H53" s="385">
        <f ca="1">'Prix VPP 102012 convert'!AA65*G53</f>
        <v>2.1</v>
      </c>
      <c r="I53" s="457">
        <f>'Available Stocks'!M57</f>
        <v>0</v>
      </c>
      <c r="J53" s="394">
        <f>'Synthesis Children'!I27</f>
        <v>0</v>
      </c>
      <c r="K53" s="395">
        <f>'Synthesis Children'!J27</f>
        <v>0</v>
      </c>
      <c r="L53" s="395">
        <f>'Synthesis Children'!K27</f>
        <v>0</v>
      </c>
      <c r="M53" s="502">
        <f t="shared" si="31"/>
        <v>0</v>
      </c>
      <c r="N53" s="388">
        <f t="shared" ca="1" si="25"/>
        <v>0</v>
      </c>
      <c r="O53" s="394">
        <f>'Synthesis Children'!M27</f>
        <v>0</v>
      </c>
      <c r="P53" s="395">
        <f>'Synthesis Children'!N27</f>
        <v>0</v>
      </c>
      <c r="Q53" s="395">
        <f>'Synthesis Children'!O27</f>
        <v>0</v>
      </c>
      <c r="R53" s="502" t="str">
        <f t="shared" si="32"/>
        <v>0</v>
      </c>
      <c r="S53" s="388">
        <f t="shared" ca="1" si="26"/>
        <v>0</v>
      </c>
      <c r="T53" s="394">
        <f>'Synthesis Children'!X27</f>
        <v>0</v>
      </c>
      <c r="U53" s="395">
        <f>'Synthesis Children'!Y27</f>
        <v>0</v>
      </c>
      <c r="V53" s="395">
        <f>'Synthesis Children'!Z27</f>
        <v>0</v>
      </c>
      <c r="W53" s="388">
        <f t="shared" ca="1" si="27"/>
        <v>0</v>
      </c>
      <c r="X53" s="394">
        <f>'Synthesis Children'!AB27</f>
        <v>0</v>
      </c>
      <c r="Y53" s="395">
        <f>'Synthesis Children'!AC27</f>
        <v>0</v>
      </c>
      <c r="Z53" s="395">
        <f>'Synthesis Children'!AD27</f>
        <v>0</v>
      </c>
      <c r="AA53" s="388">
        <f t="shared" ca="1" si="28"/>
        <v>0</v>
      </c>
      <c r="AB53" s="394">
        <f>'Synthesis Children'!AF27</f>
        <v>0</v>
      </c>
      <c r="AC53" s="395">
        <f>'Synthesis Children'!AG27</f>
        <v>0</v>
      </c>
      <c r="AD53" s="395">
        <f>'Synthesis Children'!AH27</f>
        <v>0</v>
      </c>
      <c r="AE53" s="388">
        <f t="shared" ca="1" si="29"/>
        <v>0</v>
      </c>
      <c r="AF53" s="500">
        <f t="shared" ca="1" si="4"/>
        <v>0</v>
      </c>
      <c r="AG53" s="500">
        <f t="shared" ca="1" si="30"/>
        <v>0</v>
      </c>
    </row>
    <row r="54" spans="2:33" s="260" customFormat="1" x14ac:dyDescent="0.2">
      <c r="B54" s="399"/>
      <c r="C54" s="128" t="str">
        <f>'Available Stocks'!E58</f>
        <v>ABC</v>
      </c>
      <c r="D54" s="128" t="str">
        <f>'Available Stocks'!H58</f>
        <v>Abacavir</v>
      </c>
      <c r="E54" s="128" t="str">
        <f>'Available Stocks'!F58</f>
        <v>Susp. Buv.</v>
      </c>
      <c r="F54" s="128" t="str">
        <f>'Available Stocks'!G58</f>
        <v>20 mg/mL</v>
      </c>
      <c r="G54" s="392">
        <f>'Synthesis Children'!F28</f>
        <v>240</v>
      </c>
      <c r="H54" s="385">
        <f ca="1">'Prix VPP 102012 convert'!AA32*G54</f>
        <v>12.5</v>
      </c>
      <c r="I54" s="457">
        <f>'Available Stocks'!M58</f>
        <v>50</v>
      </c>
      <c r="J54" s="394">
        <f>'Synthesis Children'!I28</f>
        <v>0</v>
      </c>
      <c r="K54" s="395">
        <f>'Synthesis Children'!J28</f>
        <v>0</v>
      </c>
      <c r="L54" s="395">
        <f>'Synthesis Children'!K28</f>
        <v>0</v>
      </c>
      <c r="M54" s="502">
        <f t="shared" si="31"/>
        <v>0</v>
      </c>
      <c r="N54" s="388">
        <f t="shared" ca="1" si="25"/>
        <v>0</v>
      </c>
      <c r="O54" s="394">
        <f>'Synthesis Children'!M28</f>
        <v>0</v>
      </c>
      <c r="P54" s="395">
        <f>'Synthesis Children'!N28</f>
        <v>0</v>
      </c>
      <c r="Q54" s="395">
        <f>'Synthesis Children'!O28</f>
        <v>0</v>
      </c>
      <c r="R54" s="502" t="str">
        <f t="shared" si="32"/>
        <v>0</v>
      </c>
      <c r="S54" s="388">
        <f t="shared" ca="1" si="26"/>
        <v>0</v>
      </c>
      <c r="T54" s="394">
        <f>'Synthesis Children'!X28</f>
        <v>0</v>
      </c>
      <c r="U54" s="395">
        <f>'Synthesis Children'!Y28</f>
        <v>0</v>
      </c>
      <c r="V54" s="395">
        <f>'Synthesis Children'!Z28</f>
        <v>0</v>
      </c>
      <c r="W54" s="388">
        <f t="shared" ca="1" si="27"/>
        <v>0</v>
      </c>
      <c r="X54" s="394">
        <f>'Synthesis Children'!AB28</f>
        <v>0</v>
      </c>
      <c r="Y54" s="395">
        <f>'Synthesis Children'!AC28</f>
        <v>0</v>
      </c>
      <c r="Z54" s="395">
        <f>'Synthesis Children'!AD28</f>
        <v>0</v>
      </c>
      <c r="AA54" s="388">
        <f t="shared" ca="1" si="28"/>
        <v>0</v>
      </c>
      <c r="AB54" s="394">
        <f>'Synthesis Children'!AF28</f>
        <v>0</v>
      </c>
      <c r="AC54" s="395">
        <f>'Synthesis Children'!AG28</f>
        <v>0</v>
      </c>
      <c r="AD54" s="395">
        <f>'Synthesis Children'!AH28</f>
        <v>0</v>
      </c>
      <c r="AE54" s="388">
        <f t="shared" ca="1" si="29"/>
        <v>0</v>
      </c>
      <c r="AF54" s="500">
        <f t="shared" ca="1" si="4"/>
        <v>0</v>
      </c>
      <c r="AG54" s="500">
        <f t="shared" ca="1" si="30"/>
        <v>0</v>
      </c>
    </row>
    <row r="55" spans="2:33" s="260" customFormat="1" ht="25.5" x14ac:dyDescent="0.2">
      <c r="B55" s="866"/>
      <c r="C55" s="503" t="str">
        <f>'Available Stocks'!E59</f>
        <v>DDI</v>
      </c>
      <c r="D55" s="503" t="str">
        <f>'Available Stocks'!H59</f>
        <v>Didanosine</v>
      </c>
      <c r="E55" s="503" t="str">
        <f>'Available Stocks'!F59</f>
        <v>Poudre pr Susp. Buv.</v>
      </c>
      <c r="F55" s="503" t="str">
        <f>'Available Stocks'!G59</f>
        <v>2 g</v>
      </c>
      <c r="G55" s="401">
        <f>'Synthesis Children'!F29</f>
        <v>200</v>
      </c>
      <c r="H55" s="464">
        <f ca="1">'Prix VPP 102012 convert'!AA50*G55</f>
        <v>0</v>
      </c>
      <c r="I55" s="465">
        <f>'Available Stocks'!M59</f>
        <v>0</v>
      </c>
      <c r="J55" s="402">
        <f>'Synthesis Children'!I29</f>
        <v>0</v>
      </c>
      <c r="K55" s="403">
        <f>'Synthesis Children'!J29</f>
        <v>0</v>
      </c>
      <c r="L55" s="403">
        <f>'Synthesis Children'!K29</f>
        <v>0</v>
      </c>
      <c r="M55" s="504">
        <f t="shared" si="31"/>
        <v>0</v>
      </c>
      <c r="N55" s="404">
        <f t="shared" ca="1" si="25"/>
        <v>0</v>
      </c>
      <c r="O55" s="402">
        <f>'Synthesis Children'!M29</f>
        <v>0</v>
      </c>
      <c r="P55" s="403">
        <f>'Synthesis Children'!N29</f>
        <v>0</v>
      </c>
      <c r="Q55" s="403">
        <f>'Synthesis Children'!O29</f>
        <v>0</v>
      </c>
      <c r="R55" s="504" t="str">
        <f t="shared" si="32"/>
        <v>0</v>
      </c>
      <c r="S55" s="404">
        <f t="shared" ca="1" si="26"/>
        <v>0</v>
      </c>
      <c r="T55" s="402">
        <f>'Synthesis Children'!X29</f>
        <v>0</v>
      </c>
      <c r="U55" s="403">
        <f>'Synthesis Children'!Y29</f>
        <v>0</v>
      </c>
      <c r="V55" s="403">
        <f>'Synthesis Children'!Z29</f>
        <v>0</v>
      </c>
      <c r="W55" s="404">
        <f t="shared" ca="1" si="27"/>
        <v>0</v>
      </c>
      <c r="X55" s="402">
        <f>'Synthesis Children'!AB29</f>
        <v>0</v>
      </c>
      <c r="Y55" s="403">
        <f>'Synthesis Children'!AC29</f>
        <v>0</v>
      </c>
      <c r="Z55" s="403">
        <f>'Synthesis Children'!AD29</f>
        <v>0</v>
      </c>
      <c r="AA55" s="404">
        <f t="shared" ca="1" si="28"/>
        <v>0</v>
      </c>
      <c r="AB55" s="402">
        <f>'Synthesis Children'!AF29</f>
        <v>0</v>
      </c>
      <c r="AC55" s="403">
        <f>'Synthesis Children'!AG29</f>
        <v>0</v>
      </c>
      <c r="AD55" s="403">
        <f>'Synthesis Children'!AH29</f>
        <v>0</v>
      </c>
      <c r="AE55" s="404">
        <f t="shared" ca="1" si="29"/>
        <v>0</v>
      </c>
      <c r="AF55" s="500">
        <f t="shared" ca="1" si="4"/>
        <v>0</v>
      </c>
      <c r="AG55" s="500">
        <f t="shared" ca="1" si="30"/>
        <v>0</v>
      </c>
    </row>
    <row r="56" spans="2:33" s="260" customFormat="1" x14ac:dyDescent="0.2">
      <c r="B56" s="867" t="str">
        <f>'Available Stocks'!D60</f>
        <v>INNTI</v>
      </c>
      <c r="C56" s="505" t="str">
        <f>'Available Stocks'!E60</f>
        <v>NVP</v>
      </c>
      <c r="D56" s="505" t="str">
        <f>'Available Stocks'!H60</f>
        <v>Névirapine</v>
      </c>
      <c r="E56" s="505" t="str">
        <f>'Available Stocks'!F60</f>
        <v>Susp. Buv.</v>
      </c>
      <c r="F56" s="505" t="str">
        <f>'Available Stocks'!G60</f>
        <v>10 mg/mL</v>
      </c>
      <c r="G56" s="507">
        <f>'Synthesis Children'!F30</f>
        <v>240</v>
      </c>
      <c r="H56" s="449">
        <f ca="1">'Prix VPP 102012 convert'!AA74*G56</f>
        <v>1.9500000000000002</v>
      </c>
      <c r="I56" s="450">
        <f>'Available Stocks'!M60</f>
        <v>100</v>
      </c>
      <c r="J56" s="508">
        <f>'Synthesis Children'!I30</f>
        <v>89.748000000000005</v>
      </c>
      <c r="K56" s="509">
        <f>'Synthesis Children'!J30</f>
        <v>22.436999999999998</v>
      </c>
      <c r="L56" s="509">
        <f>'Synthesis Children'!K30</f>
        <v>112.185</v>
      </c>
      <c r="M56" s="510">
        <f t="shared" si="31"/>
        <v>12.185000000000002</v>
      </c>
      <c r="N56" s="511">
        <f t="shared" ca="1" si="25"/>
        <v>23.760750000000005</v>
      </c>
      <c r="O56" s="508">
        <f>'Synthesis Children'!M30</f>
        <v>0</v>
      </c>
      <c r="P56" s="509">
        <f>'Synthesis Children'!N30</f>
        <v>0</v>
      </c>
      <c r="Q56" s="509">
        <f>'Synthesis Children'!O30</f>
        <v>0</v>
      </c>
      <c r="R56" s="510">
        <f t="shared" si="32"/>
        <v>0</v>
      </c>
      <c r="S56" s="511">
        <f t="shared" ca="1" si="26"/>
        <v>0</v>
      </c>
      <c r="T56" s="508">
        <f>'Synthesis Children'!X30</f>
        <v>0</v>
      </c>
      <c r="U56" s="509">
        <f>'Synthesis Children'!Y30</f>
        <v>0</v>
      </c>
      <c r="V56" s="509">
        <f>'Synthesis Children'!Z30</f>
        <v>0</v>
      </c>
      <c r="W56" s="511">
        <f t="shared" ca="1" si="27"/>
        <v>0</v>
      </c>
      <c r="X56" s="508">
        <f>'Synthesis Children'!AB30</f>
        <v>0</v>
      </c>
      <c r="Y56" s="509">
        <f>'Synthesis Children'!AC30</f>
        <v>0</v>
      </c>
      <c r="Z56" s="509">
        <f>'Synthesis Children'!AD30</f>
        <v>0</v>
      </c>
      <c r="AA56" s="511">
        <f t="shared" ca="1" si="28"/>
        <v>0</v>
      </c>
      <c r="AB56" s="508">
        <f>'Synthesis Children'!AF30</f>
        <v>0</v>
      </c>
      <c r="AC56" s="509">
        <f>'Synthesis Children'!AG30</f>
        <v>0</v>
      </c>
      <c r="AD56" s="509">
        <f>'Synthesis Children'!AH30</f>
        <v>0</v>
      </c>
      <c r="AE56" s="511">
        <f t="shared" ca="1" si="29"/>
        <v>0</v>
      </c>
      <c r="AF56" s="512">
        <f t="shared" ca="1" si="4"/>
        <v>218.76075000000003</v>
      </c>
      <c r="AG56" s="512">
        <f t="shared" ca="1" si="30"/>
        <v>23.760750000000005</v>
      </c>
    </row>
    <row r="57" spans="2:33" s="260" customFormat="1" x14ac:dyDescent="0.2">
      <c r="B57" s="866"/>
      <c r="C57" s="397" t="str">
        <f>'Available Stocks'!E61</f>
        <v>EFV</v>
      </c>
      <c r="D57" s="397" t="str">
        <f>'Available Stocks'!H61</f>
        <v>Efavirenz</v>
      </c>
      <c r="E57" s="397" t="str">
        <f>'Available Stocks'!F61</f>
        <v>Susp. Buv.</v>
      </c>
      <c r="F57" s="397" t="str">
        <f>'Available Stocks'!G61</f>
        <v>30 mg/mL</v>
      </c>
      <c r="G57" s="513">
        <f>'Synthesis Children'!F31</f>
        <v>180</v>
      </c>
      <c r="H57" s="480">
        <f ca="1">'Prix VPP 102012 convert'!AA57*G57</f>
        <v>16.96</v>
      </c>
      <c r="I57" s="481">
        <f>'Available Stocks'!M61</f>
        <v>0</v>
      </c>
      <c r="J57" s="514">
        <f>'Synthesis Children'!I31</f>
        <v>247.88309759999999</v>
      </c>
      <c r="K57" s="515">
        <f>'Synthesis Children'!J31</f>
        <v>83.289506399999993</v>
      </c>
      <c r="L57" s="515">
        <f>'Synthesis Children'!K31</f>
        <v>331.17260399999998</v>
      </c>
      <c r="M57" s="516">
        <f t="shared" si="31"/>
        <v>331.17260399999998</v>
      </c>
      <c r="N57" s="517">
        <f t="shared" ca="1" si="25"/>
        <v>5616.6873638400002</v>
      </c>
      <c r="O57" s="514">
        <f>'Synthesis Children'!M31</f>
        <v>0</v>
      </c>
      <c r="P57" s="515">
        <f>'Synthesis Children'!N31</f>
        <v>0</v>
      </c>
      <c r="Q57" s="515">
        <f>'Synthesis Children'!O31</f>
        <v>0</v>
      </c>
      <c r="R57" s="516">
        <f t="shared" si="32"/>
        <v>0</v>
      </c>
      <c r="S57" s="517">
        <f t="shared" ca="1" si="26"/>
        <v>0</v>
      </c>
      <c r="T57" s="514">
        <f>'Synthesis Children'!X31</f>
        <v>0</v>
      </c>
      <c r="U57" s="515">
        <f>'Synthesis Children'!Y31</f>
        <v>0</v>
      </c>
      <c r="V57" s="515">
        <f>'Synthesis Children'!Z31</f>
        <v>0</v>
      </c>
      <c r="W57" s="517">
        <f t="shared" ca="1" si="27"/>
        <v>0</v>
      </c>
      <c r="X57" s="514">
        <f>'Synthesis Children'!AB31</f>
        <v>0</v>
      </c>
      <c r="Y57" s="515">
        <f>'Synthesis Children'!AC31</f>
        <v>0</v>
      </c>
      <c r="Z57" s="515">
        <f>'Synthesis Children'!AD31</f>
        <v>0</v>
      </c>
      <c r="AA57" s="517">
        <f t="shared" ca="1" si="28"/>
        <v>0</v>
      </c>
      <c r="AB57" s="514">
        <f>'Synthesis Children'!AF31</f>
        <v>0</v>
      </c>
      <c r="AC57" s="515">
        <f>'Synthesis Children'!AG31</f>
        <v>0</v>
      </c>
      <c r="AD57" s="515">
        <f>'Synthesis Children'!AH31</f>
        <v>0</v>
      </c>
      <c r="AE57" s="517">
        <f t="shared" ca="1" si="29"/>
        <v>0</v>
      </c>
      <c r="AF57" s="518">
        <f t="shared" ca="1" si="4"/>
        <v>5616.6873638400002</v>
      </c>
      <c r="AG57" s="518">
        <f t="shared" ca="1" si="30"/>
        <v>5616.6873638400002</v>
      </c>
    </row>
    <row r="58" spans="2:33" s="260" customFormat="1" ht="26.25" thickBot="1" x14ac:dyDescent="0.25">
      <c r="B58" s="487" t="str">
        <f>'Available Stocks'!D62</f>
        <v>IP</v>
      </c>
      <c r="C58" s="519" t="str">
        <f>'Available Stocks'!E62</f>
        <v>LPV/r</v>
      </c>
      <c r="D58" s="519" t="str">
        <f>'Available Stocks'!H62</f>
        <v>Lopinavir/ritonavir</v>
      </c>
      <c r="E58" s="519" t="str">
        <f>'Available Stocks'!F62</f>
        <v>Sol. Buv.</v>
      </c>
      <c r="F58" s="519" t="str">
        <f>'Available Stocks'!G62</f>
        <v>80/20 mg/mL</v>
      </c>
      <c r="G58" s="520">
        <f>'Synthesis Children'!F32</f>
        <v>60</v>
      </c>
      <c r="H58" s="490">
        <f ca="1">'Prix VPP 102012 convert'!AA73*G58</f>
        <v>6.1639999999999997</v>
      </c>
      <c r="I58" s="491">
        <f>'Available Stocks'!M62</f>
        <v>0</v>
      </c>
      <c r="J58" s="492">
        <f>'Synthesis Children'!I32</f>
        <v>2502</v>
      </c>
      <c r="K58" s="493">
        <f>'Synthesis Children'!J32</f>
        <v>1262.7255000000005</v>
      </c>
      <c r="L58" s="493">
        <f>'Synthesis Children'!K32</f>
        <v>3764.7255000000005</v>
      </c>
      <c r="M58" s="494">
        <f t="shared" si="31"/>
        <v>3764.7255000000005</v>
      </c>
      <c r="N58" s="495">
        <f t="shared" ca="1" si="25"/>
        <v>23205.767982000001</v>
      </c>
      <c r="O58" s="492">
        <f>'Synthesis Children'!M32</f>
        <v>0</v>
      </c>
      <c r="P58" s="493">
        <f>'Synthesis Children'!N32</f>
        <v>0</v>
      </c>
      <c r="Q58" s="493">
        <f>'Synthesis Children'!O32</f>
        <v>0</v>
      </c>
      <c r="R58" s="494">
        <f t="shared" si="32"/>
        <v>0</v>
      </c>
      <c r="S58" s="495">
        <f t="shared" ca="1" si="26"/>
        <v>0</v>
      </c>
      <c r="T58" s="492">
        <f>'Synthesis Children'!X32</f>
        <v>0</v>
      </c>
      <c r="U58" s="493">
        <f>'Synthesis Children'!Y32</f>
        <v>0</v>
      </c>
      <c r="V58" s="493">
        <f>'Synthesis Children'!Z32</f>
        <v>0</v>
      </c>
      <c r="W58" s="495">
        <f t="shared" ca="1" si="27"/>
        <v>0</v>
      </c>
      <c r="X58" s="492">
        <f>'Synthesis Children'!AB32</f>
        <v>0</v>
      </c>
      <c r="Y58" s="493">
        <f>'Synthesis Children'!AC32</f>
        <v>0</v>
      </c>
      <c r="Z58" s="493">
        <f>'Synthesis Children'!AD32</f>
        <v>0</v>
      </c>
      <c r="AA58" s="495">
        <f t="shared" ca="1" si="28"/>
        <v>0</v>
      </c>
      <c r="AB58" s="492">
        <f>'Synthesis Children'!AF32</f>
        <v>0</v>
      </c>
      <c r="AC58" s="493">
        <f>'Synthesis Children'!AG32</f>
        <v>0</v>
      </c>
      <c r="AD58" s="493">
        <f>'Synthesis Children'!AH32</f>
        <v>0</v>
      </c>
      <c r="AE58" s="495">
        <f t="shared" ca="1" si="29"/>
        <v>0</v>
      </c>
      <c r="AF58" s="496">
        <f t="shared" ca="1" si="4"/>
        <v>23205.767982000001</v>
      </c>
      <c r="AG58" s="496">
        <f t="shared" ca="1" si="30"/>
        <v>23205.767982000001</v>
      </c>
    </row>
    <row r="59" spans="2:33" s="260" customFormat="1" ht="13.5" thickBot="1" x14ac:dyDescent="0.25">
      <c r="J59" s="347"/>
      <c r="K59" s="347"/>
      <c r="L59" s="347"/>
      <c r="M59" s="347"/>
      <c r="N59" s="521">
        <f ca="1">SUM(N11:N48)+SUM(N51:N58)</f>
        <v>2185484.59313844</v>
      </c>
      <c r="O59" s="347"/>
      <c r="P59" s="347"/>
      <c r="Q59" s="347"/>
      <c r="R59" s="347"/>
      <c r="S59" s="521">
        <f ca="1">SUM(S11:S48)+SUM(S51:S58)</f>
        <v>0</v>
      </c>
      <c r="T59" s="347"/>
      <c r="U59" s="347"/>
      <c r="V59" s="347"/>
      <c r="W59" s="521">
        <f ca="1">SUM(W11:W48)+SUM(W51:W58)</f>
        <v>0</v>
      </c>
      <c r="X59" s="347"/>
      <c r="Y59" s="347"/>
      <c r="Z59" s="347"/>
      <c r="AA59" s="521">
        <f ca="1">SUM(AA11:AA48)+SUM(AA51:AA58)</f>
        <v>0</v>
      </c>
      <c r="AB59" s="347"/>
      <c r="AC59" s="347"/>
      <c r="AD59" s="347"/>
      <c r="AE59" s="521">
        <f ca="1">SUM(AE11:AE48)+SUM(AE51:AE58)</f>
        <v>0</v>
      </c>
      <c r="AF59" s="521">
        <f ca="1">SUM(AF11:AF48)+SUM(AF51:AF58)</f>
        <v>3645134.2541634399</v>
      </c>
      <c r="AG59" s="521">
        <f ca="1">SUM(AG11:AG48)+SUM(AG51:AG58)</f>
        <v>2185484.59313844</v>
      </c>
    </row>
    <row r="60" spans="2:33" s="260" customFormat="1" ht="13.5" thickBot="1" x14ac:dyDescent="0.25">
      <c r="B60" s="290" t="str">
        <f>'TRAD-Global Synthesis'!B27</f>
        <v>Notes</v>
      </c>
      <c r="C60" s="434"/>
      <c r="D60" s="434"/>
      <c r="E60" s="434"/>
      <c r="F60" s="434"/>
      <c r="G60" s="434"/>
      <c r="H60" s="434"/>
      <c r="I60" s="522"/>
    </row>
    <row r="61" spans="2:33" s="260" customFormat="1" ht="77.25" thickBot="1" x14ac:dyDescent="0.25">
      <c r="B61" s="1790" t="s">
        <v>240</v>
      </c>
      <c r="C61" s="2223" t="str">
        <f>'TRAD-Global Synthesis'!B30</f>
        <v>D'après GPRM-AMDS-OMS 10/2011, to 'Untangling the web of price reduction' MSF Access report and French price for ETV in 2010</v>
      </c>
      <c r="D61" s="2223"/>
      <c r="E61" s="2223"/>
      <c r="F61" s="2223"/>
      <c r="G61" s="2223"/>
      <c r="H61" s="2223"/>
      <c r="I61" s="2223"/>
      <c r="J61" s="2223"/>
      <c r="AD61" s="1611" t="str">
        <f>'TRAD-Global Synthesis'!B36</f>
        <v>Frais de transports, d'assurance et de fluctuation des prix</v>
      </c>
      <c r="AE61" s="1427">
        <f>'General Data'!$E$33</f>
        <v>0.18</v>
      </c>
      <c r="AF61" s="260" t="str">
        <f>'TRAD-Global Synthesis'!B38</f>
        <v>correspondant à ;</v>
      </c>
      <c r="AG61" s="925">
        <f ca="1">AG59*AE61</f>
        <v>393387.22676491918</v>
      </c>
    </row>
    <row r="62" spans="2:33" s="260" customFormat="1" ht="39" customHeight="1" thickBot="1" x14ac:dyDescent="0.25">
      <c r="B62" s="1791"/>
      <c r="C62" s="1791" t="str">
        <f>'TRAD-Global Synthesis'!B32</f>
        <v>Nous avions pris uniquement en compte les stocks disonibles de la 1ère et 2 ème années</v>
      </c>
      <c r="D62" s="1791"/>
      <c r="E62" s="1791"/>
      <c r="F62" s="1791"/>
      <c r="G62" s="1792"/>
      <c r="H62" s="1791"/>
      <c r="I62" s="1791"/>
      <c r="J62" s="1791"/>
      <c r="AD62" s="1161" t="str">
        <f>'TRAD-Global Synthesis'!B37</f>
        <v>Frais de gestion</v>
      </c>
      <c r="AE62" s="1427">
        <f>'General Data'!$E$36</f>
        <v>0</v>
      </c>
      <c r="AF62" s="260" t="str">
        <f>'TRAD-Global Synthesis'!B38</f>
        <v>correspondant à ;</v>
      </c>
      <c r="AG62" s="925">
        <f ca="1">AG59*AE62</f>
        <v>0</v>
      </c>
    </row>
    <row r="63" spans="2:33" s="260" customFormat="1" x14ac:dyDescent="0.2">
      <c r="B63" s="1790" t="s">
        <v>263</v>
      </c>
      <c r="C63" s="1793" t="str">
        <f>'TRAD-Global Synthesis'!B29</f>
        <v>Les cellules en orange dépendent des données entrées dans la feuille "Disponibilité de Stocks".</v>
      </c>
      <c r="D63" s="1791"/>
      <c r="E63" s="1791"/>
      <c r="F63" s="1791"/>
      <c r="G63" s="1791"/>
      <c r="H63" s="1791"/>
      <c r="I63" s="1791"/>
      <c r="J63" s="1791"/>
    </row>
    <row r="64" spans="2:33" s="260" customFormat="1" ht="13.5" thickBot="1" x14ac:dyDescent="0.25">
      <c r="B64" s="1790" t="s">
        <v>327</v>
      </c>
      <c r="C64" s="1793" t="str">
        <f>'TRAD-Global Synthesis'!B33</f>
        <v>Nous considérons que la disponibilité du stock n'a pas excédé 2 années.</v>
      </c>
      <c r="D64" s="1791"/>
      <c r="E64" s="1791"/>
      <c r="F64" s="1791"/>
      <c r="G64" s="1791"/>
      <c r="H64" s="1791"/>
      <c r="I64" s="1791"/>
      <c r="J64" s="1791"/>
    </row>
    <row r="65" spans="2:35" s="260" customFormat="1" ht="16.5" thickBot="1" x14ac:dyDescent="0.3">
      <c r="B65" s="1794"/>
      <c r="C65" s="1794"/>
      <c r="D65" s="1794"/>
      <c r="E65" s="1794"/>
      <c r="F65" s="1794"/>
      <c r="G65" s="1794"/>
      <c r="H65" s="1794"/>
      <c r="I65" s="1794"/>
      <c r="J65" s="1794"/>
      <c r="AF65" s="926" t="str">
        <f>'TRAD-Global Synthesis'!B40</f>
        <v>Montant total</v>
      </c>
      <c r="AG65" s="927">
        <f ca="1">AG59+AG61+AG62</f>
        <v>2578871.8199033593</v>
      </c>
    </row>
    <row r="66" spans="2:35" ht="13.5" thickBot="1" x14ac:dyDescent="0.25">
      <c r="B66" s="1795" t="str">
        <f>'TRAD-Global Synthesis'!B34</f>
        <v>Commentaires</v>
      </c>
      <c r="C66" s="1796"/>
      <c r="D66" s="1796"/>
      <c r="E66" s="1796"/>
      <c r="F66" s="1796"/>
      <c r="G66" s="1796"/>
      <c r="H66" s="1796"/>
      <c r="I66" s="1797"/>
      <c r="J66" s="1791"/>
    </row>
    <row r="67" spans="2:35" s="260" customFormat="1" ht="13.5" thickBot="1" x14ac:dyDescent="0.25">
      <c r="B67" s="1791"/>
      <c r="C67" s="1793" t="str">
        <f>'TRAD-Global Synthesis'!B35</f>
        <v>Les prix n'incluent pas les frais liés au transport et à la gestion du stock</v>
      </c>
      <c r="D67" s="1791"/>
      <c r="E67" s="1791"/>
      <c r="F67" s="1791"/>
      <c r="G67" s="1791"/>
      <c r="H67" s="1791"/>
      <c r="I67" s="1791"/>
      <c r="J67" s="1791"/>
      <c r="AE67" s="260" t="str">
        <f>'TRAD-Global Synthesis'!B39</f>
        <v>taux de change pour 1$</v>
      </c>
      <c r="AG67" s="1454">
        <f>'General Data'!$F$39</f>
        <v>0.75</v>
      </c>
    </row>
    <row r="68" spans="2:35" s="260" customFormat="1" ht="13.5" thickBot="1" x14ac:dyDescent="0.25"/>
    <row r="69" spans="2:35" s="260" customFormat="1" ht="13.5" thickBot="1" x14ac:dyDescent="0.25">
      <c r="C69" s="960"/>
      <c r="AF69" s="909">
        <f ca="1">AF59*AG67</f>
        <v>2733850.6906225798</v>
      </c>
      <c r="AG69" s="909">
        <f ca="1">AG59*AG67</f>
        <v>1639113.4448538302</v>
      </c>
    </row>
    <row r="70" spans="2:35" ht="13.5" thickBot="1" x14ac:dyDescent="0.25"/>
    <row r="71" spans="2:35" ht="16.5" thickBot="1" x14ac:dyDescent="0.3">
      <c r="AF71" s="926" t="str">
        <f>'TRAD-Global Synthesis'!B40</f>
        <v>Montant total</v>
      </c>
      <c r="AG71" s="928">
        <f ca="1">AG65*AG67</f>
        <v>1934153.8649275196</v>
      </c>
      <c r="AI71" s="2082"/>
    </row>
  </sheetData>
  <mergeCells count="9">
    <mergeCell ref="C61:J61"/>
    <mergeCell ref="AB8:AE8"/>
    <mergeCell ref="B10:H10"/>
    <mergeCell ref="B49:H49"/>
    <mergeCell ref="B2:O2"/>
    <mergeCell ref="J8:N8"/>
    <mergeCell ref="O8:S8"/>
    <mergeCell ref="T8:W8"/>
    <mergeCell ref="X8:AA8"/>
  </mergeCells>
  <pageMargins left="0.23622047244094491" right="0.23622047244094491" top="0.74803149606299213" bottom="0.74803149606299213" header="0.31496062992125984" footer="0.31496062992125984"/>
  <pageSetup paperSize="9" scale="55" orientation="landscape" r:id="rId1"/>
  <rowBreaks count="1" manualBreakCount="1">
    <brk id="69" max="31" man="1"/>
  </rowBreaks>
  <colBreaks count="1" manualBreakCount="1">
    <brk id="19" max="54" man="1"/>
  </colBreaks>
  <legacyDrawing r:id="rId2"/>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706"/>
  <sheetViews>
    <sheetView topLeftCell="A22" zoomScale="68" zoomScaleNormal="68" zoomScalePageLayoutView="68" workbookViewId="0">
      <selection activeCell="D41" sqref="D41"/>
    </sheetView>
  </sheetViews>
  <sheetFormatPr baseColWidth="10" defaultColWidth="11.5" defaultRowHeight="15" x14ac:dyDescent="0.2"/>
  <cols>
    <col min="1" max="1" width="6" style="1614" customWidth="1"/>
    <col min="2" max="2" width="62.83203125" style="1689" customWidth="1"/>
    <col min="3" max="3" width="6.1640625" style="1614" customWidth="1"/>
    <col min="4" max="5" width="96.6640625" style="1614" customWidth="1"/>
    <col min="6" max="6" width="66.83203125" style="1614" customWidth="1"/>
    <col min="7" max="16384" width="11.5" style="1614"/>
  </cols>
  <sheetData>
    <row r="1" spans="2:17" x14ac:dyDescent="0.2">
      <c r="B1" s="1689" t="s">
        <v>755</v>
      </c>
      <c r="D1" s="1690" t="s">
        <v>754</v>
      </c>
      <c r="E1" s="1663" t="s">
        <v>753</v>
      </c>
    </row>
    <row r="2" spans="2:17" s="1623" customFormat="1" ht="45" x14ac:dyDescent="0.2">
      <c r="B2" s="1755" t="str">
        <f>IF(Presentation!$D$2="Anglais",'TRAD-Global Synthesis'!E2,IF(Presentation!$D$2="Français",'TRAD-Global Synthesis'!D2,""))</f>
        <v>Résultats N°5: Besoins en ARV pour les adultes et les enfants EN TENANT COMPTE DES STOCKS DISPONIBLES au début de la période de quantification</v>
      </c>
      <c r="C2" s="1617"/>
      <c r="D2" s="1617" t="s">
        <v>1499</v>
      </c>
      <c r="E2" s="1619" t="s">
        <v>1343</v>
      </c>
      <c r="F2" s="1618"/>
      <c r="G2" s="1618"/>
      <c r="H2" s="1618"/>
      <c r="I2" s="1618"/>
      <c r="J2" s="1618"/>
      <c r="K2" s="1618"/>
      <c r="L2" s="1618"/>
      <c r="M2" s="1618"/>
      <c r="N2" s="1618"/>
      <c r="O2" s="1618"/>
      <c r="P2" s="1618"/>
      <c r="Q2" s="1618"/>
    </row>
    <row r="3" spans="2:17" s="1623" customFormat="1" x14ac:dyDescent="0.2">
      <c r="B3" s="1755" t="str">
        <f>IF(Presentation!$D$2="Anglais",'TRAD-Global Synthesis'!E3,IF(Presentation!$D$2="Français",'TRAD-Global Synthesis'!D3,""))</f>
        <v>Nom du Pays</v>
      </c>
      <c r="C3" s="1617"/>
      <c r="D3" s="1619" t="s">
        <v>366</v>
      </c>
      <c r="E3" s="1617" t="s">
        <v>1342</v>
      </c>
      <c r="F3" s="1618"/>
      <c r="G3" s="1618"/>
      <c r="H3" s="1618"/>
      <c r="I3" s="1618"/>
      <c r="J3" s="1618"/>
      <c r="K3" s="1618"/>
      <c r="L3" s="1618"/>
      <c r="M3" s="1618"/>
      <c r="N3" s="1618"/>
      <c r="O3" s="1618"/>
      <c r="P3" s="1618"/>
      <c r="Q3" s="1618"/>
    </row>
    <row r="4" spans="2:17" s="1623" customFormat="1" x14ac:dyDescent="0.2">
      <c r="B4" s="1755" t="str">
        <f>IF(Presentation!$D$2="Anglais",'TRAD-Global Synthesis'!E4,IF(Presentation!$D$2="Français",'TRAD-Global Synthesis'!D4,""))</f>
        <v>Nature du financement</v>
      </c>
      <c r="C4" s="1617"/>
      <c r="D4" s="1619" t="s">
        <v>405</v>
      </c>
      <c r="E4" s="1617" t="s">
        <v>1278</v>
      </c>
      <c r="F4" s="1618"/>
      <c r="G4" s="1618"/>
      <c r="H4" s="1618"/>
      <c r="I4" s="1618"/>
      <c r="J4" s="1618"/>
      <c r="K4" s="1618"/>
      <c r="L4" s="1618"/>
      <c r="M4" s="1618"/>
      <c r="N4" s="1618"/>
      <c r="O4" s="1618"/>
      <c r="P4" s="1618"/>
      <c r="Q4" s="1618"/>
    </row>
    <row r="5" spans="2:17" s="1623" customFormat="1" x14ac:dyDescent="0.2">
      <c r="B5" s="1755" t="str">
        <f>IF(Presentation!$D$2="Anglais",'TRAD-Global Synthesis'!E5,IF(Presentation!$D$2="Français",'TRAD-Global Synthesis'!D5,""))</f>
        <v>Date de l'estimation</v>
      </c>
      <c r="C5" s="1617"/>
      <c r="D5" s="1619" t="s">
        <v>367</v>
      </c>
      <c r="E5" s="1617" t="s">
        <v>1279</v>
      </c>
      <c r="F5" s="1618"/>
      <c r="G5" s="1618"/>
      <c r="H5" s="1618"/>
      <c r="I5" s="1618"/>
      <c r="J5" s="1618"/>
      <c r="K5" s="1618"/>
      <c r="L5" s="1618"/>
      <c r="M5" s="1618"/>
      <c r="N5" s="1618"/>
      <c r="O5" s="1618"/>
      <c r="P5" s="1618"/>
      <c r="Q5" s="1618"/>
    </row>
    <row r="6" spans="2:17" s="1623" customFormat="1" x14ac:dyDescent="0.2">
      <c r="B6" s="1755" t="str">
        <f>IF(Presentation!$D$2="Anglais",'TRAD-Global Synthesis'!E6,IF(Presentation!$D$2="Français",'TRAD-Global Synthesis'!D6,""))</f>
        <v>Au début de la 1ère année</v>
      </c>
      <c r="C6" s="1617"/>
      <c r="D6" s="1619" t="s">
        <v>1062</v>
      </c>
      <c r="E6" s="1619" t="s">
        <v>1344</v>
      </c>
    </row>
    <row r="7" spans="2:17" s="1623" customFormat="1" ht="30" x14ac:dyDescent="0.2">
      <c r="B7" s="1755" t="str">
        <f>IF(Presentation!$D$2="Anglais",'TRAD-Global Synthesis'!E7,IF(Presentation!$D$2="Français",'TRAD-Global Synthesis'!D7,""))</f>
        <v>TOTAL + Tampon (nbre de paquets) - STOCK restant de l'année précédente [3]</v>
      </c>
      <c r="C7" s="1617"/>
      <c r="D7" s="1617" t="s">
        <v>1280</v>
      </c>
      <c r="E7" s="1619" t="s">
        <v>1523</v>
      </c>
    </row>
    <row r="8" spans="2:17" s="1623" customFormat="1" x14ac:dyDescent="0.2">
      <c r="B8" s="1755" t="str">
        <f>IF(Presentation!$D$2="Anglais",'TRAD-Global Synthesis'!E8,IF(Presentation!$D$2="Français",'TRAD-Global Synthesis'!D8,""))</f>
        <v>Produit</v>
      </c>
      <c r="C8" s="1617"/>
      <c r="D8" s="1619" t="s">
        <v>889</v>
      </c>
      <c r="E8" s="1619" t="s">
        <v>513</v>
      </c>
    </row>
    <row r="9" spans="2:17" s="1623" customFormat="1" x14ac:dyDescent="0.2">
      <c r="B9" s="1755" t="str">
        <f>IF(Presentation!$D$2="Anglais",'TRAD-Global Synthesis'!E9,IF(Presentation!$D$2="Français",'TRAD-Global Synthesis'!D9,""))</f>
        <v>DCI</v>
      </c>
      <c r="C9" s="1617"/>
      <c r="D9" s="1619" t="s">
        <v>152</v>
      </c>
      <c r="E9" s="1619" t="s">
        <v>698</v>
      </c>
    </row>
    <row r="10" spans="2:17" s="1623" customFormat="1" x14ac:dyDescent="0.2">
      <c r="B10" s="1755" t="str">
        <f>IF(Presentation!$D$2="Anglais",'TRAD-Global Synthesis'!E10,IF(Presentation!$D$2="Français",'TRAD-Global Synthesis'!D10,""))</f>
        <v>Forme galénique</v>
      </c>
      <c r="C10" s="1617"/>
      <c r="D10" s="1617" t="s">
        <v>1</v>
      </c>
      <c r="E10" s="1619" t="s">
        <v>522</v>
      </c>
    </row>
    <row r="11" spans="2:17" s="1623" customFormat="1" x14ac:dyDescent="0.2">
      <c r="B11" s="1755" t="str">
        <f>IF(Presentation!$D$2="Anglais",'TRAD-Global Synthesis'!E11,IF(Presentation!$D$2="Français",'TRAD-Global Synthesis'!D11,""))</f>
        <v>Dosage</v>
      </c>
      <c r="C11" s="1617"/>
      <c r="D11" s="1617" t="s">
        <v>2</v>
      </c>
      <c r="E11" s="1619" t="s">
        <v>2</v>
      </c>
    </row>
    <row r="12" spans="2:17" s="1623" customFormat="1" x14ac:dyDescent="0.2">
      <c r="B12" s="1755" t="str">
        <f>IF(Presentation!$D$2="Anglais",'TRAD-Global Synthesis'!E12,IF(Presentation!$D$2="Français",'TRAD-Global Synthesis'!D12,""))</f>
        <v xml:space="preserve">unité de mesure (ml, conditionnement, etc) </v>
      </c>
      <c r="C12" s="1617"/>
      <c r="D12" s="1617" t="s">
        <v>1281</v>
      </c>
      <c r="E12" s="1619" t="s">
        <v>1282</v>
      </c>
    </row>
    <row r="13" spans="2:17" s="1623" customFormat="1" x14ac:dyDescent="0.2">
      <c r="B13" s="1755" t="str">
        <f>IF(Presentation!$D$2="Anglais",'TRAD-Global Synthesis'!E13,IF(Presentation!$D$2="Français",'TRAD-Global Synthesis'!D13,""))</f>
        <v>Stocks disponibles au début de la période [2]</v>
      </c>
      <c r="C13" s="1617"/>
      <c r="D13" s="1617" t="s">
        <v>1285</v>
      </c>
      <c r="E13" s="1619" t="s">
        <v>528</v>
      </c>
    </row>
    <row r="14" spans="2:17" s="1623" customFormat="1" x14ac:dyDescent="0.2">
      <c r="B14" s="1755" t="str">
        <f>IF(Presentation!$D$2="Anglais",'TRAD-Global Synthesis'!E14,IF(Presentation!$D$2="Français",'TRAD-Global Synthesis'!D14,""))</f>
        <v>TOTAL + Tampon (nbre de paquets) - STOCK disponible [3]</v>
      </c>
      <c r="C14" s="1617"/>
      <c r="D14" s="1617" t="s">
        <v>1286</v>
      </c>
      <c r="E14" s="1619" t="s">
        <v>1524</v>
      </c>
    </row>
    <row r="15" spans="2:17" s="1623" customFormat="1" x14ac:dyDescent="0.2">
      <c r="B15" s="1755" t="str">
        <f>IF(Presentation!$D$2="Anglais",'TRAD-Global Synthesis'!E15,IF(Presentation!$D$2="Français",'TRAD-Global Synthesis'!D15,""))</f>
        <v>Unité  de prix  (US$)  [1]</v>
      </c>
      <c r="C15" s="1617"/>
      <c r="D15" s="1617" t="s">
        <v>1284</v>
      </c>
      <c r="E15" s="1619" t="s">
        <v>1283</v>
      </c>
    </row>
    <row r="16" spans="2:17" s="1623" customFormat="1" x14ac:dyDescent="0.2">
      <c r="B16" s="1755" t="str">
        <f>IF(Presentation!$D$2="Anglais",'TRAD-Global Synthesis'!E16,IF(Presentation!$D$2="Français",'TRAD-Global Synthesis'!D16,""))</f>
        <v>TOTAL (nbre de paquets)</v>
      </c>
      <c r="C16" s="1617"/>
      <c r="D16" s="1617" t="s">
        <v>1069</v>
      </c>
      <c r="E16" s="1619" t="s">
        <v>1505</v>
      </c>
    </row>
    <row r="17" spans="2:5" s="1623" customFormat="1" x14ac:dyDescent="0.2">
      <c r="B17" s="1755" t="str">
        <f>IF(Presentation!$D$2="Anglais",'TRAD-Global Synthesis'!E17,IF(Presentation!$D$2="Français",'TRAD-Global Synthesis'!D17,""))</f>
        <v>Tampon (nbre de paquets)</v>
      </c>
      <c r="C17" s="1617"/>
      <c r="D17" s="1617" t="s">
        <v>1070</v>
      </c>
      <c r="E17" s="1619" t="s">
        <v>530</v>
      </c>
    </row>
    <row r="18" spans="2:5" s="1623" customFormat="1" x14ac:dyDescent="0.2">
      <c r="B18" s="1755" t="str">
        <f>IF(Presentation!$D$2="Anglais",'TRAD-Global Synthesis'!E18,IF(Presentation!$D$2="Français",'TRAD-Global Synthesis'!D18,""))</f>
        <v>TOTAL + Tampon (nbre de paquets)</v>
      </c>
      <c r="C18" s="1617"/>
      <c r="D18" s="1617" t="s">
        <v>1272</v>
      </c>
      <c r="E18" s="1619" t="s">
        <v>531</v>
      </c>
    </row>
    <row r="19" spans="2:5" s="1623" customFormat="1" x14ac:dyDescent="0.2">
      <c r="B19" s="1755" t="str">
        <f>IF(Presentation!$D$2="Anglais",'TRAD-Global Synthesis'!E19,IF(Presentation!$D$2="Français",'TRAD-Global Synthesis'!D19,""))</f>
        <v>PRIX TOTAL (US$)</v>
      </c>
      <c r="C19" s="1617"/>
      <c r="D19" s="1617" t="s">
        <v>1071</v>
      </c>
      <c r="E19" s="1619" t="s">
        <v>1506</v>
      </c>
    </row>
    <row r="20" spans="2:5" s="1623" customFormat="1" ht="30" x14ac:dyDescent="0.2">
      <c r="B20" s="1755" t="str">
        <f>IF(Presentation!$D$2="Anglais",'TRAD-Global Synthesis'!E20,IF(Presentation!$D$2="Français",'TRAD-Global Synthesis'!D20,""))</f>
        <v>Prix TOTAL (US$) sans Stocks</v>
      </c>
      <c r="C20" s="1617"/>
      <c r="D20" s="1617" t="s">
        <v>1507</v>
      </c>
      <c r="E20" s="1619" t="s">
        <v>1525</v>
      </c>
    </row>
    <row r="21" spans="2:5" s="1623" customFormat="1" x14ac:dyDescent="0.2">
      <c r="B21" s="1755" t="str">
        <f>IF(Presentation!$D$2="Anglais",'TRAD-Global Synthesis'!E21,IF(Presentation!$D$2="Français",'TRAD-Global Synthesis'!D21,""))</f>
        <v>Prix TOTAL (US$) avec Stocks</v>
      </c>
      <c r="C21" s="1617"/>
      <c r="D21" s="1617" t="s">
        <v>1508</v>
      </c>
      <c r="E21" s="1619" t="s">
        <v>1526</v>
      </c>
    </row>
    <row r="22" spans="2:5" s="1623" customFormat="1" x14ac:dyDescent="0.2">
      <c r="B22" s="1755" t="str">
        <f>IF(Presentation!$D$2="Anglais",'TRAD-Global Synthesis'!E22,IF(Presentation!$D$2="Français",'TRAD-Global Synthesis'!D22,""))</f>
        <v>Tampon / Année précédente (nbre de paquets)</v>
      </c>
      <c r="C22" s="1617"/>
      <c r="D22" s="1617" t="s">
        <v>1273</v>
      </c>
      <c r="E22" s="1619" t="s">
        <v>533</v>
      </c>
    </row>
    <row r="23" spans="2:5" s="1623" customFormat="1" x14ac:dyDescent="0.2">
      <c r="B23" s="1755" t="str">
        <f>IF(Presentation!$D$2="Anglais",'TRAD-Global Synthesis'!E23,IF(Presentation!$D$2="Français",'TRAD-Global Synthesis'!D23,""))</f>
        <v>Nom de spécialité</v>
      </c>
      <c r="C23" s="1617"/>
      <c r="D23" s="1617" t="s">
        <v>3</v>
      </c>
      <c r="E23" s="1619" t="s">
        <v>469</v>
      </c>
    </row>
    <row r="24" spans="2:5" s="1623" customFormat="1" x14ac:dyDescent="0.2">
      <c r="B24" s="1755" t="str">
        <f>IF(Presentation!$D$2="Anglais",'TRAD-Global Synthesis'!E24,IF(Presentation!$D$2="Français",'TRAD-Global Synthesis'!D24,""))</f>
        <v>Susp buvable</v>
      </c>
      <c r="C24" s="1617"/>
      <c r="D24" s="1617" t="s">
        <v>1287</v>
      </c>
      <c r="E24" s="1691" t="s">
        <v>526</v>
      </c>
    </row>
    <row r="25" spans="2:5" s="1623" customFormat="1" x14ac:dyDescent="0.2">
      <c r="B25" s="1755" t="str">
        <f>IF(Presentation!$D$2="Anglais",'TRAD-Global Synthesis'!E25,IF(Presentation!$D$2="Français",'TRAD-Global Synthesis'!D25,""))</f>
        <v>Poudre pour suspension</v>
      </c>
      <c r="C25" s="1617"/>
      <c r="D25" s="1617" t="s">
        <v>1274</v>
      </c>
      <c r="E25" s="1691" t="s">
        <v>527</v>
      </c>
    </row>
    <row r="26" spans="2:5" s="1623" customFormat="1" x14ac:dyDescent="0.2">
      <c r="B26" s="1755" t="str">
        <f>IF(Presentation!$D$2="Anglais",'TRAD-Global Synthesis'!E26,IF(Presentation!$D$2="Français",'TRAD-Global Synthesis'!D26,""))</f>
        <v>Comprimés</v>
      </c>
      <c r="C26" s="1617"/>
      <c r="D26" s="1617" t="s">
        <v>205</v>
      </c>
      <c r="E26" s="1619" t="s">
        <v>525</v>
      </c>
    </row>
    <row r="27" spans="2:5" s="1623" customFormat="1" x14ac:dyDescent="0.2">
      <c r="B27" s="1755" t="str">
        <f>IF(Presentation!$D$2="Anglais",'TRAD-Global Synthesis'!E27,IF(Presentation!$D$2="Français",'TRAD-Global Synthesis'!D27,""))</f>
        <v>Notes</v>
      </c>
      <c r="C27" s="1617"/>
      <c r="D27" s="1617" t="s">
        <v>241</v>
      </c>
      <c r="E27" s="1619" t="s">
        <v>241</v>
      </c>
    </row>
    <row r="28" spans="2:5" s="1623" customFormat="1" x14ac:dyDescent="0.2">
      <c r="B28" s="1755" t="str">
        <f>IF(Presentation!$D$2="Anglais",'TRAD-Global Synthesis'!E28,IF(Presentation!$D$2="Français",'TRAD-Global Synthesis'!D28,""))</f>
        <v>caps</v>
      </c>
      <c r="C28" s="1617"/>
      <c r="D28" s="1617" t="s">
        <v>1481</v>
      </c>
      <c r="E28" s="1619" t="s">
        <v>1483</v>
      </c>
    </row>
    <row r="29" spans="2:5" s="1623" customFormat="1" ht="30" x14ac:dyDescent="0.2">
      <c r="B29" s="1755" t="str">
        <f>IF(Presentation!$D$2="Anglais",'TRAD-Global Synthesis'!E29,IF(Presentation!$D$2="Français",'TRAD-Global Synthesis'!D29,""))</f>
        <v>Les cellules en orange dépendent des données entrées dans la feuille "Disponibilité de Stocks".</v>
      </c>
      <c r="C29" s="1617"/>
      <c r="D29" s="1617" t="s">
        <v>1275</v>
      </c>
      <c r="E29" s="1619" t="s">
        <v>1515</v>
      </c>
    </row>
    <row r="30" spans="2:5" s="1623" customFormat="1" ht="45" x14ac:dyDescent="0.2">
      <c r="B30" s="1755" t="str">
        <f>IF(Presentation!$D$2="Anglais",'TRAD-Global Synthesis'!E30,IF(Presentation!$D$2="Français",'TRAD-Global Synthesis'!D30,""))</f>
        <v>D'après GPRM-AMDS-OMS 10/2011, to 'Untangling the web of price reduction' MSF Access report and French price for ETV in 2010</v>
      </c>
      <c r="C30" s="1617"/>
      <c r="D30" s="1619" t="s">
        <v>1074</v>
      </c>
      <c r="E30" s="1619" t="s">
        <v>597</v>
      </c>
    </row>
    <row r="31" spans="2:5" s="1623" customFormat="1" x14ac:dyDescent="0.2">
      <c r="B31" s="1755" t="str">
        <f>IF(Presentation!$D$2="Anglais",'TRAD-Global Synthesis'!E31,IF(Presentation!$D$2="Français",'TRAD-Global Synthesis'!D31,""))</f>
        <v>PRIX TOTAL durant toute la période (US$)</v>
      </c>
      <c r="C31" s="1617"/>
      <c r="D31" s="1617" t="s">
        <v>1072</v>
      </c>
      <c r="E31" s="1619" t="s">
        <v>1345</v>
      </c>
    </row>
    <row r="32" spans="2:5" s="1623" customFormat="1" ht="30" x14ac:dyDescent="0.2">
      <c r="B32" s="1755" t="str">
        <f>IF(Presentation!$D$2="Anglais",'TRAD-Global Synthesis'!E32,IF(Presentation!$D$2="Français",'TRAD-Global Synthesis'!D32,""))</f>
        <v>Nous avions pris uniquement en compte les stocks disonibles de la 1ère et 2 ème années</v>
      </c>
      <c r="C32" s="1617"/>
      <c r="D32" s="1617" t="s">
        <v>1288</v>
      </c>
      <c r="E32" s="1619" t="s">
        <v>574</v>
      </c>
    </row>
    <row r="33" spans="2:5" s="1623" customFormat="1" ht="30" x14ac:dyDescent="0.2">
      <c r="B33" s="1755" t="str">
        <f>IF(Presentation!$D$2="Anglais",'TRAD-Global Synthesis'!E33,IF(Presentation!$D$2="Français",'TRAD-Global Synthesis'!D33,""))</f>
        <v>Nous considérons que la disponibilité du stock n'a pas excédé 2 années.</v>
      </c>
      <c r="C33" s="1617"/>
      <c r="D33" s="1617" t="s">
        <v>1289</v>
      </c>
      <c r="E33" s="1619" t="s">
        <v>534</v>
      </c>
    </row>
    <row r="34" spans="2:5" s="1623" customFormat="1" x14ac:dyDescent="0.2">
      <c r="B34" s="1755" t="str">
        <f>IF(Presentation!$D$2="Anglais",'TRAD-Global Synthesis'!E34,IF(Presentation!$D$2="Français",'TRAD-Global Synthesis'!D34,""))</f>
        <v>Commentaires</v>
      </c>
      <c r="C34" s="1617"/>
      <c r="D34" s="1617" t="s">
        <v>242</v>
      </c>
      <c r="E34" s="1619" t="s">
        <v>413</v>
      </c>
    </row>
    <row r="35" spans="2:5" s="1623" customFormat="1" ht="30" x14ac:dyDescent="0.2">
      <c r="B35" s="1755" t="str">
        <f>IF(Presentation!$D$2="Anglais",'TRAD-Global Synthesis'!E35,IF(Presentation!$D$2="Français",'TRAD-Global Synthesis'!D35,""))</f>
        <v>Les prix n'incluent pas les frais liés au transport et à la gestion du stock</v>
      </c>
      <c r="C35" s="1617"/>
      <c r="D35" s="1617" t="s">
        <v>1290</v>
      </c>
      <c r="E35" s="1619" t="s">
        <v>541</v>
      </c>
    </row>
    <row r="36" spans="2:5" s="1623" customFormat="1" x14ac:dyDescent="0.2">
      <c r="B36" s="1755" t="str">
        <f>IF(Presentation!$D$2="Anglais",'TRAD-Global Synthesis'!E36,IF(Presentation!$D$2="Français",'TRAD-Global Synthesis'!D36,""))</f>
        <v>Frais de transports, d'assurance et de fluctuation des prix</v>
      </c>
      <c r="D36" s="1617" t="s">
        <v>1498</v>
      </c>
      <c r="E36" s="1622" t="s">
        <v>673</v>
      </c>
    </row>
    <row r="37" spans="2:5" s="1623" customFormat="1" x14ac:dyDescent="0.2">
      <c r="B37" s="1755" t="str">
        <f>IF(Presentation!$D$2="Anglais",'TRAD-Global Synthesis'!E37,IF(Presentation!$D$2="Français",'TRAD-Global Synthesis'!D37,""))</f>
        <v>Frais de gestion</v>
      </c>
      <c r="D37" s="1617" t="s">
        <v>1495</v>
      </c>
      <c r="E37" s="1622" t="s">
        <v>536</v>
      </c>
    </row>
    <row r="38" spans="2:5" s="1623" customFormat="1" x14ac:dyDescent="0.2">
      <c r="B38" s="1755" t="str">
        <f>IF(Presentation!$D$2="Anglais",'TRAD-Global Synthesis'!E38,IF(Presentation!$D$2="Français",'TRAD-Global Synthesis'!D38,""))</f>
        <v>correspondant à ;</v>
      </c>
      <c r="D38" s="1617" t="s">
        <v>1496</v>
      </c>
      <c r="E38" s="1622" t="s">
        <v>537</v>
      </c>
    </row>
    <row r="39" spans="2:5" s="1623" customFormat="1" x14ac:dyDescent="0.2">
      <c r="B39" s="1755" t="str">
        <f>IF(Presentation!$D$2="Anglais",'TRAD-Global Synthesis'!E39,IF(Presentation!$D$2="Français",'TRAD-Global Synthesis'!D39,""))</f>
        <v>taux de change pour 1$</v>
      </c>
      <c r="D39" s="1617" t="s">
        <v>1497</v>
      </c>
      <c r="E39" s="1622" t="s">
        <v>539</v>
      </c>
    </row>
    <row r="40" spans="2:5" s="1623" customFormat="1" x14ac:dyDescent="0.2">
      <c r="B40" s="1755" t="str">
        <f>IF(Presentation!$D$2="Anglais",'TRAD-Global Synthesis'!E40,IF(Presentation!$D$2="Français",'TRAD-Global Synthesis'!D40,""))</f>
        <v>Montant total</v>
      </c>
      <c r="D40" s="1623" t="s">
        <v>1527</v>
      </c>
      <c r="E40" s="1619" t="s">
        <v>538</v>
      </c>
    </row>
    <row r="41" spans="2:5" s="1623" customFormat="1" x14ac:dyDescent="0.2">
      <c r="B41" s="1631"/>
      <c r="E41" s="1619"/>
    </row>
    <row r="42" spans="2:5" s="1623" customFormat="1" x14ac:dyDescent="0.2">
      <c r="B42" s="1631"/>
      <c r="E42" s="1619"/>
    </row>
    <row r="43" spans="2:5" s="1623" customFormat="1" x14ac:dyDescent="0.2">
      <c r="B43" s="1631"/>
      <c r="E43" s="1618"/>
    </row>
    <row r="44" spans="2:5" s="1623" customFormat="1" x14ac:dyDescent="0.2">
      <c r="B44" s="1631"/>
      <c r="E44" s="1619"/>
    </row>
    <row r="45" spans="2:5" s="1623" customFormat="1" x14ac:dyDescent="0.2">
      <c r="B45" s="1631"/>
    </row>
    <row r="46" spans="2:5" s="1623" customFormat="1" x14ac:dyDescent="0.2">
      <c r="B46" s="1631"/>
    </row>
    <row r="47" spans="2:5" s="1623" customFormat="1" x14ac:dyDescent="0.2">
      <c r="B47" s="1631"/>
    </row>
    <row r="48" spans="2:5" s="1623" customFormat="1" x14ac:dyDescent="0.2">
      <c r="B48" s="1631"/>
    </row>
    <row r="49" spans="2:2" s="1623" customFormat="1" x14ac:dyDescent="0.2">
      <c r="B49" s="1631"/>
    </row>
    <row r="50" spans="2:2" s="1623" customFormat="1" x14ac:dyDescent="0.2">
      <c r="B50" s="1631"/>
    </row>
    <row r="51" spans="2:2" s="1623" customFormat="1" x14ac:dyDescent="0.2">
      <c r="B51" s="1631"/>
    </row>
    <row r="52" spans="2:2" s="1623" customFormat="1" x14ac:dyDescent="0.2">
      <c r="B52" s="1631"/>
    </row>
    <row r="53" spans="2:2" s="1623" customFormat="1" x14ac:dyDescent="0.2">
      <c r="B53" s="1631"/>
    </row>
    <row r="54" spans="2:2" s="1623" customFormat="1" x14ac:dyDescent="0.2">
      <c r="B54" s="1631"/>
    </row>
    <row r="55" spans="2:2" s="1623" customFormat="1" x14ac:dyDescent="0.2">
      <c r="B55" s="1631"/>
    </row>
    <row r="56" spans="2:2" s="1623" customFormat="1" x14ac:dyDescent="0.2">
      <c r="B56" s="1631"/>
    </row>
    <row r="57" spans="2:2" s="1623" customFormat="1" x14ac:dyDescent="0.2">
      <c r="B57" s="1631"/>
    </row>
    <row r="58" spans="2:2" s="1623" customFormat="1" x14ac:dyDescent="0.2">
      <c r="B58" s="1631"/>
    </row>
    <row r="59" spans="2:2" s="1623" customFormat="1" x14ac:dyDescent="0.2">
      <c r="B59" s="1631"/>
    </row>
    <row r="60" spans="2:2" s="1623" customFormat="1" x14ac:dyDescent="0.2">
      <c r="B60" s="1631"/>
    </row>
    <row r="61" spans="2:2" s="1623" customFormat="1" x14ac:dyDescent="0.2">
      <c r="B61" s="1631"/>
    </row>
    <row r="62" spans="2:2" s="1623" customFormat="1" x14ac:dyDescent="0.2">
      <c r="B62" s="1631"/>
    </row>
    <row r="63" spans="2:2" s="1623" customFormat="1" x14ac:dyDescent="0.2">
      <c r="B63" s="1631"/>
    </row>
    <row r="64" spans="2:2" s="1623" customFormat="1" x14ac:dyDescent="0.2">
      <c r="B64" s="1631"/>
    </row>
    <row r="65" spans="2:2" s="1623" customFormat="1" x14ac:dyDescent="0.2">
      <c r="B65" s="1631"/>
    </row>
    <row r="66" spans="2:2" s="1623" customFormat="1" x14ac:dyDescent="0.2">
      <c r="B66" s="1631"/>
    </row>
    <row r="67" spans="2:2" s="1623" customFormat="1" x14ac:dyDescent="0.2">
      <c r="B67" s="1631"/>
    </row>
    <row r="68" spans="2:2" s="1623" customFormat="1" x14ac:dyDescent="0.2">
      <c r="B68" s="1631"/>
    </row>
    <row r="69" spans="2:2" s="1623" customFormat="1" x14ac:dyDescent="0.2">
      <c r="B69" s="1631"/>
    </row>
    <row r="70" spans="2:2" s="1623" customFormat="1" x14ac:dyDescent="0.2">
      <c r="B70" s="1631"/>
    </row>
    <row r="71" spans="2:2" s="1623" customFormat="1" x14ac:dyDescent="0.2">
      <c r="B71" s="1631"/>
    </row>
    <row r="72" spans="2:2" s="1623" customFormat="1" x14ac:dyDescent="0.2">
      <c r="B72" s="1631"/>
    </row>
    <row r="73" spans="2:2" s="1623" customFormat="1" x14ac:dyDescent="0.2">
      <c r="B73" s="1631"/>
    </row>
    <row r="74" spans="2:2" s="1623" customFormat="1" x14ac:dyDescent="0.2">
      <c r="B74" s="1631"/>
    </row>
    <row r="75" spans="2:2" s="1623" customFormat="1" x14ac:dyDescent="0.2">
      <c r="B75" s="1631"/>
    </row>
    <row r="76" spans="2:2" s="1623" customFormat="1" x14ac:dyDescent="0.2">
      <c r="B76" s="1631"/>
    </row>
    <row r="77" spans="2:2" s="1623" customFormat="1" x14ac:dyDescent="0.2">
      <c r="B77" s="1631"/>
    </row>
    <row r="78" spans="2:2" s="1623" customFormat="1" x14ac:dyDescent="0.2">
      <c r="B78" s="1631"/>
    </row>
    <row r="79" spans="2:2" s="1623" customFormat="1" x14ac:dyDescent="0.2">
      <c r="B79" s="1631"/>
    </row>
    <row r="80" spans="2:2" s="1623" customFormat="1" x14ac:dyDescent="0.2">
      <c r="B80" s="1631"/>
    </row>
    <row r="81" spans="2:2" s="1623" customFormat="1" x14ac:dyDescent="0.2">
      <c r="B81" s="1631"/>
    </row>
    <row r="82" spans="2:2" s="1623" customFormat="1" x14ac:dyDescent="0.2">
      <c r="B82" s="1631"/>
    </row>
    <row r="83" spans="2:2" s="1623" customFormat="1" x14ac:dyDescent="0.2">
      <c r="B83" s="1631"/>
    </row>
    <row r="84" spans="2:2" s="1623" customFormat="1" x14ac:dyDescent="0.2">
      <c r="B84" s="1631"/>
    </row>
    <row r="85" spans="2:2" s="1623" customFormat="1" x14ac:dyDescent="0.2">
      <c r="B85" s="1631"/>
    </row>
    <row r="86" spans="2:2" s="1623" customFormat="1" x14ac:dyDescent="0.2">
      <c r="B86" s="1631"/>
    </row>
    <row r="87" spans="2:2" s="1623" customFormat="1" x14ac:dyDescent="0.2">
      <c r="B87" s="1631"/>
    </row>
    <row r="88" spans="2:2" s="1623" customFormat="1" x14ac:dyDescent="0.2">
      <c r="B88" s="1631"/>
    </row>
    <row r="89" spans="2:2" s="1623" customFormat="1" x14ac:dyDescent="0.2">
      <c r="B89" s="1631"/>
    </row>
    <row r="90" spans="2:2" s="1623" customFormat="1" x14ac:dyDescent="0.2">
      <c r="B90" s="1631"/>
    </row>
    <row r="91" spans="2:2" s="1623" customFormat="1" x14ac:dyDescent="0.2">
      <c r="B91" s="1631"/>
    </row>
    <row r="92" spans="2:2" s="1623" customFormat="1" x14ac:dyDescent="0.2">
      <c r="B92" s="1631"/>
    </row>
    <row r="93" spans="2:2" s="1623" customFormat="1" x14ac:dyDescent="0.2">
      <c r="B93" s="1631"/>
    </row>
    <row r="94" spans="2:2" s="1623" customFormat="1" x14ac:dyDescent="0.2">
      <c r="B94" s="1631"/>
    </row>
    <row r="95" spans="2:2" s="1623" customFormat="1" x14ac:dyDescent="0.2">
      <c r="B95" s="1631"/>
    </row>
    <row r="96" spans="2:2" s="1623" customFormat="1" x14ac:dyDescent="0.2">
      <c r="B96" s="1631"/>
    </row>
    <row r="97" spans="2:2" s="1623" customFormat="1" x14ac:dyDescent="0.2">
      <c r="B97" s="1631"/>
    </row>
    <row r="98" spans="2:2" s="1623" customFormat="1" x14ac:dyDescent="0.2">
      <c r="B98" s="1631"/>
    </row>
    <row r="99" spans="2:2" s="1623" customFormat="1" x14ac:dyDescent="0.2">
      <c r="B99" s="1631"/>
    </row>
    <row r="100" spans="2:2" s="1623" customFormat="1" x14ac:dyDescent="0.2">
      <c r="B100" s="1631"/>
    </row>
    <row r="101" spans="2:2" s="1623" customFormat="1" x14ac:dyDescent="0.2">
      <c r="B101" s="1631"/>
    </row>
    <row r="102" spans="2:2" s="1623" customFormat="1" x14ac:dyDescent="0.2">
      <c r="B102" s="1631"/>
    </row>
    <row r="103" spans="2:2" s="1623" customFormat="1" x14ac:dyDescent="0.2">
      <c r="B103" s="1631"/>
    </row>
    <row r="104" spans="2:2" s="1623" customFormat="1" x14ac:dyDescent="0.2">
      <c r="B104" s="1631"/>
    </row>
    <row r="105" spans="2:2" s="1623" customFormat="1" x14ac:dyDescent="0.2">
      <c r="B105" s="1631"/>
    </row>
    <row r="106" spans="2:2" s="1623" customFormat="1" x14ac:dyDescent="0.2">
      <c r="B106" s="1631"/>
    </row>
    <row r="107" spans="2:2" s="1623" customFormat="1" x14ac:dyDescent="0.2">
      <c r="B107" s="1631"/>
    </row>
    <row r="108" spans="2:2" s="1623" customFormat="1" x14ac:dyDescent="0.2">
      <c r="B108" s="1631"/>
    </row>
    <row r="109" spans="2:2" s="1623" customFormat="1" x14ac:dyDescent="0.2">
      <c r="B109" s="1631"/>
    </row>
    <row r="110" spans="2:2" s="1623" customFormat="1" x14ac:dyDescent="0.2">
      <c r="B110" s="1631"/>
    </row>
    <row r="111" spans="2:2" s="1623" customFormat="1" x14ac:dyDescent="0.2">
      <c r="B111" s="1631"/>
    </row>
    <row r="112" spans="2:2" s="1623" customFormat="1" x14ac:dyDescent="0.2">
      <c r="B112" s="1631"/>
    </row>
    <row r="113" spans="2:2" s="1623" customFormat="1" x14ac:dyDescent="0.2">
      <c r="B113" s="1631"/>
    </row>
    <row r="114" spans="2:2" s="1623" customFormat="1" x14ac:dyDescent="0.2">
      <c r="B114" s="1631"/>
    </row>
    <row r="115" spans="2:2" s="1623" customFormat="1" x14ac:dyDescent="0.2">
      <c r="B115" s="1631"/>
    </row>
    <row r="116" spans="2:2" s="1623" customFormat="1" x14ac:dyDescent="0.2">
      <c r="B116" s="1631"/>
    </row>
    <row r="117" spans="2:2" s="1623" customFormat="1" x14ac:dyDescent="0.2">
      <c r="B117" s="1631"/>
    </row>
    <row r="118" spans="2:2" s="1623" customFormat="1" x14ac:dyDescent="0.2">
      <c r="B118" s="1631"/>
    </row>
    <row r="119" spans="2:2" s="1623" customFormat="1" x14ac:dyDescent="0.2">
      <c r="B119" s="1631"/>
    </row>
    <row r="120" spans="2:2" s="1623" customFormat="1" x14ac:dyDescent="0.2">
      <c r="B120" s="1631"/>
    </row>
    <row r="121" spans="2:2" s="1623" customFormat="1" x14ac:dyDescent="0.2">
      <c r="B121" s="1631"/>
    </row>
    <row r="122" spans="2:2" s="1623" customFormat="1" x14ac:dyDescent="0.2">
      <c r="B122" s="1631"/>
    </row>
    <row r="123" spans="2:2" s="1623" customFormat="1" x14ac:dyDescent="0.2">
      <c r="B123" s="1631"/>
    </row>
    <row r="124" spans="2:2" s="1623" customFormat="1" x14ac:dyDescent="0.2">
      <c r="B124" s="1631"/>
    </row>
    <row r="125" spans="2:2" s="1623" customFormat="1" x14ac:dyDescent="0.2">
      <c r="B125" s="1631"/>
    </row>
    <row r="126" spans="2:2" s="1623" customFormat="1" x14ac:dyDescent="0.2">
      <c r="B126" s="1631"/>
    </row>
    <row r="127" spans="2:2" s="1623" customFormat="1" x14ac:dyDescent="0.2">
      <c r="B127" s="1631"/>
    </row>
    <row r="128" spans="2:2" s="1623" customFormat="1" x14ac:dyDescent="0.2">
      <c r="B128" s="1631"/>
    </row>
    <row r="129" spans="2:2" s="1623" customFormat="1" x14ac:dyDescent="0.2">
      <c r="B129" s="1631"/>
    </row>
    <row r="130" spans="2:2" s="1623" customFormat="1" x14ac:dyDescent="0.2">
      <c r="B130" s="1631"/>
    </row>
    <row r="131" spans="2:2" s="1623" customFormat="1" x14ac:dyDescent="0.2">
      <c r="B131" s="1631"/>
    </row>
    <row r="132" spans="2:2" s="1623" customFormat="1" x14ac:dyDescent="0.2">
      <c r="B132" s="1631"/>
    </row>
    <row r="133" spans="2:2" s="1623" customFormat="1" x14ac:dyDescent="0.2">
      <c r="B133" s="1631"/>
    </row>
    <row r="134" spans="2:2" s="1623" customFormat="1" x14ac:dyDescent="0.2">
      <c r="B134" s="1631"/>
    </row>
    <row r="135" spans="2:2" s="1623" customFormat="1" x14ac:dyDescent="0.2">
      <c r="B135" s="1631"/>
    </row>
    <row r="136" spans="2:2" s="1623" customFormat="1" x14ac:dyDescent="0.2">
      <c r="B136" s="1631"/>
    </row>
    <row r="137" spans="2:2" s="1623" customFormat="1" x14ac:dyDescent="0.2">
      <c r="B137" s="1631"/>
    </row>
    <row r="138" spans="2:2" s="1623" customFormat="1" x14ac:dyDescent="0.2">
      <c r="B138" s="1631"/>
    </row>
    <row r="139" spans="2:2" s="1623" customFormat="1" x14ac:dyDescent="0.2">
      <c r="B139" s="1631"/>
    </row>
    <row r="140" spans="2:2" s="1623" customFormat="1" x14ac:dyDescent="0.2">
      <c r="B140" s="1631"/>
    </row>
    <row r="141" spans="2:2" s="1623" customFormat="1" x14ac:dyDescent="0.2">
      <c r="B141" s="1631"/>
    </row>
    <row r="142" spans="2:2" s="1623" customFormat="1" x14ac:dyDescent="0.2">
      <c r="B142" s="1631"/>
    </row>
    <row r="143" spans="2:2" s="1623" customFormat="1" x14ac:dyDescent="0.2">
      <c r="B143" s="1631"/>
    </row>
    <row r="144" spans="2:2" s="1623" customFormat="1" x14ac:dyDescent="0.2">
      <c r="B144" s="1631"/>
    </row>
    <row r="145" spans="2:2" s="1623" customFormat="1" x14ac:dyDescent="0.2">
      <c r="B145" s="1631"/>
    </row>
    <row r="146" spans="2:2" s="1623" customFormat="1" x14ac:dyDescent="0.2">
      <c r="B146" s="1631"/>
    </row>
    <row r="147" spans="2:2" s="1623" customFormat="1" x14ac:dyDescent="0.2">
      <c r="B147" s="1631"/>
    </row>
    <row r="148" spans="2:2" s="1623" customFormat="1" x14ac:dyDescent="0.2">
      <c r="B148" s="1631"/>
    </row>
    <row r="149" spans="2:2" s="1623" customFormat="1" x14ac:dyDescent="0.2">
      <c r="B149" s="1631"/>
    </row>
    <row r="150" spans="2:2" s="1623" customFormat="1" x14ac:dyDescent="0.2">
      <c r="B150" s="1631"/>
    </row>
    <row r="151" spans="2:2" s="1623" customFormat="1" x14ac:dyDescent="0.2">
      <c r="B151" s="1631"/>
    </row>
    <row r="152" spans="2:2" s="1623" customFormat="1" x14ac:dyDescent="0.2">
      <c r="B152" s="1631"/>
    </row>
    <row r="153" spans="2:2" s="1623" customFormat="1" x14ac:dyDescent="0.2">
      <c r="B153" s="1631"/>
    </row>
    <row r="154" spans="2:2" s="1623" customFormat="1" x14ac:dyDescent="0.2">
      <c r="B154" s="1631"/>
    </row>
    <row r="155" spans="2:2" s="1623" customFormat="1" x14ac:dyDescent="0.2">
      <c r="B155" s="1631"/>
    </row>
    <row r="156" spans="2:2" s="1623" customFormat="1" x14ac:dyDescent="0.2">
      <c r="B156" s="1631"/>
    </row>
    <row r="157" spans="2:2" s="1623" customFormat="1" x14ac:dyDescent="0.2">
      <c r="B157" s="1631"/>
    </row>
    <row r="158" spans="2:2" s="1623" customFormat="1" x14ac:dyDescent="0.2">
      <c r="B158" s="1631"/>
    </row>
    <row r="159" spans="2:2" s="1623" customFormat="1" x14ac:dyDescent="0.2">
      <c r="B159" s="1631"/>
    </row>
    <row r="160" spans="2:2" s="1623" customFormat="1" x14ac:dyDescent="0.2">
      <c r="B160" s="1631"/>
    </row>
    <row r="161" spans="2:2" s="1623" customFormat="1" x14ac:dyDescent="0.2">
      <c r="B161" s="1631"/>
    </row>
    <row r="162" spans="2:2" s="1623" customFormat="1" x14ac:dyDescent="0.2">
      <c r="B162" s="1631"/>
    </row>
    <row r="163" spans="2:2" s="1623" customFormat="1" x14ac:dyDescent="0.2">
      <c r="B163" s="1631"/>
    </row>
    <row r="164" spans="2:2" s="1623" customFormat="1" x14ac:dyDescent="0.2">
      <c r="B164" s="1631"/>
    </row>
    <row r="165" spans="2:2" s="1623" customFormat="1" x14ac:dyDescent="0.2">
      <c r="B165" s="1631"/>
    </row>
    <row r="166" spans="2:2" s="1623" customFormat="1" x14ac:dyDescent="0.2">
      <c r="B166" s="1631"/>
    </row>
    <row r="167" spans="2:2" s="1623" customFormat="1" x14ac:dyDescent="0.2">
      <c r="B167" s="1631"/>
    </row>
    <row r="168" spans="2:2" s="1623" customFormat="1" x14ac:dyDescent="0.2">
      <c r="B168" s="1631"/>
    </row>
    <row r="169" spans="2:2" s="1623" customFormat="1" x14ac:dyDescent="0.2">
      <c r="B169" s="1631"/>
    </row>
    <row r="170" spans="2:2" s="1623" customFormat="1" x14ac:dyDescent="0.2">
      <c r="B170" s="1631"/>
    </row>
    <row r="171" spans="2:2" s="1623" customFormat="1" x14ac:dyDescent="0.2">
      <c r="B171" s="1631"/>
    </row>
    <row r="172" spans="2:2" s="1623" customFormat="1" x14ac:dyDescent="0.2">
      <c r="B172" s="1631"/>
    </row>
    <row r="173" spans="2:2" s="1623" customFormat="1" x14ac:dyDescent="0.2">
      <c r="B173" s="1631"/>
    </row>
    <row r="174" spans="2:2" s="1623" customFormat="1" x14ac:dyDescent="0.2">
      <c r="B174" s="1631"/>
    </row>
    <row r="175" spans="2:2" s="1623" customFormat="1" x14ac:dyDescent="0.2">
      <c r="B175" s="1631"/>
    </row>
    <row r="176" spans="2:2" s="1623" customFormat="1" x14ac:dyDescent="0.2">
      <c r="B176" s="1631"/>
    </row>
    <row r="177" spans="2:2" s="1623" customFormat="1" x14ac:dyDescent="0.2">
      <c r="B177" s="1631"/>
    </row>
    <row r="178" spans="2:2" s="1623" customFormat="1" x14ac:dyDescent="0.2">
      <c r="B178" s="1631"/>
    </row>
    <row r="179" spans="2:2" s="1623" customFormat="1" x14ac:dyDescent="0.2">
      <c r="B179" s="1631"/>
    </row>
    <row r="180" spans="2:2" s="1623" customFormat="1" x14ac:dyDescent="0.2">
      <c r="B180" s="1631"/>
    </row>
    <row r="181" spans="2:2" s="1623" customFormat="1" x14ac:dyDescent="0.2">
      <c r="B181" s="1631"/>
    </row>
    <row r="182" spans="2:2" s="1623" customFormat="1" x14ac:dyDescent="0.2">
      <c r="B182" s="1631"/>
    </row>
    <row r="183" spans="2:2" s="1623" customFormat="1" x14ac:dyDescent="0.2">
      <c r="B183" s="1631"/>
    </row>
    <row r="184" spans="2:2" s="1623" customFormat="1" x14ac:dyDescent="0.2">
      <c r="B184" s="1631"/>
    </row>
    <row r="185" spans="2:2" s="1623" customFormat="1" x14ac:dyDescent="0.2">
      <c r="B185" s="1631"/>
    </row>
    <row r="186" spans="2:2" s="1623" customFormat="1" x14ac:dyDescent="0.2">
      <c r="B186" s="1631"/>
    </row>
    <row r="187" spans="2:2" s="1623" customFormat="1" x14ac:dyDescent="0.2">
      <c r="B187" s="1631"/>
    </row>
    <row r="188" spans="2:2" s="1623" customFormat="1" x14ac:dyDescent="0.2">
      <c r="B188" s="1631"/>
    </row>
    <row r="189" spans="2:2" s="1623" customFormat="1" x14ac:dyDescent="0.2">
      <c r="B189" s="1631"/>
    </row>
    <row r="190" spans="2:2" s="1623" customFormat="1" x14ac:dyDescent="0.2">
      <c r="B190" s="1631"/>
    </row>
    <row r="191" spans="2:2" s="1623" customFormat="1" x14ac:dyDescent="0.2">
      <c r="B191" s="1631"/>
    </row>
    <row r="192" spans="2:2" s="1623" customFormat="1" x14ac:dyDescent="0.2">
      <c r="B192" s="1631"/>
    </row>
    <row r="193" spans="2:2" s="1623" customFormat="1" x14ac:dyDescent="0.2">
      <c r="B193" s="1631"/>
    </row>
    <row r="194" spans="2:2" s="1623" customFormat="1" x14ac:dyDescent="0.2">
      <c r="B194" s="1631"/>
    </row>
    <row r="195" spans="2:2" s="1623" customFormat="1" x14ac:dyDescent="0.2">
      <c r="B195" s="1631"/>
    </row>
    <row r="196" spans="2:2" s="1623" customFormat="1" x14ac:dyDescent="0.2">
      <c r="B196" s="1631"/>
    </row>
    <row r="197" spans="2:2" s="1623" customFormat="1" x14ac:dyDescent="0.2">
      <c r="B197" s="1631"/>
    </row>
    <row r="198" spans="2:2" s="1623" customFormat="1" x14ac:dyDescent="0.2">
      <c r="B198" s="1631"/>
    </row>
    <row r="199" spans="2:2" s="1623" customFormat="1" x14ac:dyDescent="0.2">
      <c r="B199" s="1631"/>
    </row>
    <row r="200" spans="2:2" s="1623" customFormat="1" x14ac:dyDescent="0.2">
      <c r="B200" s="1631"/>
    </row>
    <row r="201" spans="2:2" s="1623" customFormat="1" x14ac:dyDescent="0.2">
      <c r="B201" s="1631"/>
    </row>
    <row r="202" spans="2:2" s="1623" customFormat="1" x14ac:dyDescent="0.2">
      <c r="B202" s="1631"/>
    </row>
    <row r="203" spans="2:2" s="1623" customFormat="1" x14ac:dyDescent="0.2">
      <c r="B203" s="1631"/>
    </row>
    <row r="204" spans="2:2" s="1623" customFormat="1" x14ac:dyDescent="0.2">
      <c r="B204" s="1631"/>
    </row>
    <row r="205" spans="2:2" s="1623" customFormat="1" x14ac:dyDescent="0.2">
      <c r="B205" s="1631"/>
    </row>
    <row r="206" spans="2:2" s="1623" customFormat="1" x14ac:dyDescent="0.2">
      <c r="B206" s="1631"/>
    </row>
    <row r="207" spans="2:2" s="1623" customFormat="1" x14ac:dyDescent="0.2">
      <c r="B207" s="1631"/>
    </row>
    <row r="208" spans="2:2" s="1623" customFormat="1" x14ac:dyDescent="0.2">
      <c r="B208" s="1631"/>
    </row>
    <row r="209" spans="2:2" s="1623" customFormat="1" x14ac:dyDescent="0.2">
      <c r="B209" s="1631"/>
    </row>
    <row r="210" spans="2:2" s="1623" customFormat="1" x14ac:dyDescent="0.2">
      <c r="B210" s="1631"/>
    </row>
    <row r="211" spans="2:2" s="1623" customFormat="1" x14ac:dyDescent="0.2">
      <c r="B211" s="1631"/>
    </row>
    <row r="212" spans="2:2" s="1623" customFormat="1" x14ac:dyDescent="0.2">
      <c r="B212" s="1631"/>
    </row>
    <row r="213" spans="2:2" s="1623" customFormat="1" x14ac:dyDescent="0.2">
      <c r="B213" s="1631"/>
    </row>
    <row r="214" spans="2:2" s="1623" customFormat="1" x14ac:dyDescent="0.2">
      <c r="B214" s="1631"/>
    </row>
    <row r="215" spans="2:2" s="1623" customFormat="1" x14ac:dyDescent="0.2">
      <c r="B215" s="1631"/>
    </row>
    <row r="216" spans="2:2" s="1623" customFormat="1" x14ac:dyDescent="0.2">
      <c r="B216" s="1631"/>
    </row>
    <row r="217" spans="2:2" s="1623" customFormat="1" x14ac:dyDescent="0.2">
      <c r="B217" s="1631"/>
    </row>
    <row r="218" spans="2:2" s="1623" customFormat="1" x14ac:dyDescent="0.2">
      <c r="B218" s="1631"/>
    </row>
    <row r="219" spans="2:2" s="1623" customFormat="1" x14ac:dyDescent="0.2">
      <c r="B219" s="1631"/>
    </row>
    <row r="220" spans="2:2" s="1623" customFormat="1" x14ac:dyDescent="0.2">
      <c r="B220" s="1631"/>
    </row>
    <row r="221" spans="2:2" s="1623" customFormat="1" x14ac:dyDescent="0.2">
      <c r="B221" s="1631"/>
    </row>
    <row r="222" spans="2:2" s="1623" customFormat="1" x14ac:dyDescent="0.2">
      <c r="B222" s="1631"/>
    </row>
    <row r="223" spans="2:2" s="1623" customFormat="1" x14ac:dyDescent="0.2">
      <c r="B223" s="1631"/>
    </row>
    <row r="224" spans="2:2" s="1623" customFormat="1" x14ac:dyDescent="0.2">
      <c r="B224" s="1631"/>
    </row>
    <row r="225" spans="2:2" s="1623" customFormat="1" x14ac:dyDescent="0.2">
      <c r="B225" s="1631"/>
    </row>
    <row r="226" spans="2:2" s="1623" customFormat="1" x14ac:dyDescent="0.2">
      <c r="B226" s="1631"/>
    </row>
    <row r="227" spans="2:2" s="1623" customFormat="1" x14ac:dyDescent="0.2">
      <c r="B227" s="1631"/>
    </row>
    <row r="228" spans="2:2" s="1623" customFormat="1" x14ac:dyDescent="0.2">
      <c r="B228" s="1631"/>
    </row>
    <row r="229" spans="2:2" s="1623" customFormat="1" x14ac:dyDescent="0.2">
      <c r="B229" s="1631"/>
    </row>
    <row r="230" spans="2:2" s="1623" customFormat="1" x14ac:dyDescent="0.2">
      <c r="B230" s="1631"/>
    </row>
    <row r="231" spans="2:2" s="1623" customFormat="1" x14ac:dyDescent="0.2">
      <c r="B231" s="1631"/>
    </row>
    <row r="232" spans="2:2" s="1623" customFormat="1" x14ac:dyDescent="0.2">
      <c r="B232" s="1631"/>
    </row>
    <row r="233" spans="2:2" s="1623" customFormat="1" x14ac:dyDescent="0.2">
      <c r="B233" s="1631"/>
    </row>
    <row r="234" spans="2:2" s="1623" customFormat="1" x14ac:dyDescent="0.2">
      <c r="B234" s="1631"/>
    </row>
    <row r="235" spans="2:2" s="1623" customFormat="1" x14ac:dyDescent="0.2">
      <c r="B235" s="1631"/>
    </row>
    <row r="236" spans="2:2" s="1623" customFormat="1" x14ac:dyDescent="0.2">
      <c r="B236" s="1631"/>
    </row>
    <row r="237" spans="2:2" s="1623" customFormat="1" x14ac:dyDescent="0.2">
      <c r="B237" s="1631"/>
    </row>
    <row r="238" spans="2:2" s="1623" customFormat="1" x14ac:dyDescent="0.2">
      <c r="B238" s="1631"/>
    </row>
    <row r="239" spans="2:2" s="1623" customFormat="1" x14ac:dyDescent="0.2">
      <c r="B239" s="1631"/>
    </row>
    <row r="240" spans="2:2" s="1623" customFormat="1" x14ac:dyDescent="0.2">
      <c r="B240" s="1631"/>
    </row>
    <row r="241" spans="2:2" s="1623" customFormat="1" x14ac:dyDescent="0.2">
      <c r="B241" s="1631"/>
    </row>
    <row r="242" spans="2:2" s="1623" customFormat="1" x14ac:dyDescent="0.2">
      <c r="B242" s="1631"/>
    </row>
    <row r="243" spans="2:2" s="1623" customFormat="1" x14ac:dyDescent="0.2">
      <c r="B243" s="1631"/>
    </row>
    <row r="244" spans="2:2" s="1623" customFormat="1" x14ac:dyDescent="0.2">
      <c r="B244" s="1631"/>
    </row>
    <row r="245" spans="2:2" s="1623" customFormat="1" x14ac:dyDescent="0.2">
      <c r="B245" s="1631"/>
    </row>
    <row r="246" spans="2:2" s="1623" customFormat="1" x14ac:dyDescent="0.2">
      <c r="B246" s="1631"/>
    </row>
    <row r="247" spans="2:2" s="1623" customFormat="1" x14ac:dyDescent="0.2">
      <c r="B247" s="1631"/>
    </row>
    <row r="248" spans="2:2" s="1623" customFormat="1" x14ac:dyDescent="0.2">
      <c r="B248" s="1631"/>
    </row>
    <row r="249" spans="2:2" s="1623" customFormat="1" x14ac:dyDescent="0.2">
      <c r="B249" s="1631"/>
    </row>
    <row r="250" spans="2:2" s="1623" customFormat="1" x14ac:dyDescent="0.2">
      <c r="B250" s="1631"/>
    </row>
    <row r="251" spans="2:2" s="1623" customFormat="1" x14ac:dyDescent="0.2">
      <c r="B251" s="1631"/>
    </row>
    <row r="252" spans="2:2" s="1623" customFormat="1" x14ac:dyDescent="0.2">
      <c r="B252" s="1631"/>
    </row>
    <row r="253" spans="2:2" s="1623" customFormat="1" x14ac:dyDescent="0.2">
      <c r="B253" s="1631"/>
    </row>
    <row r="254" spans="2:2" s="1623" customFormat="1" x14ac:dyDescent="0.2">
      <c r="B254" s="1631"/>
    </row>
    <row r="255" spans="2:2" s="1623" customFormat="1" x14ac:dyDescent="0.2">
      <c r="B255" s="1631"/>
    </row>
    <row r="256" spans="2:2" s="1623" customFormat="1" x14ac:dyDescent="0.2">
      <c r="B256" s="1631"/>
    </row>
    <row r="257" spans="2:2" s="1623" customFormat="1" x14ac:dyDescent="0.2">
      <c r="B257" s="1631"/>
    </row>
    <row r="258" spans="2:2" s="1623" customFormat="1" x14ac:dyDescent="0.2">
      <c r="B258" s="1631"/>
    </row>
    <row r="259" spans="2:2" s="1623" customFormat="1" x14ac:dyDescent="0.2">
      <c r="B259" s="1631"/>
    </row>
    <row r="260" spans="2:2" s="1623" customFormat="1" x14ac:dyDescent="0.2">
      <c r="B260" s="1631"/>
    </row>
    <row r="261" spans="2:2" s="1623" customFormat="1" x14ac:dyDescent="0.2">
      <c r="B261" s="1631"/>
    </row>
    <row r="262" spans="2:2" s="1623" customFormat="1" x14ac:dyDescent="0.2">
      <c r="B262" s="1631"/>
    </row>
    <row r="263" spans="2:2" s="1623" customFormat="1" x14ac:dyDescent="0.2">
      <c r="B263" s="1631"/>
    </row>
    <row r="264" spans="2:2" s="1623" customFormat="1" x14ac:dyDescent="0.2">
      <c r="B264" s="1631"/>
    </row>
    <row r="265" spans="2:2" s="1623" customFormat="1" x14ac:dyDescent="0.2">
      <c r="B265" s="1631"/>
    </row>
    <row r="266" spans="2:2" s="1623" customFormat="1" x14ac:dyDescent="0.2">
      <c r="B266" s="1631"/>
    </row>
    <row r="267" spans="2:2" s="1623" customFormat="1" x14ac:dyDescent="0.2">
      <c r="B267" s="1631"/>
    </row>
    <row r="268" spans="2:2" s="1623" customFormat="1" x14ac:dyDescent="0.2">
      <c r="B268" s="1631"/>
    </row>
    <row r="269" spans="2:2" s="1623" customFormat="1" x14ac:dyDescent="0.2">
      <c r="B269" s="1631"/>
    </row>
    <row r="270" spans="2:2" s="1623" customFormat="1" x14ac:dyDescent="0.2">
      <c r="B270" s="1631"/>
    </row>
    <row r="271" spans="2:2" s="1623" customFormat="1" x14ac:dyDescent="0.2">
      <c r="B271" s="1631"/>
    </row>
    <row r="272" spans="2:2" s="1623" customFormat="1" x14ac:dyDescent="0.2">
      <c r="B272" s="1631"/>
    </row>
    <row r="273" spans="2:2" s="1623" customFormat="1" x14ac:dyDescent="0.2">
      <c r="B273" s="1631"/>
    </row>
    <row r="274" spans="2:2" s="1623" customFormat="1" x14ac:dyDescent="0.2">
      <c r="B274" s="1631"/>
    </row>
    <row r="275" spans="2:2" s="1623" customFormat="1" x14ac:dyDescent="0.2">
      <c r="B275" s="1631"/>
    </row>
    <row r="276" spans="2:2" s="1623" customFormat="1" x14ac:dyDescent="0.2">
      <c r="B276" s="1631"/>
    </row>
    <row r="277" spans="2:2" s="1623" customFormat="1" x14ac:dyDescent="0.2">
      <c r="B277" s="1631"/>
    </row>
    <row r="278" spans="2:2" s="1623" customFormat="1" x14ac:dyDescent="0.2">
      <c r="B278" s="1631"/>
    </row>
    <row r="279" spans="2:2" s="1623" customFormat="1" x14ac:dyDescent="0.2">
      <c r="B279" s="1631"/>
    </row>
    <row r="280" spans="2:2" s="1623" customFormat="1" x14ac:dyDescent="0.2">
      <c r="B280" s="1631"/>
    </row>
    <row r="281" spans="2:2" s="1623" customFormat="1" x14ac:dyDescent="0.2">
      <c r="B281" s="1631"/>
    </row>
    <row r="282" spans="2:2" s="1623" customFormat="1" x14ac:dyDescent="0.2">
      <c r="B282" s="1631"/>
    </row>
    <row r="283" spans="2:2" s="1623" customFormat="1" x14ac:dyDescent="0.2">
      <c r="B283" s="1631"/>
    </row>
    <row r="284" spans="2:2" s="1623" customFormat="1" x14ac:dyDescent="0.2">
      <c r="B284" s="1631"/>
    </row>
    <row r="285" spans="2:2" s="1623" customFormat="1" x14ac:dyDescent="0.2">
      <c r="B285" s="1631"/>
    </row>
    <row r="286" spans="2:2" s="1623" customFormat="1" x14ac:dyDescent="0.2">
      <c r="B286" s="1631"/>
    </row>
    <row r="287" spans="2:2" s="1623" customFormat="1" x14ac:dyDescent="0.2">
      <c r="B287" s="1631"/>
    </row>
    <row r="288" spans="2:2" s="1623" customFormat="1" x14ac:dyDescent="0.2">
      <c r="B288" s="1631"/>
    </row>
    <row r="289" spans="2:2" s="1623" customFormat="1" x14ac:dyDescent="0.2">
      <c r="B289" s="1631"/>
    </row>
    <row r="290" spans="2:2" s="1623" customFormat="1" x14ac:dyDescent="0.2">
      <c r="B290" s="1631"/>
    </row>
    <row r="291" spans="2:2" s="1623" customFormat="1" x14ac:dyDescent="0.2">
      <c r="B291" s="1631"/>
    </row>
    <row r="292" spans="2:2" s="1623" customFormat="1" x14ac:dyDescent="0.2">
      <c r="B292" s="1631"/>
    </row>
    <row r="293" spans="2:2" s="1623" customFormat="1" x14ac:dyDescent="0.2">
      <c r="B293" s="1631"/>
    </row>
    <row r="294" spans="2:2" s="1623" customFormat="1" x14ac:dyDescent="0.2">
      <c r="B294" s="1631"/>
    </row>
    <row r="295" spans="2:2" s="1623" customFormat="1" x14ac:dyDescent="0.2">
      <c r="B295" s="1631"/>
    </row>
    <row r="296" spans="2:2" s="1623" customFormat="1" x14ac:dyDescent="0.2">
      <c r="B296" s="1631"/>
    </row>
    <row r="297" spans="2:2" s="1623" customFormat="1" x14ac:dyDescent="0.2">
      <c r="B297" s="1631"/>
    </row>
    <row r="298" spans="2:2" s="1623" customFormat="1" x14ac:dyDescent="0.2">
      <c r="B298" s="1631"/>
    </row>
    <row r="299" spans="2:2" s="1623" customFormat="1" x14ac:dyDescent="0.2">
      <c r="B299" s="1631"/>
    </row>
    <row r="300" spans="2:2" s="1623" customFormat="1" x14ac:dyDescent="0.2">
      <c r="B300" s="1631"/>
    </row>
    <row r="301" spans="2:2" s="1623" customFormat="1" x14ac:dyDescent="0.2">
      <c r="B301" s="1631"/>
    </row>
    <row r="302" spans="2:2" s="1623" customFormat="1" x14ac:dyDescent="0.2">
      <c r="B302" s="1631"/>
    </row>
    <row r="303" spans="2:2" s="1623" customFormat="1" x14ac:dyDescent="0.2">
      <c r="B303" s="1631"/>
    </row>
    <row r="304" spans="2:2" s="1623" customFormat="1" x14ac:dyDescent="0.2">
      <c r="B304" s="1631"/>
    </row>
    <row r="305" spans="2:2" s="1623" customFormat="1" x14ac:dyDescent="0.2">
      <c r="B305" s="1631"/>
    </row>
    <row r="306" spans="2:2" s="1623" customFormat="1" x14ac:dyDescent="0.2">
      <c r="B306" s="1631"/>
    </row>
    <row r="307" spans="2:2" s="1623" customFormat="1" x14ac:dyDescent="0.2">
      <c r="B307" s="1631"/>
    </row>
    <row r="308" spans="2:2" s="1623" customFormat="1" x14ac:dyDescent="0.2">
      <c r="B308" s="1631"/>
    </row>
    <row r="309" spans="2:2" s="1623" customFormat="1" x14ac:dyDescent="0.2">
      <c r="B309" s="1631"/>
    </row>
    <row r="310" spans="2:2" s="1623" customFormat="1" x14ac:dyDescent="0.2">
      <c r="B310" s="1631"/>
    </row>
    <row r="311" spans="2:2" s="1623" customFormat="1" x14ac:dyDescent="0.2">
      <c r="B311" s="1631"/>
    </row>
    <row r="312" spans="2:2" s="1623" customFormat="1" x14ac:dyDescent="0.2">
      <c r="B312" s="1631"/>
    </row>
    <row r="313" spans="2:2" s="1623" customFormat="1" x14ac:dyDescent="0.2">
      <c r="B313" s="1631"/>
    </row>
    <row r="314" spans="2:2" s="1623" customFormat="1" x14ac:dyDescent="0.2">
      <c r="B314" s="1631"/>
    </row>
    <row r="315" spans="2:2" s="1623" customFormat="1" x14ac:dyDescent="0.2">
      <c r="B315" s="1631"/>
    </row>
    <row r="316" spans="2:2" s="1623" customFormat="1" x14ac:dyDescent="0.2">
      <c r="B316" s="1631"/>
    </row>
    <row r="317" spans="2:2" s="1623" customFormat="1" x14ac:dyDescent="0.2">
      <c r="B317" s="1631"/>
    </row>
    <row r="318" spans="2:2" s="1623" customFormat="1" x14ac:dyDescent="0.2">
      <c r="B318" s="1631"/>
    </row>
    <row r="319" spans="2:2" s="1623" customFormat="1" x14ac:dyDescent="0.2">
      <c r="B319" s="1631"/>
    </row>
    <row r="320" spans="2:2" s="1623" customFormat="1" x14ac:dyDescent="0.2">
      <c r="B320" s="1631"/>
    </row>
    <row r="321" spans="2:2" s="1623" customFormat="1" x14ac:dyDescent="0.2">
      <c r="B321" s="1631"/>
    </row>
    <row r="322" spans="2:2" s="1623" customFormat="1" x14ac:dyDescent="0.2">
      <c r="B322" s="1631"/>
    </row>
    <row r="323" spans="2:2" s="1623" customFormat="1" x14ac:dyDescent="0.2">
      <c r="B323" s="1631"/>
    </row>
    <row r="324" spans="2:2" s="1623" customFormat="1" x14ac:dyDescent="0.2">
      <c r="B324" s="1631"/>
    </row>
    <row r="325" spans="2:2" s="1623" customFormat="1" x14ac:dyDescent="0.2">
      <c r="B325" s="1631"/>
    </row>
    <row r="326" spans="2:2" s="1623" customFormat="1" x14ac:dyDescent="0.2">
      <c r="B326" s="1631"/>
    </row>
    <row r="327" spans="2:2" s="1623" customFormat="1" x14ac:dyDescent="0.2">
      <c r="B327" s="1631"/>
    </row>
    <row r="328" spans="2:2" s="1623" customFormat="1" x14ac:dyDescent="0.2">
      <c r="B328" s="1631"/>
    </row>
    <row r="329" spans="2:2" s="1623" customFormat="1" x14ac:dyDescent="0.2">
      <c r="B329" s="1631"/>
    </row>
    <row r="330" spans="2:2" s="1623" customFormat="1" x14ac:dyDescent="0.2">
      <c r="B330" s="1631"/>
    </row>
    <row r="331" spans="2:2" s="1623" customFormat="1" x14ac:dyDescent="0.2">
      <c r="B331" s="1631"/>
    </row>
    <row r="332" spans="2:2" s="1623" customFormat="1" x14ac:dyDescent="0.2">
      <c r="B332" s="1631"/>
    </row>
    <row r="333" spans="2:2" s="1623" customFormat="1" x14ac:dyDescent="0.2">
      <c r="B333" s="1631"/>
    </row>
    <row r="334" spans="2:2" s="1623" customFormat="1" x14ac:dyDescent="0.2">
      <c r="B334" s="1631"/>
    </row>
    <row r="335" spans="2:2" s="1623" customFormat="1" x14ac:dyDescent="0.2">
      <c r="B335" s="1631"/>
    </row>
    <row r="336" spans="2:2" s="1623" customFormat="1" x14ac:dyDescent="0.2">
      <c r="B336" s="1631"/>
    </row>
    <row r="337" spans="2:2" s="1623" customFormat="1" x14ac:dyDescent="0.2">
      <c r="B337" s="1631"/>
    </row>
    <row r="338" spans="2:2" s="1623" customFormat="1" x14ac:dyDescent="0.2">
      <c r="B338" s="1631"/>
    </row>
    <row r="339" spans="2:2" s="1623" customFormat="1" x14ac:dyDescent="0.2">
      <c r="B339" s="1631"/>
    </row>
    <row r="340" spans="2:2" s="1623" customFormat="1" x14ac:dyDescent="0.2">
      <c r="B340" s="1631"/>
    </row>
    <row r="341" spans="2:2" s="1623" customFormat="1" x14ac:dyDescent="0.2">
      <c r="B341" s="1631"/>
    </row>
    <row r="342" spans="2:2" s="1623" customFormat="1" x14ac:dyDescent="0.2">
      <c r="B342" s="1631"/>
    </row>
    <row r="343" spans="2:2" s="1623" customFormat="1" x14ac:dyDescent="0.2">
      <c r="B343" s="1631"/>
    </row>
    <row r="344" spans="2:2" s="1623" customFormat="1" x14ac:dyDescent="0.2">
      <c r="B344" s="1631"/>
    </row>
    <row r="345" spans="2:2" s="1623" customFormat="1" x14ac:dyDescent="0.2">
      <c r="B345" s="1631"/>
    </row>
    <row r="346" spans="2:2" s="1623" customFormat="1" x14ac:dyDescent="0.2">
      <c r="B346" s="1631"/>
    </row>
    <row r="347" spans="2:2" s="1623" customFormat="1" x14ac:dyDescent="0.2">
      <c r="B347" s="1631"/>
    </row>
    <row r="348" spans="2:2" s="1623" customFormat="1" x14ac:dyDescent="0.2">
      <c r="B348" s="1631"/>
    </row>
    <row r="349" spans="2:2" s="1623" customFormat="1" x14ac:dyDescent="0.2">
      <c r="B349" s="1631"/>
    </row>
    <row r="350" spans="2:2" s="1623" customFormat="1" x14ac:dyDescent="0.2">
      <c r="B350" s="1631"/>
    </row>
    <row r="351" spans="2:2" s="1623" customFormat="1" x14ac:dyDescent="0.2">
      <c r="B351" s="1631"/>
    </row>
    <row r="352" spans="2:2" s="1623" customFormat="1" x14ac:dyDescent="0.2">
      <c r="B352" s="1631"/>
    </row>
    <row r="353" spans="2:2" s="1623" customFormat="1" x14ac:dyDescent="0.2">
      <c r="B353" s="1631"/>
    </row>
    <row r="354" spans="2:2" s="1623" customFormat="1" x14ac:dyDescent="0.2">
      <c r="B354" s="1631"/>
    </row>
    <row r="355" spans="2:2" s="1623" customFormat="1" x14ac:dyDescent="0.2">
      <c r="B355" s="1631"/>
    </row>
    <row r="356" spans="2:2" s="1623" customFormat="1" x14ac:dyDescent="0.2">
      <c r="B356" s="1631"/>
    </row>
    <row r="357" spans="2:2" s="1623" customFormat="1" x14ac:dyDescent="0.2">
      <c r="B357" s="1631"/>
    </row>
    <row r="358" spans="2:2" s="1623" customFormat="1" x14ac:dyDescent="0.2">
      <c r="B358" s="1631"/>
    </row>
    <row r="359" spans="2:2" s="1623" customFormat="1" x14ac:dyDescent="0.2">
      <c r="B359" s="1631"/>
    </row>
    <row r="360" spans="2:2" s="1623" customFormat="1" x14ac:dyDescent="0.2">
      <c r="B360" s="1631"/>
    </row>
    <row r="361" spans="2:2" s="1623" customFormat="1" x14ac:dyDescent="0.2">
      <c r="B361" s="1631"/>
    </row>
    <row r="362" spans="2:2" s="1623" customFormat="1" x14ac:dyDescent="0.2">
      <c r="B362" s="1631"/>
    </row>
    <row r="363" spans="2:2" s="1623" customFormat="1" x14ac:dyDescent="0.2">
      <c r="B363" s="1631"/>
    </row>
    <row r="364" spans="2:2" s="1623" customFormat="1" x14ac:dyDescent="0.2">
      <c r="B364" s="1631"/>
    </row>
    <row r="365" spans="2:2" s="1623" customFormat="1" x14ac:dyDescent="0.2">
      <c r="B365" s="1631"/>
    </row>
    <row r="366" spans="2:2" s="1623" customFormat="1" x14ac:dyDescent="0.2">
      <c r="B366" s="1631"/>
    </row>
    <row r="367" spans="2:2" s="1623" customFormat="1" x14ac:dyDescent="0.2">
      <c r="B367" s="1631"/>
    </row>
    <row r="368" spans="2:2" s="1623" customFormat="1" x14ac:dyDescent="0.2">
      <c r="B368" s="1631"/>
    </row>
    <row r="369" spans="2:2" s="1623" customFormat="1" x14ac:dyDescent="0.2">
      <c r="B369" s="1631"/>
    </row>
    <row r="370" spans="2:2" s="1623" customFormat="1" x14ac:dyDescent="0.2">
      <c r="B370" s="1631"/>
    </row>
    <row r="371" spans="2:2" s="1623" customFormat="1" x14ac:dyDescent="0.2">
      <c r="B371" s="1631"/>
    </row>
    <row r="372" spans="2:2" s="1623" customFormat="1" x14ac:dyDescent="0.2">
      <c r="B372" s="1631"/>
    </row>
    <row r="373" spans="2:2" s="1623" customFormat="1" x14ac:dyDescent="0.2">
      <c r="B373" s="1631"/>
    </row>
    <row r="374" spans="2:2" s="1623" customFormat="1" x14ac:dyDescent="0.2">
      <c r="B374" s="1631"/>
    </row>
    <row r="375" spans="2:2" s="1623" customFormat="1" x14ac:dyDescent="0.2">
      <c r="B375" s="1631"/>
    </row>
    <row r="376" spans="2:2" s="1623" customFormat="1" x14ac:dyDescent="0.2">
      <c r="B376" s="1631"/>
    </row>
    <row r="377" spans="2:2" s="1623" customFormat="1" x14ac:dyDescent="0.2">
      <c r="B377" s="1631"/>
    </row>
    <row r="378" spans="2:2" s="1623" customFormat="1" x14ac:dyDescent="0.2">
      <c r="B378" s="1631"/>
    </row>
    <row r="379" spans="2:2" s="1623" customFormat="1" x14ac:dyDescent="0.2">
      <c r="B379" s="1631"/>
    </row>
    <row r="380" spans="2:2" s="1623" customFormat="1" x14ac:dyDescent="0.2">
      <c r="B380" s="1631"/>
    </row>
    <row r="381" spans="2:2" s="1623" customFormat="1" x14ac:dyDescent="0.2">
      <c r="B381" s="1631"/>
    </row>
    <row r="382" spans="2:2" s="1623" customFormat="1" x14ac:dyDescent="0.2">
      <c r="B382" s="1631"/>
    </row>
    <row r="383" spans="2:2" s="1623" customFormat="1" x14ac:dyDescent="0.2">
      <c r="B383" s="1631"/>
    </row>
    <row r="384" spans="2:2" s="1623" customFormat="1" x14ac:dyDescent="0.2">
      <c r="B384" s="1631"/>
    </row>
    <row r="385" spans="2:2" s="1623" customFormat="1" x14ac:dyDescent="0.2">
      <c r="B385" s="1631"/>
    </row>
    <row r="386" spans="2:2" s="1623" customFormat="1" x14ac:dyDescent="0.2">
      <c r="B386" s="1631"/>
    </row>
    <row r="387" spans="2:2" s="1623" customFormat="1" x14ac:dyDescent="0.2">
      <c r="B387" s="1631"/>
    </row>
    <row r="388" spans="2:2" s="1623" customFormat="1" x14ac:dyDescent="0.2">
      <c r="B388" s="1631"/>
    </row>
    <row r="389" spans="2:2" s="1623" customFormat="1" x14ac:dyDescent="0.2">
      <c r="B389" s="1631"/>
    </row>
    <row r="390" spans="2:2" s="1623" customFormat="1" x14ac:dyDescent="0.2">
      <c r="B390" s="1631"/>
    </row>
    <row r="391" spans="2:2" s="1623" customFormat="1" x14ac:dyDescent="0.2">
      <c r="B391" s="1631"/>
    </row>
    <row r="392" spans="2:2" s="1623" customFormat="1" x14ac:dyDescent="0.2">
      <c r="B392" s="1631"/>
    </row>
    <row r="393" spans="2:2" s="1623" customFormat="1" x14ac:dyDescent="0.2">
      <c r="B393" s="1631"/>
    </row>
    <row r="394" spans="2:2" s="1623" customFormat="1" x14ac:dyDescent="0.2">
      <c r="B394" s="1631"/>
    </row>
    <row r="395" spans="2:2" s="1623" customFormat="1" x14ac:dyDescent="0.2">
      <c r="B395" s="1631"/>
    </row>
    <row r="396" spans="2:2" s="1623" customFormat="1" x14ac:dyDescent="0.2">
      <c r="B396" s="1631"/>
    </row>
    <row r="397" spans="2:2" s="1623" customFormat="1" x14ac:dyDescent="0.2">
      <c r="B397" s="1631"/>
    </row>
    <row r="398" spans="2:2" s="1623" customFormat="1" x14ac:dyDescent="0.2">
      <c r="B398" s="1631"/>
    </row>
    <row r="399" spans="2:2" s="1623" customFormat="1" x14ac:dyDescent="0.2">
      <c r="B399" s="1631"/>
    </row>
    <row r="400" spans="2:2" s="1623" customFormat="1" x14ac:dyDescent="0.2">
      <c r="B400" s="1631"/>
    </row>
    <row r="401" spans="2:2" s="1623" customFormat="1" x14ac:dyDescent="0.2">
      <c r="B401" s="1631"/>
    </row>
    <row r="402" spans="2:2" s="1623" customFormat="1" x14ac:dyDescent="0.2">
      <c r="B402" s="1631"/>
    </row>
    <row r="403" spans="2:2" s="1623" customFormat="1" x14ac:dyDescent="0.2">
      <c r="B403" s="1631"/>
    </row>
    <row r="404" spans="2:2" s="1623" customFormat="1" x14ac:dyDescent="0.2">
      <c r="B404" s="1631"/>
    </row>
    <row r="405" spans="2:2" s="1623" customFormat="1" x14ac:dyDescent="0.2">
      <c r="B405" s="1631"/>
    </row>
    <row r="406" spans="2:2" s="1623" customFormat="1" x14ac:dyDescent="0.2">
      <c r="B406" s="1631"/>
    </row>
    <row r="407" spans="2:2" s="1623" customFormat="1" x14ac:dyDescent="0.2">
      <c r="B407" s="1631"/>
    </row>
    <row r="408" spans="2:2" s="1623" customFormat="1" x14ac:dyDescent="0.2">
      <c r="B408" s="1631"/>
    </row>
    <row r="409" spans="2:2" s="1623" customFormat="1" x14ac:dyDescent="0.2">
      <c r="B409" s="1631"/>
    </row>
    <row r="410" spans="2:2" s="1623" customFormat="1" x14ac:dyDescent="0.2">
      <c r="B410" s="1631"/>
    </row>
    <row r="411" spans="2:2" s="1623" customFormat="1" x14ac:dyDescent="0.2">
      <c r="B411" s="1631"/>
    </row>
    <row r="412" spans="2:2" s="1623" customFormat="1" x14ac:dyDescent="0.2">
      <c r="B412" s="1631"/>
    </row>
    <row r="413" spans="2:2" s="1623" customFormat="1" x14ac:dyDescent="0.2">
      <c r="B413" s="1631"/>
    </row>
    <row r="414" spans="2:2" s="1623" customFormat="1" x14ac:dyDescent="0.2">
      <c r="B414" s="1631"/>
    </row>
    <row r="415" spans="2:2" s="1623" customFormat="1" x14ac:dyDescent="0.2">
      <c r="B415" s="1631"/>
    </row>
    <row r="416" spans="2:2" s="1623" customFormat="1" x14ac:dyDescent="0.2">
      <c r="B416" s="1631"/>
    </row>
    <row r="417" spans="2:2" s="1623" customFormat="1" x14ac:dyDescent="0.2">
      <c r="B417" s="1631"/>
    </row>
    <row r="418" spans="2:2" s="1623" customFormat="1" x14ac:dyDescent="0.2">
      <c r="B418" s="1631"/>
    </row>
    <row r="419" spans="2:2" s="1623" customFormat="1" x14ac:dyDescent="0.2">
      <c r="B419" s="1631"/>
    </row>
    <row r="420" spans="2:2" s="1623" customFormat="1" x14ac:dyDescent="0.2">
      <c r="B420" s="1631"/>
    </row>
    <row r="421" spans="2:2" s="1623" customFormat="1" x14ac:dyDescent="0.2">
      <c r="B421" s="1631"/>
    </row>
    <row r="422" spans="2:2" s="1623" customFormat="1" x14ac:dyDescent="0.2">
      <c r="B422" s="1631"/>
    </row>
    <row r="423" spans="2:2" s="1623" customFormat="1" x14ac:dyDescent="0.2">
      <c r="B423" s="1631"/>
    </row>
    <row r="424" spans="2:2" s="1623" customFormat="1" x14ac:dyDescent="0.2">
      <c r="B424" s="1631"/>
    </row>
    <row r="425" spans="2:2" s="1623" customFormat="1" x14ac:dyDescent="0.2">
      <c r="B425" s="1631"/>
    </row>
    <row r="426" spans="2:2" s="1623" customFormat="1" x14ac:dyDescent="0.2">
      <c r="B426" s="1631"/>
    </row>
    <row r="427" spans="2:2" s="1623" customFormat="1" x14ac:dyDescent="0.2">
      <c r="B427" s="1631"/>
    </row>
    <row r="428" spans="2:2" s="1623" customFormat="1" x14ac:dyDescent="0.2">
      <c r="B428" s="1631"/>
    </row>
    <row r="429" spans="2:2" s="1623" customFormat="1" x14ac:dyDescent="0.2">
      <c r="B429" s="1631"/>
    </row>
    <row r="430" spans="2:2" s="1623" customFormat="1" x14ac:dyDescent="0.2">
      <c r="B430" s="1631"/>
    </row>
    <row r="431" spans="2:2" s="1623" customFormat="1" x14ac:dyDescent="0.2">
      <c r="B431" s="1631"/>
    </row>
    <row r="432" spans="2:2" s="1623" customFormat="1" x14ac:dyDescent="0.2">
      <c r="B432" s="1631"/>
    </row>
    <row r="433" spans="2:2" s="1623" customFormat="1" x14ac:dyDescent="0.2">
      <c r="B433" s="1631"/>
    </row>
    <row r="434" spans="2:2" s="1623" customFormat="1" x14ac:dyDescent="0.2">
      <c r="B434" s="1631"/>
    </row>
    <row r="435" spans="2:2" s="1623" customFormat="1" x14ac:dyDescent="0.2">
      <c r="B435" s="1631"/>
    </row>
    <row r="436" spans="2:2" s="1623" customFormat="1" x14ac:dyDescent="0.2">
      <c r="B436" s="1631"/>
    </row>
    <row r="437" spans="2:2" s="1623" customFormat="1" x14ac:dyDescent="0.2">
      <c r="B437" s="1631"/>
    </row>
    <row r="438" spans="2:2" s="1623" customFormat="1" x14ac:dyDescent="0.2">
      <c r="B438" s="1631"/>
    </row>
    <row r="439" spans="2:2" s="1623" customFormat="1" x14ac:dyDescent="0.2">
      <c r="B439" s="1631"/>
    </row>
    <row r="440" spans="2:2" s="1623" customFormat="1" x14ac:dyDescent="0.2">
      <c r="B440" s="1631"/>
    </row>
    <row r="441" spans="2:2" s="1623" customFormat="1" x14ac:dyDescent="0.2">
      <c r="B441" s="1631"/>
    </row>
    <row r="442" spans="2:2" s="1623" customFormat="1" x14ac:dyDescent="0.2">
      <c r="B442" s="1631"/>
    </row>
    <row r="443" spans="2:2" s="1623" customFormat="1" x14ac:dyDescent="0.2">
      <c r="B443" s="1631"/>
    </row>
    <row r="444" spans="2:2" s="1623" customFormat="1" x14ac:dyDescent="0.2">
      <c r="B444" s="1631"/>
    </row>
    <row r="445" spans="2:2" s="1623" customFormat="1" x14ac:dyDescent="0.2">
      <c r="B445" s="1631"/>
    </row>
    <row r="446" spans="2:2" s="1623" customFormat="1" x14ac:dyDescent="0.2">
      <c r="B446" s="1631"/>
    </row>
    <row r="447" spans="2:2" s="1623" customFormat="1" x14ac:dyDescent="0.2">
      <c r="B447" s="1631"/>
    </row>
    <row r="448" spans="2:2" s="1623" customFormat="1" x14ac:dyDescent="0.2">
      <c r="B448" s="1631"/>
    </row>
    <row r="449" spans="2:2" s="1623" customFormat="1" x14ac:dyDescent="0.2">
      <c r="B449" s="1631"/>
    </row>
    <row r="450" spans="2:2" s="1623" customFormat="1" x14ac:dyDescent="0.2">
      <c r="B450" s="1631"/>
    </row>
    <row r="451" spans="2:2" s="1623" customFormat="1" x14ac:dyDescent="0.2">
      <c r="B451" s="1631"/>
    </row>
    <row r="452" spans="2:2" s="1623" customFormat="1" x14ac:dyDescent="0.2">
      <c r="B452" s="1631"/>
    </row>
    <row r="453" spans="2:2" s="1623" customFormat="1" x14ac:dyDescent="0.2">
      <c r="B453" s="1631"/>
    </row>
    <row r="454" spans="2:2" s="1623" customFormat="1" x14ac:dyDescent="0.2">
      <c r="B454" s="1631"/>
    </row>
    <row r="455" spans="2:2" s="1623" customFormat="1" x14ac:dyDescent="0.2">
      <c r="B455" s="1631"/>
    </row>
    <row r="456" spans="2:2" s="1623" customFormat="1" x14ac:dyDescent="0.2">
      <c r="B456" s="1631"/>
    </row>
    <row r="457" spans="2:2" s="1623" customFormat="1" x14ac:dyDescent="0.2">
      <c r="B457" s="1631"/>
    </row>
    <row r="458" spans="2:2" s="1623" customFormat="1" x14ac:dyDescent="0.2">
      <c r="B458" s="1631"/>
    </row>
    <row r="459" spans="2:2" s="1623" customFormat="1" x14ac:dyDescent="0.2">
      <c r="B459" s="1631"/>
    </row>
    <row r="460" spans="2:2" s="1623" customFormat="1" x14ac:dyDescent="0.2">
      <c r="B460" s="1631"/>
    </row>
    <row r="461" spans="2:2" s="1623" customFormat="1" x14ac:dyDescent="0.2">
      <c r="B461" s="1631"/>
    </row>
    <row r="462" spans="2:2" s="1623" customFormat="1" x14ac:dyDescent="0.2">
      <c r="B462" s="1631"/>
    </row>
    <row r="463" spans="2:2" s="1623" customFormat="1" x14ac:dyDescent="0.2">
      <c r="B463" s="1631"/>
    </row>
    <row r="464" spans="2:2" s="1623" customFormat="1" x14ac:dyDescent="0.2">
      <c r="B464" s="1631"/>
    </row>
    <row r="465" spans="2:2" s="1623" customFormat="1" x14ac:dyDescent="0.2">
      <c r="B465" s="1631"/>
    </row>
    <row r="466" spans="2:2" s="1623" customFormat="1" x14ac:dyDescent="0.2">
      <c r="B466" s="1631"/>
    </row>
    <row r="467" spans="2:2" s="1623" customFormat="1" x14ac:dyDescent="0.2">
      <c r="B467" s="1631"/>
    </row>
    <row r="468" spans="2:2" s="1623" customFormat="1" x14ac:dyDescent="0.2">
      <c r="B468" s="1631"/>
    </row>
    <row r="469" spans="2:2" s="1623" customFormat="1" x14ac:dyDescent="0.2">
      <c r="B469" s="1631"/>
    </row>
    <row r="470" spans="2:2" s="1623" customFormat="1" x14ac:dyDescent="0.2">
      <c r="B470" s="1631"/>
    </row>
    <row r="471" spans="2:2" s="1623" customFormat="1" x14ac:dyDescent="0.2">
      <c r="B471" s="1631"/>
    </row>
    <row r="472" spans="2:2" s="1623" customFormat="1" x14ac:dyDescent="0.2">
      <c r="B472" s="1631"/>
    </row>
    <row r="473" spans="2:2" s="1623" customFormat="1" x14ac:dyDescent="0.2">
      <c r="B473" s="1631"/>
    </row>
    <row r="474" spans="2:2" s="1623" customFormat="1" x14ac:dyDescent="0.2">
      <c r="B474" s="1631"/>
    </row>
    <row r="475" spans="2:2" s="1623" customFormat="1" x14ac:dyDescent="0.2">
      <c r="B475" s="1631"/>
    </row>
    <row r="476" spans="2:2" s="1623" customFormat="1" x14ac:dyDescent="0.2">
      <c r="B476" s="1631"/>
    </row>
    <row r="477" spans="2:2" s="1623" customFormat="1" x14ac:dyDescent="0.2">
      <c r="B477" s="1631"/>
    </row>
    <row r="478" spans="2:2" s="1623" customFormat="1" x14ac:dyDescent="0.2">
      <c r="B478" s="1631"/>
    </row>
    <row r="479" spans="2:2" s="1623" customFormat="1" x14ac:dyDescent="0.2">
      <c r="B479" s="1631"/>
    </row>
    <row r="480" spans="2:2" s="1623" customFormat="1" x14ac:dyDescent="0.2">
      <c r="B480" s="1631"/>
    </row>
    <row r="481" spans="2:2" s="1623" customFormat="1" x14ac:dyDescent="0.2">
      <c r="B481" s="1631"/>
    </row>
    <row r="482" spans="2:2" s="1623" customFormat="1" x14ac:dyDescent="0.2">
      <c r="B482" s="1631"/>
    </row>
    <row r="483" spans="2:2" s="1623" customFormat="1" x14ac:dyDescent="0.2">
      <c r="B483" s="1631"/>
    </row>
    <row r="484" spans="2:2" s="1623" customFormat="1" x14ac:dyDescent="0.2">
      <c r="B484" s="1631"/>
    </row>
    <row r="485" spans="2:2" s="1623" customFormat="1" x14ac:dyDescent="0.2">
      <c r="B485" s="1631"/>
    </row>
    <row r="486" spans="2:2" s="1623" customFormat="1" x14ac:dyDescent="0.2">
      <c r="B486" s="1631"/>
    </row>
    <row r="487" spans="2:2" s="1623" customFormat="1" x14ac:dyDescent="0.2">
      <c r="B487" s="1631"/>
    </row>
    <row r="488" spans="2:2" s="1623" customFormat="1" x14ac:dyDescent="0.2">
      <c r="B488" s="1631"/>
    </row>
    <row r="489" spans="2:2" s="1623" customFormat="1" x14ac:dyDescent="0.2">
      <c r="B489" s="1631"/>
    </row>
    <row r="490" spans="2:2" s="1623" customFormat="1" x14ac:dyDescent="0.2">
      <c r="B490" s="1631"/>
    </row>
    <row r="491" spans="2:2" s="1623" customFormat="1" x14ac:dyDescent="0.2">
      <c r="B491" s="1631"/>
    </row>
    <row r="492" spans="2:2" s="1623" customFormat="1" x14ac:dyDescent="0.2">
      <c r="B492" s="1631"/>
    </row>
    <row r="493" spans="2:2" s="1623" customFormat="1" x14ac:dyDescent="0.2">
      <c r="B493" s="1631"/>
    </row>
    <row r="494" spans="2:2" s="1623" customFormat="1" x14ac:dyDescent="0.2">
      <c r="B494" s="1631"/>
    </row>
    <row r="495" spans="2:2" s="1623" customFormat="1" x14ac:dyDescent="0.2">
      <c r="B495" s="1631"/>
    </row>
    <row r="496" spans="2:2" s="1623" customFormat="1" x14ac:dyDescent="0.2">
      <c r="B496" s="1631"/>
    </row>
    <row r="497" spans="2:2" s="1623" customFormat="1" x14ac:dyDescent="0.2">
      <c r="B497" s="1631"/>
    </row>
    <row r="498" spans="2:2" s="1623" customFormat="1" x14ac:dyDescent="0.2">
      <c r="B498" s="1631"/>
    </row>
    <row r="499" spans="2:2" s="1623" customFormat="1" x14ac:dyDescent="0.2">
      <c r="B499" s="1631"/>
    </row>
    <row r="500" spans="2:2" s="1623" customFormat="1" x14ac:dyDescent="0.2">
      <c r="B500" s="1631"/>
    </row>
    <row r="501" spans="2:2" s="1623" customFormat="1" x14ac:dyDescent="0.2">
      <c r="B501" s="1631"/>
    </row>
    <row r="502" spans="2:2" s="1623" customFormat="1" x14ac:dyDescent="0.2">
      <c r="B502" s="1631"/>
    </row>
    <row r="503" spans="2:2" s="1623" customFormat="1" x14ac:dyDescent="0.2">
      <c r="B503" s="1631"/>
    </row>
    <row r="504" spans="2:2" s="1623" customFormat="1" x14ac:dyDescent="0.2">
      <c r="B504" s="1631"/>
    </row>
    <row r="505" spans="2:2" s="1623" customFormat="1" x14ac:dyDescent="0.2">
      <c r="B505" s="1631"/>
    </row>
    <row r="506" spans="2:2" s="1623" customFormat="1" x14ac:dyDescent="0.2">
      <c r="B506" s="1631"/>
    </row>
    <row r="507" spans="2:2" s="1623" customFormat="1" x14ac:dyDescent="0.2">
      <c r="B507" s="1631"/>
    </row>
    <row r="508" spans="2:2" s="1623" customFormat="1" x14ac:dyDescent="0.2">
      <c r="B508" s="1631"/>
    </row>
    <row r="509" spans="2:2" s="1623" customFormat="1" x14ac:dyDescent="0.2">
      <c r="B509" s="1631"/>
    </row>
    <row r="510" spans="2:2" s="1623" customFormat="1" x14ac:dyDescent="0.2">
      <c r="B510" s="1631"/>
    </row>
    <row r="511" spans="2:2" s="1623" customFormat="1" x14ac:dyDescent="0.2">
      <c r="B511" s="1631"/>
    </row>
    <row r="512" spans="2:2" s="1623" customFormat="1" x14ac:dyDescent="0.2">
      <c r="B512" s="1631"/>
    </row>
    <row r="513" spans="2:2" s="1623" customFormat="1" x14ac:dyDescent="0.2">
      <c r="B513" s="1631"/>
    </row>
    <row r="514" spans="2:2" s="1623" customFormat="1" x14ac:dyDescent="0.2">
      <c r="B514" s="1631"/>
    </row>
    <row r="515" spans="2:2" s="1623" customFormat="1" x14ac:dyDescent="0.2">
      <c r="B515" s="1631"/>
    </row>
    <row r="516" spans="2:2" s="1623" customFormat="1" x14ac:dyDescent="0.2">
      <c r="B516" s="1631"/>
    </row>
    <row r="517" spans="2:2" s="1623" customFormat="1" x14ac:dyDescent="0.2">
      <c r="B517" s="1631"/>
    </row>
    <row r="518" spans="2:2" s="1623" customFormat="1" x14ac:dyDescent="0.2">
      <c r="B518" s="1631"/>
    </row>
    <row r="519" spans="2:2" s="1623" customFormat="1" x14ac:dyDescent="0.2">
      <c r="B519" s="1631"/>
    </row>
    <row r="520" spans="2:2" s="1623" customFormat="1" x14ac:dyDescent="0.2">
      <c r="B520" s="1631"/>
    </row>
    <row r="521" spans="2:2" s="1623" customFormat="1" x14ac:dyDescent="0.2">
      <c r="B521" s="1631"/>
    </row>
    <row r="522" spans="2:2" s="1623" customFormat="1" x14ac:dyDescent="0.2">
      <c r="B522" s="1631"/>
    </row>
    <row r="523" spans="2:2" s="1623" customFormat="1" x14ac:dyDescent="0.2">
      <c r="B523" s="1631"/>
    </row>
    <row r="524" spans="2:2" s="1623" customFormat="1" x14ac:dyDescent="0.2">
      <c r="B524" s="1631"/>
    </row>
    <row r="525" spans="2:2" s="1623" customFormat="1" x14ac:dyDescent="0.2">
      <c r="B525" s="1631"/>
    </row>
    <row r="526" spans="2:2" s="1623" customFormat="1" x14ac:dyDescent="0.2">
      <c r="B526" s="1631"/>
    </row>
    <row r="527" spans="2:2" s="1623" customFormat="1" x14ac:dyDescent="0.2">
      <c r="B527" s="1631"/>
    </row>
    <row r="528" spans="2:2" s="1623" customFormat="1" x14ac:dyDescent="0.2">
      <c r="B528" s="1631"/>
    </row>
    <row r="529" spans="2:2" s="1623" customFormat="1" x14ac:dyDescent="0.2">
      <c r="B529" s="1631"/>
    </row>
    <row r="530" spans="2:2" s="1623" customFormat="1" x14ac:dyDescent="0.2">
      <c r="B530" s="1631"/>
    </row>
    <row r="531" spans="2:2" s="1623" customFormat="1" x14ac:dyDescent="0.2">
      <c r="B531" s="1631"/>
    </row>
    <row r="532" spans="2:2" s="1623" customFormat="1" x14ac:dyDescent="0.2">
      <c r="B532" s="1631"/>
    </row>
    <row r="533" spans="2:2" s="1623" customFormat="1" x14ac:dyDescent="0.2">
      <c r="B533" s="1631"/>
    </row>
    <row r="534" spans="2:2" s="1623" customFormat="1" x14ac:dyDescent="0.2">
      <c r="B534" s="1631"/>
    </row>
    <row r="535" spans="2:2" s="1623" customFormat="1" x14ac:dyDescent="0.2">
      <c r="B535" s="1631"/>
    </row>
    <row r="536" spans="2:2" s="1623" customFormat="1" x14ac:dyDescent="0.2">
      <c r="B536" s="1631"/>
    </row>
    <row r="537" spans="2:2" s="1623" customFormat="1" x14ac:dyDescent="0.2">
      <c r="B537" s="1631"/>
    </row>
    <row r="538" spans="2:2" s="1623" customFormat="1" x14ac:dyDescent="0.2">
      <c r="B538" s="1631"/>
    </row>
    <row r="539" spans="2:2" s="1623" customFormat="1" x14ac:dyDescent="0.2">
      <c r="B539" s="1631"/>
    </row>
    <row r="540" spans="2:2" s="1623" customFormat="1" x14ac:dyDescent="0.2">
      <c r="B540" s="1631"/>
    </row>
    <row r="541" spans="2:2" s="1623" customFormat="1" x14ac:dyDescent="0.2">
      <c r="B541" s="1631"/>
    </row>
    <row r="542" spans="2:2" s="1623" customFormat="1" x14ac:dyDescent="0.2">
      <c r="B542" s="1631"/>
    </row>
    <row r="543" spans="2:2" s="1623" customFormat="1" x14ac:dyDescent="0.2">
      <c r="B543" s="1631"/>
    </row>
    <row r="544" spans="2:2" s="1623" customFormat="1" x14ac:dyDescent="0.2">
      <c r="B544" s="1631"/>
    </row>
    <row r="545" spans="2:2" s="1623" customFormat="1" x14ac:dyDescent="0.2">
      <c r="B545" s="1631"/>
    </row>
    <row r="546" spans="2:2" s="1623" customFormat="1" x14ac:dyDescent="0.2">
      <c r="B546" s="1631"/>
    </row>
    <row r="547" spans="2:2" s="1623" customFormat="1" x14ac:dyDescent="0.2">
      <c r="B547" s="1631"/>
    </row>
    <row r="548" spans="2:2" s="1623" customFormat="1" x14ac:dyDescent="0.2">
      <c r="B548" s="1631"/>
    </row>
    <row r="549" spans="2:2" s="1623" customFormat="1" x14ac:dyDescent="0.2">
      <c r="B549" s="1631"/>
    </row>
    <row r="550" spans="2:2" s="1623" customFormat="1" x14ac:dyDescent="0.2">
      <c r="B550" s="1631"/>
    </row>
    <row r="551" spans="2:2" s="1623" customFormat="1" x14ac:dyDescent="0.2">
      <c r="B551" s="1631"/>
    </row>
    <row r="552" spans="2:2" s="1623" customFormat="1" x14ac:dyDescent="0.2">
      <c r="B552" s="1631"/>
    </row>
    <row r="553" spans="2:2" s="1623" customFormat="1" x14ac:dyDescent="0.2">
      <c r="B553" s="1631"/>
    </row>
    <row r="554" spans="2:2" s="1623" customFormat="1" x14ac:dyDescent="0.2">
      <c r="B554" s="1631"/>
    </row>
    <row r="555" spans="2:2" s="1623" customFormat="1" x14ac:dyDescent="0.2">
      <c r="B555" s="1631"/>
    </row>
    <row r="556" spans="2:2" s="1623" customFormat="1" x14ac:dyDescent="0.2">
      <c r="B556" s="1631"/>
    </row>
    <row r="557" spans="2:2" s="1623" customFormat="1" x14ac:dyDescent="0.2">
      <c r="B557" s="1631"/>
    </row>
    <row r="558" spans="2:2" s="1623" customFormat="1" x14ac:dyDescent="0.2">
      <c r="B558" s="1631"/>
    </row>
    <row r="559" spans="2:2" s="1623" customFormat="1" x14ac:dyDescent="0.2">
      <c r="B559" s="1631"/>
    </row>
    <row r="560" spans="2:2" s="1623" customFormat="1" x14ac:dyDescent="0.2">
      <c r="B560" s="1631"/>
    </row>
    <row r="561" spans="2:2" s="1623" customFormat="1" x14ac:dyDescent="0.2">
      <c r="B561" s="1631"/>
    </row>
    <row r="562" spans="2:2" s="1623" customFormat="1" x14ac:dyDescent="0.2">
      <c r="B562" s="1631"/>
    </row>
    <row r="563" spans="2:2" s="1623" customFormat="1" x14ac:dyDescent="0.2">
      <c r="B563" s="1631"/>
    </row>
    <row r="564" spans="2:2" s="1623" customFormat="1" x14ac:dyDescent="0.2">
      <c r="B564" s="1631"/>
    </row>
    <row r="565" spans="2:2" s="1623" customFormat="1" x14ac:dyDescent="0.2">
      <c r="B565" s="1631"/>
    </row>
    <row r="566" spans="2:2" s="1623" customFormat="1" x14ac:dyDescent="0.2">
      <c r="B566" s="1631"/>
    </row>
    <row r="567" spans="2:2" s="1623" customFormat="1" x14ac:dyDescent="0.2">
      <c r="B567" s="1631"/>
    </row>
    <row r="568" spans="2:2" s="1623" customFormat="1" x14ac:dyDescent="0.2">
      <c r="B568" s="1631"/>
    </row>
    <row r="569" spans="2:2" s="1623" customFormat="1" x14ac:dyDescent="0.2">
      <c r="B569" s="1631"/>
    </row>
    <row r="570" spans="2:2" s="1623" customFormat="1" x14ac:dyDescent="0.2">
      <c r="B570" s="1631"/>
    </row>
    <row r="571" spans="2:2" s="1623" customFormat="1" x14ac:dyDescent="0.2">
      <c r="B571" s="1631"/>
    </row>
    <row r="572" spans="2:2" s="1623" customFormat="1" x14ac:dyDescent="0.2">
      <c r="B572" s="1631"/>
    </row>
    <row r="573" spans="2:2" s="1623" customFormat="1" x14ac:dyDescent="0.2">
      <c r="B573" s="1631"/>
    </row>
    <row r="574" spans="2:2" s="1623" customFormat="1" x14ac:dyDescent="0.2">
      <c r="B574" s="1631"/>
    </row>
    <row r="575" spans="2:2" s="1623" customFormat="1" x14ac:dyDescent="0.2">
      <c r="B575" s="1631"/>
    </row>
    <row r="576" spans="2:2" s="1623" customFormat="1" x14ac:dyDescent="0.2">
      <c r="B576" s="1631"/>
    </row>
    <row r="577" spans="2:2" s="1623" customFormat="1" x14ac:dyDescent="0.2">
      <c r="B577" s="1631"/>
    </row>
    <row r="578" spans="2:2" s="1623" customFormat="1" x14ac:dyDescent="0.2">
      <c r="B578" s="1631"/>
    </row>
    <row r="579" spans="2:2" s="1623" customFormat="1" x14ac:dyDescent="0.2">
      <c r="B579" s="1631"/>
    </row>
    <row r="580" spans="2:2" s="1623" customFormat="1" x14ac:dyDescent="0.2">
      <c r="B580" s="1631"/>
    </row>
    <row r="581" spans="2:2" s="1623" customFormat="1" x14ac:dyDescent="0.2">
      <c r="B581" s="1631"/>
    </row>
    <row r="582" spans="2:2" s="1623" customFormat="1" x14ac:dyDescent="0.2">
      <c r="B582" s="1631"/>
    </row>
    <row r="583" spans="2:2" s="1623" customFormat="1" x14ac:dyDescent="0.2">
      <c r="B583" s="1631"/>
    </row>
    <row r="584" spans="2:2" s="1623" customFormat="1" x14ac:dyDescent="0.2">
      <c r="B584" s="1631"/>
    </row>
    <row r="585" spans="2:2" s="1623" customFormat="1" x14ac:dyDescent="0.2">
      <c r="B585" s="1631"/>
    </row>
    <row r="586" spans="2:2" s="1623" customFormat="1" x14ac:dyDescent="0.2">
      <c r="B586" s="1631"/>
    </row>
    <row r="587" spans="2:2" s="1623" customFormat="1" x14ac:dyDescent="0.2">
      <c r="B587" s="1631"/>
    </row>
    <row r="588" spans="2:2" s="1623" customFormat="1" x14ac:dyDescent="0.2">
      <c r="B588" s="1631"/>
    </row>
    <row r="589" spans="2:2" s="1623" customFormat="1" x14ac:dyDescent="0.2">
      <c r="B589" s="1631"/>
    </row>
    <row r="590" spans="2:2" s="1623" customFormat="1" x14ac:dyDescent="0.2">
      <c r="B590" s="1631"/>
    </row>
    <row r="591" spans="2:2" s="1623" customFormat="1" x14ac:dyDescent="0.2">
      <c r="B591" s="1631"/>
    </row>
    <row r="592" spans="2:2" s="1623" customFormat="1" x14ac:dyDescent="0.2">
      <c r="B592" s="1631"/>
    </row>
    <row r="593" spans="2:2" s="1623" customFormat="1" x14ac:dyDescent="0.2">
      <c r="B593" s="1631"/>
    </row>
    <row r="594" spans="2:2" s="1623" customFormat="1" x14ac:dyDescent="0.2">
      <c r="B594" s="1631"/>
    </row>
    <row r="595" spans="2:2" s="1623" customFormat="1" x14ac:dyDescent="0.2">
      <c r="B595" s="1631"/>
    </row>
    <row r="596" spans="2:2" s="1623" customFormat="1" x14ac:dyDescent="0.2">
      <c r="B596" s="1631"/>
    </row>
    <row r="597" spans="2:2" s="1623" customFormat="1" x14ac:dyDescent="0.2">
      <c r="B597" s="1631"/>
    </row>
    <row r="598" spans="2:2" s="1623" customFormat="1" x14ac:dyDescent="0.2">
      <c r="B598" s="1631"/>
    </row>
    <row r="599" spans="2:2" s="1623" customFormat="1" x14ac:dyDescent="0.2">
      <c r="B599" s="1631"/>
    </row>
    <row r="600" spans="2:2" s="1623" customFormat="1" x14ac:dyDescent="0.2">
      <c r="B600" s="1631"/>
    </row>
    <row r="601" spans="2:2" s="1623" customFormat="1" x14ac:dyDescent="0.2">
      <c r="B601" s="1631"/>
    </row>
    <row r="602" spans="2:2" s="1623" customFormat="1" x14ac:dyDescent="0.2">
      <c r="B602" s="1631"/>
    </row>
    <row r="603" spans="2:2" s="1623" customFormat="1" x14ac:dyDescent="0.2">
      <c r="B603" s="1631"/>
    </row>
    <row r="604" spans="2:2" s="1623" customFormat="1" x14ac:dyDescent="0.2">
      <c r="B604" s="1631"/>
    </row>
    <row r="605" spans="2:2" s="1623" customFormat="1" x14ac:dyDescent="0.2">
      <c r="B605" s="1631"/>
    </row>
    <row r="606" spans="2:2" s="1623" customFormat="1" x14ac:dyDescent="0.2">
      <c r="B606" s="1631"/>
    </row>
    <row r="607" spans="2:2" s="1623" customFormat="1" x14ac:dyDescent="0.2">
      <c r="B607" s="1631"/>
    </row>
    <row r="608" spans="2:2" s="1623" customFormat="1" x14ac:dyDescent="0.2">
      <c r="B608" s="1631"/>
    </row>
    <row r="609" spans="2:2" s="1623" customFormat="1" x14ac:dyDescent="0.2">
      <c r="B609" s="1631"/>
    </row>
    <row r="610" spans="2:2" s="1623" customFormat="1" x14ac:dyDescent="0.2">
      <c r="B610" s="1631"/>
    </row>
    <row r="611" spans="2:2" s="1623" customFormat="1" x14ac:dyDescent="0.2">
      <c r="B611" s="1631"/>
    </row>
    <row r="612" spans="2:2" s="1623" customFormat="1" x14ac:dyDescent="0.2">
      <c r="B612" s="1631"/>
    </row>
    <row r="613" spans="2:2" s="1623" customFormat="1" x14ac:dyDescent="0.2">
      <c r="B613" s="1631"/>
    </row>
    <row r="614" spans="2:2" s="1623" customFormat="1" x14ac:dyDescent="0.2">
      <c r="B614" s="1631"/>
    </row>
    <row r="615" spans="2:2" s="1623" customFormat="1" x14ac:dyDescent="0.2">
      <c r="B615" s="1631"/>
    </row>
    <row r="616" spans="2:2" s="1623" customFormat="1" x14ac:dyDescent="0.2">
      <c r="B616" s="1631"/>
    </row>
    <row r="617" spans="2:2" s="1623" customFormat="1" x14ac:dyDescent="0.2">
      <c r="B617" s="1631"/>
    </row>
    <row r="618" spans="2:2" s="1623" customFormat="1" x14ac:dyDescent="0.2">
      <c r="B618" s="1631"/>
    </row>
    <row r="619" spans="2:2" s="1623" customFormat="1" x14ac:dyDescent="0.2">
      <c r="B619" s="1631"/>
    </row>
    <row r="620" spans="2:2" s="1623" customFormat="1" x14ac:dyDescent="0.2">
      <c r="B620" s="1631"/>
    </row>
    <row r="621" spans="2:2" s="1623" customFormat="1" x14ac:dyDescent="0.2">
      <c r="B621" s="1631"/>
    </row>
    <row r="622" spans="2:2" s="1623" customFormat="1" x14ac:dyDescent="0.2">
      <c r="B622" s="1631"/>
    </row>
    <row r="623" spans="2:2" s="1623" customFormat="1" x14ac:dyDescent="0.2">
      <c r="B623" s="1631"/>
    </row>
    <row r="624" spans="2:2" s="1623" customFormat="1" x14ac:dyDescent="0.2">
      <c r="B624" s="1631"/>
    </row>
    <row r="625" spans="2:2" s="1623" customFormat="1" x14ac:dyDescent="0.2">
      <c r="B625" s="1631"/>
    </row>
    <row r="626" spans="2:2" s="1623" customFormat="1" x14ac:dyDescent="0.2">
      <c r="B626" s="1631"/>
    </row>
    <row r="627" spans="2:2" s="1623" customFormat="1" x14ac:dyDescent="0.2">
      <c r="B627" s="1631"/>
    </row>
    <row r="628" spans="2:2" s="1623" customFormat="1" x14ac:dyDescent="0.2">
      <c r="B628" s="1631"/>
    </row>
    <row r="629" spans="2:2" s="1623" customFormat="1" x14ac:dyDescent="0.2">
      <c r="B629" s="1631"/>
    </row>
    <row r="630" spans="2:2" s="1623" customFormat="1" x14ac:dyDescent="0.2">
      <c r="B630" s="1631"/>
    </row>
    <row r="631" spans="2:2" s="1623" customFormat="1" x14ac:dyDescent="0.2">
      <c r="B631" s="1631"/>
    </row>
    <row r="632" spans="2:2" s="1623" customFormat="1" x14ac:dyDescent="0.2">
      <c r="B632" s="1631"/>
    </row>
    <row r="633" spans="2:2" s="1623" customFormat="1" x14ac:dyDescent="0.2">
      <c r="B633" s="1631"/>
    </row>
    <row r="634" spans="2:2" s="1623" customFormat="1" x14ac:dyDescent="0.2">
      <c r="B634" s="1631"/>
    </row>
    <row r="635" spans="2:2" s="1623" customFormat="1" x14ac:dyDescent="0.2">
      <c r="B635" s="1631"/>
    </row>
    <row r="636" spans="2:2" s="1623" customFormat="1" x14ac:dyDescent="0.2">
      <c r="B636" s="1631"/>
    </row>
    <row r="637" spans="2:2" s="1623" customFormat="1" x14ac:dyDescent="0.2">
      <c r="B637" s="1631"/>
    </row>
    <row r="638" spans="2:2" s="1623" customFormat="1" x14ac:dyDescent="0.2">
      <c r="B638" s="1631"/>
    </row>
    <row r="639" spans="2:2" s="1623" customFormat="1" x14ac:dyDescent="0.2">
      <c r="B639" s="1631"/>
    </row>
    <row r="640" spans="2:2" s="1623" customFormat="1" x14ac:dyDescent="0.2">
      <c r="B640" s="1631"/>
    </row>
    <row r="641" spans="2:2" s="1623" customFormat="1" x14ac:dyDescent="0.2">
      <c r="B641" s="1631"/>
    </row>
    <row r="642" spans="2:2" s="1623" customFormat="1" x14ac:dyDescent="0.2">
      <c r="B642" s="1631"/>
    </row>
    <row r="643" spans="2:2" s="1623" customFormat="1" x14ac:dyDescent="0.2">
      <c r="B643" s="1631"/>
    </row>
    <row r="644" spans="2:2" s="1623" customFormat="1" x14ac:dyDescent="0.2">
      <c r="B644" s="1631"/>
    </row>
    <row r="645" spans="2:2" s="1623" customFormat="1" x14ac:dyDescent="0.2">
      <c r="B645" s="1631"/>
    </row>
    <row r="646" spans="2:2" s="1623" customFormat="1" x14ac:dyDescent="0.2">
      <c r="B646" s="1631"/>
    </row>
    <row r="647" spans="2:2" s="1623" customFormat="1" x14ac:dyDescent="0.2">
      <c r="B647" s="1631"/>
    </row>
    <row r="648" spans="2:2" s="1623" customFormat="1" x14ac:dyDescent="0.2">
      <c r="B648" s="1631"/>
    </row>
    <row r="649" spans="2:2" s="1623" customFormat="1" x14ac:dyDescent="0.2">
      <c r="B649" s="1631"/>
    </row>
    <row r="650" spans="2:2" s="1623" customFormat="1" x14ac:dyDescent="0.2">
      <c r="B650" s="1631"/>
    </row>
    <row r="651" spans="2:2" s="1623" customFormat="1" x14ac:dyDescent="0.2">
      <c r="B651" s="1631"/>
    </row>
    <row r="652" spans="2:2" s="1623" customFormat="1" x14ac:dyDescent="0.2">
      <c r="B652" s="1631"/>
    </row>
    <row r="653" spans="2:2" s="1623" customFormat="1" x14ac:dyDescent="0.2">
      <c r="B653" s="1631"/>
    </row>
    <row r="654" spans="2:2" s="1623" customFormat="1" x14ac:dyDescent="0.2">
      <c r="B654" s="1631"/>
    </row>
    <row r="655" spans="2:2" s="1623" customFormat="1" x14ac:dyDescent="0.2">
      <c r="B655" s="1631"/>
    </row>
    <row r="656" spans="2:2" s="1623" customFormat="1" x14ac:dyDescent="0.2">
      <c r="B656" s="1631"/>
    </row>
    <row r="657" spans="2:2" s="1623" customFormat="1" x14ac:dyDescent="0.2">
      <c r="B657" s="1631"/>
    </row>
    <row r="658" spans="2:2" s="1623" customFormat="1" x14ac:dyDescent="0.2">
      <c r="B658" s="1631"/>
    </row>
    <row r="659" spans="2:2" s="1623" customFormat="1" x14ac:dyDescent="0.2">
      <c r="B659" s="1631"/>
    </row>
    <row r="660" spans="2:2" s="1623" customFormat="1" x14ac:dyDescent="0.2">
      <c r="B660" s="1631"/>
    </row>
    <row r="661" spans="2:2" s="1623" customFormat="1" x14ac:dyDescent="0.2">
      <c r="B661" s="1631"/>
    </row>
    <row r="662" spans="2:2" s="1623" customFormat="1" x14ac:dyDescent="0.2">
      <c r="B662" s="1631"/>
    </row>
    <row r="663" spans="2:2" s="1623" customFormat="1" x14ac:dyDescent="0.2">
      <c r="B663" s="1631"/>
    </row>
    <row r="664" spans="2:2" s="1623" customFormat="1" x14ac:dyDescent="0.2">
      <c r="B664" s="1631"/>
    </row>
    <row r="665" spans="2:2" s="1623" customFormat="1" x14ac:dyDescent="0.2">
      <c r="B665" s="1631"/>
    </row>
    <row r="666" spans="2:2" s="1623" customFormat="1" x14ac:dyDescent="0.2">
      <c r="B666" s="1631"/>
    </row>
    <row r="667" spans="2:2" s="1623" customFormat="1" x14ac:dyDescent="0.2">
      <c r="B667" s="1631"/>
    </row>
    <row r="668" spans="2:2" s="1623" customFormat="1" x14ac:dyDescent="0.2">
      <c r="B668" s="1631"/>
    </row>
    <row r="669" spans="2:2" s="1623" customFormat="1" x14ac:dyDescent="0.2">
      <c r="B669" s="1631"/>
    </row>
    <row r="670" spans="2:2" s="1623" customFormat="1" x14ac:dyDescent="0.2">
      <c r="B670" s="1631"/>
    </row>
    <row r="671" spans="2:2" s="1623" customFormat="1" x14ac:dyDescent="0.2">
      <c r="B671" s="1631"/>
    </row>
    <row r="672" spans="2:2" s="1623" customFormat="1" x14ac:dyDescent="0.2">
      <c r="B672" s="1631"/>
    </row>
    <row r="673" spans="2:2" s="1623" customFormat="1" x14ac:dyDescent="0.2">
      <c r="B673" s="1631"/>
    </row>
    <row r="674" spans="2:2" s="1623" customFormat="1" x14ac:dyDescent="0.2">
      <c r="B674" s="1631"/>
    </row>
    <row r="675" spans="2:2" s="1623" customFormat="1" x14ac:dyDescent="0.2">
      <c r="B675" s="1631"/>
    </row>
    <row r="676" spans="2:2" s="1623" customFormat="1" x14ac:dyDescent="0.2">
      <c r="B676" s="1631"/>
    </row>
    <row r="677" spans="2:2" s="1623" customFormat="1" x14ac:dyDescent="0.2">
      <c r="B677" s="1631"/>
    </row>
    <row r="678" spans="2:2" s="1623" customFormat="1" x14ac:dyDescent="0.2">
      <c r="B678" s="1631"/>
    </row>
    <row r="679" spans="2:2" s="1623" customFormat="1" x14ac:dyDescent="0.2">
      <c r="B679" s="1631"/>
    </row>
    <row r="680" spans="2:2" s="1623" customFormat="1" x14ac:dyDescent="0.2">
      <c r="B680" s="1631"/>
    </row>
    <row r="681" spans="2:2" s="1623" customFormat="1" x14ac:dyDescent="0.2">
      <c r="B681" s="1631"/>
    </row>
    <row r="682" spans="2:2" s="1623" customFormat="1" x14ac:dyDescent="0.2">
      <c r="B682" s="1631"/>
    </row>
    <row r="683" spans="2:2" s="1623" customFormat="1" x14ac:dyDescent="0.2">
      <c r="B683" s="1631"/>
    </row>
    <row r="684" spans="2:2" s="1623" customFormat="1" x14ac:dyDescent="0.2">
      <c r="B684" s="1631"/>
    </row>
    <row r="685" spans="2:2" s="1623" customFormat="1" x14ac:dyDescent="0.2">
      <c r="B685" s="1631"/>
    </row>
    <row r="686" spans="2:2" s="1623" customFormat="1" x14ac:dyDescent="0.2">
      <c r="B686" s="1631"/>
    </row>
    <row r="687" spans="2:2" s="1623" customFormat="1" x14ac:dyDescent="0.2">
      <c r="B687" s="1631"/>
    </row>
    <row r="688" spans="2:2" s="1623" customFormat="1" x14ac:dyDescent="0.2">
      <c r="B688" s="1631"/>
    </row>
    <row r="689" spans="2:2" s="1623" customFormat="1" x14ac:dyDescent="0.2">
      <c r="B689" s="1631"/>
    </row>
    <row r="690" spans="2:2" s="1623" customFormat="1" x14ac:dyDescent="0.2">
      <c r="B690" s="1631"/>
    </row>
    <row r="691" spans="2:2" s="1623" customFormat="1" x14ac:dyDescent="0.2">
      <c r="B691" s="1631"/>
    </row>
    <row r="692" spans="2:2" s="1623" customFormat="1" x14ac:dyDescent="0.2">
      <c r="B692" s="1631"/>
    </row>
    <row r="693" spans="2:2" s="1623" customFormat="1" x14ac:dyDescent="0.2">
      <c r="B693" s="1631"/>
    </row>
    <row r="694" spans="2:2" s="1623" customFormat="1" x14ac:dyDescent="0.2">
      <c r="B694" s="1631"/>
    </row>
    <row r="695" spans="2:2" s="1623" customFormat="1" x14ac:dyDescent="0.2">
      <c r="B695" s="1631"/>
    </row>
    <row r="696" spans="2:2" s="1623" customFormat="1" x14ac:dyDescent="0.2">
      <c r="B696" s="1631"/>
    </row>
    <row r="697" spans="2:2" s="1623" customFormat="1" x14ac:dyDescent="0.2">
      <c r="B697" s="1631"/>
    </row>
    <row r="698" spans="2:2" s="1623" customFormat="1" x14ac:dyDescent="0.2">
      <c r="B698" s="1631"/>
    </row>
    <row r="699" spans="2:2" s="1623" customFormat="1" x14ac:dyDescent="0.2">
      <c r="B699" s="1631"/>
    </row>
    <row r="700" spans="2:2" s="1623" customFormat="1" x14ac:dyDescent="0.2">
      <c r="B700" s="1631"/>
    </row>
    <row r="701" spans="2:2" s="1623" customFormat="1" x14ac:dyDescent="0.2">
      <c r="B701" s="1631"/>
    </row>
    <row r="702" spans="2:2" s="1623" customFormat="1" x14ac:dyDescent="0.2">
      <c r="B702" s="1631"/>
    </row>
    <row r="703" spans="2:2" s="1623" customFormat="1" x14ac:dyDescent="0.2">
      <c r="B703" s="1631"/>
    </row>
    <row r="704" spans="2:2" s="1623" customFormat="1" x14ac:dyDescent="0.2">
      <c r="B704" s="1631"/>
    </row>
    <row r="705" spans="2:2" s="1623" customFormat="1" x14ac:dyDescent="0.2">
      <c r="B705" s="1631"/>
    </row>
    <row r="706" spans="2:2" s="1623" customFormat="1" x14ac:dyDescent="0.2">
      <c r="B706" s="1631"/>
    </row>
  </sheetData>
  <sheetProtection sheet="1" objects="1" scenarios="1"/>
  <pageMargins left="0.7" right="0.7" top="0.75" bottom="0.75" header="0.3" footer="0.3"/>
  <pageSetup orientation="portrait"/>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tabColor theme="2" tint="-0.499984740745262"/>
  </sheetPr>
  <dimension ref="A1:U284"/>
  <sheetViews>
    <sheetView showGridLines="0" topLeftCell="A154" zoomScale="70" zoomScaleNormal="70" zoomScaleSheetLayoutView="85" zoomScalePageLayoutView="70" workbookViewId="0">
      <selection activeCell="I103" sqref="I103"/>
    </sheetView>
  </sheetViews>
  <sheetFormatPr baseColWidth="10" defaultColWidth="12" defaultRowHeight="12.75" x14ac:dyDescent="0.2"/>
  <cols>
    <col min="1" max="1" width="17.1640625" style="964" bestFit="1" customWidth="1"/>
    <col min="2" max="2" width="12" style="964"/>
    <col min="3" max="3" width="18.5" style="964" customWidth="1"/>
    <col min="4" max="4" width="13" style="964" bestFit="1" customWidth="1"/>
    <col min="5" max="5" width="9.6640625" style="964" customWidth="1"/>
    <col min="6" max="6" width="10.1640625" style="964" customWidth="1"/>
    <col min="7" max="7" width="12" style="965"/>
    <col min="8" max="8" width="9.1640625" style="966" customWidth="1"/>
    <col min="9" max="9" width="14.83203125" style="964" customWidth="1"/>
    <col min="10" max="11" width="10.5" style="964" customWidth="1"/>
    <col min="12" max="12" width="10.83203125" style="964" customWidth="1"/>
    <col min="13" max="13" width="11.5" style="964" bestFit="1" customWidth="1"/>
    <col min="14" max="14" width="10.83203125" style="964" customWidth="1"/>
    <col min="15" max="15" width="11.1640625" style="966" customWidth="1"/>
    <col min="16" max="17" width="10.6640625" style="964" bestFit="1" customWidth="1"/>
    <col min="18" max="18" width="10" style="964" customWidth="1"/>
    <col min="19" max="16384" width="12" style="964"/>
  </cols>
  <sheetData>
    <row r="1" spans="1:18" ht="13.5" thickBot="1" x14ac:dyDescent="0.25"/>
    <row r="2" spans="1:18" ht="16.5" thickBot="1" x14ac:dyDescent="0.3">
      <c r="A2" s="2233" t="str">
        <f>'TRAD-Prices 10-2011 GPRM'!B2</f>
        <v>PRIX des ARV en Dollar US $ d'après le Rapport GPRM 10-2011 pour les pays à faibles revenus (Low Income Countries)</v>
      </c>
      <c r="B2" s="2234"/>
      <c r="C2" s="2234"/>
      <c r="D2" s="2234"/>
      <c r="E2" s="2234"/>
      <c r="F2" s="2234"/>
      <c r="G2" s="2234"/>
      <c r="H2" s="2234"/>
      <c r="I2" s="2234"/>
      <c r="J2" s="2234"/>
      <c r="K2" s="2234"/>
      <c r="L2" s="2234"/>
      <c r="M2" s="2234"/>
      <c r="N2" s="2234"/>
      <c r="O2" s="2234"/>
      <c r="P2" s="2234"/>
      <c r="Q2" s="2234"/>
      <c r="R2" s="2235"/>
    </row>
    <row r="4" spans="1:18" ht="13.5" thickBot="1" x14ac:dyDescent="0.25"/>
    <row r="5" spans="1:18" ht="16.5" thickBot="1" x14ac:dyDescent="0.3">
      <c r="A5" s="2236" t="str">
        <f>'TRAD-Prices 10-2011 GPRM'!B3</f>
        <v>NOTE D'INFORMATION</v>
      </c>
      <c r="B5" s="2237"/>
      <c r="C5" s="2237"/>
      <c r="D5" s="2237"/>
      <c r="E5" s="2237"/>
      <c r="F5" s="2237"/>
      <c r="G5" s="2237"/>
      <c r="H5" s="2237"/>
      <c r="I5" s="2237"/>
      <c r="J5" s="2237"/>
      <c r="K5" s="2237"/>
      <c r="L5" s="2237"/>
      <c r="M5" s="2237"/>
      <c r="N5" s="2237"/>
      <c r="O5" s="2237"/>
      <c r="P5" s="2237"/>
      <c r="Q5" s="2237"/>
      <c r="R5" s="2238"/>
    </row>
    <row r="6" spans="1:18" x14ac:dyDescent="0.2">
      <c r="B6" s="967"/>
    </row>
    <row r="7" spans="1:18" x14ac:dyDescent="0.2">
      <c r="B7" s="967" t="str">
        <f>'TRAD-Prices 10-2011 GPRM'!B4</f>
        <v>Les données présentées dans ce tableau sont issus du rapport du GPRM, OMS, d'octobre 2011 (Source  http://www.who.int/hiv/amds/)</v>
      </c>
      <c r="L7" s="968"/>
    </row>
    <row r="8" spans="1:18" x14ac:dyDescent="0.2">
      <c r="B8" s="967" t="str">
        <f>'TRAD-Prices 10-2011 GPRM'!B5</f>
        <v>Lorsque les données n'étaient pas présentes dans le rapport 12-2010, nous avons gardé les données du rapport précédent.</v>
      </c>
      <c r="L8" s="968"/>
    </row>
    <row r="9" spans="1:18" x14ac:dyDescent="0.2">
      <c r="B9" s="967" t="str">
        <f>'TRAD-Prices 10-2011 GPRM'!B6</f>
        <v>Les calculs ont été faits en rapportant les prix annuels par jour et par nombre de prise</v>
      </c>
    </row>
    <row r="10" spans="1:18" x14ac:dyDescent="0.2">
      <c r="B10" s="967" t="str">
        <f>'TRAD-Prices 10-2011 GPRM'!B7</f>
        <v>Pour les ARV pédiatriques, 2 possibilités existent dans le rapport GPRM, pour les enfants de 5 et de 10 kg. Nous avons mentionné les 2 prix, qui varient peu entre eux.</v>
      </c>
    </row>
    <row r="11" spans="1:18" x14ac:dyDescent="0.2">
      <c r="B11" s="967" t="str">
        <f>'TRAD-Prices 10-2011 GPRM'!B8</f>
        <v>Les quantités de prises par boites ou les volumes des flacons peuvent changer en fonction des fournisseurs. Des emballages secondaires peuvent aussi varier (LPV/r sol. buv.)</v>
      </c>
    </row>
    <row r="12" spans="1:18" x14ac:dyDescent="0.2">
      <c r="B12" s="967" t="str">
        <f>'TRAD-Prices 10-2011 GPRM'!B9</f>
        <v>Attention les cellules contiennent des formules. Si vous copiez les données, pensées à ne copier que les valeurs</v>
      </c>
    </row>
    <row r="14" spans="1:18" s="976" customFormat="1" x14ac:dyDescent="0.2">
      <c r="A14" s="964"/>
      <c r="B14" s="969" t="str">
        <f>'TRAD-Prices 10-2011 GPRM'!B10</f>
        <v>Commentaire mentionné dans le rapport GPRM sur la nature des prix présentés</v>
      </c>
      <c r="C14" s="969"/>
      <c r="D14" s="969"/>
      <c r="E14" s="970"/>
      <c r="F14" s="971"/>
      <c r="G14" s="972"/>
      <c r="H14" s="973"/>
      <c r="I14" s="974"/>
      <c r="J14" s="974"/>
      <c r="K14" s="974"/>
      <c r="L14" s="974"/>
      <c r="M14" s="974"/>
      <c r="N14" s="974"/>
      <c r="O14" s="973"/>
      <c r="P14" s="974"/>
      <c r="Q14" s="974"/>
      <c r="R14" s="975"/>
    </row>
    <row r="15" spans="1:18" s="976" customFormat="1" x14ac:dyDescent="0.2">
      <c r="A15" s="964"/>
      <c r="B15" s="964"/>
      <c r="C15" s="964"/>
      <c r="D15" s="964"/>
      <c r="E15" s="977"/>
      <c r="F15" s="978"/>
      <c r="G15" s="979"/>
      <c r="H15" s="980"/>
      <c r="I15" s="975"/>
      <c r="J15" s="975"/>
      <c r="K15" s="975"/>
      <c r="L15" s="975"/>
      <c r="M15" s="975"/>
      <c r="N15" s="975"/>
      <c r="O15" s="980"/>
      <c r="P15" s="975"/>
      <c r="Q15" s="975"/>
      <c r="R15" s="975"/>
    </row>
    <row r="16" spans="1:18" s="976" customFormat="1" ht="39.75" customHeight="1" x14ac:dyDescent="0.2">
      <c r="B16" s="2246" t="str">
        <f>'TRAD-Prices 10-2011 GPRM'!B11</f>
        <v>Les prix mentionnés dans ce rapport sont ceux  des transactions internationales, et non ceux  payés par le bénéficiaire au niveau des pays. Les prix du bénéficiaire sont souvent plus élevés que ceux des transactions internationales en raison des frais de douane, taxes, frais de transport, et les marges. Toutefois, dans certains cas, les prix de revient pourraient être inférieurs aux prix des transactions internationales en raison des subventions. Pour avoir plus d'informations sur les prix de revient, consultez  le site Web de Health Action International à http://www.haiweb.org/medicineprices/16.</v>
      </c>
      <c r="C16" s="2246"/>
      <c r="D16" s="2246"/>
      <c r="E16" s="2246"/>
      <c r="F16" s="2246"/>
      <c r="G16" s="2246"/>
      <c r="H16" s="2246"/>
      <c r="I16" s="2246"/>
      <c r="J16" s="2246"/>
      <c r="K16" s="2246"/>
      <c r="L16" s="2246"/>
      <c r="M16" s="2246"/>
      <c r="N16" s="2246"/>
      <c r="O16" s="2246"/>
      <c r="P16" s="2246"/>
      <c r="Q16" s="2246"/>
    </row>
    <row r="17" spans="1:18" s="976" customFormat="1" x14ac:dyDescent="0.2"/>
    <row r="18" spans="1:18" s="976" customFormat="1" x14ac:dyDescent="0.2">
      <c r="B18" s="976" t="str">
        <f>'TRAD-Prices 10-2011 GPRM'!B12</f>
        <v>Les taxes, les tarifs, et / ou Termes Commerciaux Internationaux (INCOTERMS: coût ou conditions de transport, d'assurance, etc) ne sont pas déclarés et ne sont donc pas considérés † †.</v>
      </c>
    </row>
    <row r="19" spans="1:18" s="976" customFormat="1" x14ac:dyDescent="0.2"/>
    <row r="20" spans="1:18" s="976" customFormat="1" x14ac:dyDescent="0.2">
      <c r="B20" s="964" t="str">
        <f>'TRAD-Prices 10-2011 GPRM'!B13</f>
        <v>Les  précédentes  enquêtes menées par  l'Office de la comptabilité et des sciences de gestion de la santé du gouvernement des États-Unis a suggéré</v>
      </c>
    </row>
    <row r="21" spans="1:18" s="976" customFormat="1" x14ac:dyDescent="0.2">
      <c r="B21" s="964" t="str">
        <f>'TRAD-Prices 10-2011 GPRM'!B14</f>
        <v xml:space="preserve">que toute variation dans les INCOTERMS constituait une augmentation de 3% -15% sur la fabrication ou prix 12 ex works (EXW) </v>
      </c>
    </row>
    <row r="22" spans="1:18" s="976" customFormat="1" ht="13.5" thickBot="1" x14ac:dyDescent="0.25">
      <c r="B22" s="964"/>
    </row>
    <row r="23" spans="1:18" ht="16.5" thickBot="1" x14ac:dyDescent="0.3">
      <c r="A23" s="2236" t="str">
        <f>'TRAD-Prices 10-2011 GPRM'!B15</f>
        <v>FORMES ADULTES</v>
      </c>
      <c r="B23" s="2237"/>
      <c r="C23" s="2237"/>
      <c r="D23" s="2237"/>
      <c r="E23" s="2237"/>
      <c r="F23" s="2237"/>
      <c r="G23" s="2237"/>
      <c r="H23" s="2237"/>
      <c r="I23" s="2237"/>
      <c r="J23" s="2237"/>
      <c r="K23" s="2237"/>
      <c r="L23" s="2237"/>
      <c r="M23" s="2237"/>
      <c r="N23" s="2237"/>
      <c r="O23" s="2237"/>
      <c r="P23" s="2237"/>
      <c r="Q23" s="2237"/>
      <c r="R23" s="2238"/>
    </row>
    <row r="24" spans="1:18" ht="13.5" thickBot="1" x14ac:dyDescent="0.25"/>
    <row r="25" spans="1:18" s="981" customFormat="1" ht="39" customHeight="1" thickBot="1" x14ac:dyDescent="0.25">
      <c r="C25" s="982"/>
      <c r="D25" s="982"/>
      <c r="E25" s="982"/>
      <c r="F25" s="983"/>
      <c r="G25" s="984"/>
      <c r="H25" s="985" t="str">
        <f>'TRAD-Prices 10-2011 GPRM'!B16</f>
        <v>Qtés / boites - flacons</v>
      </c>
      <c r="I25" s="2242" t="str">
        <f>'TRAD-Prices 10-2011 GPRM'!B23</f>
        <v>Prix annuel / patient (US$)</v>
      </c>
      <c r="J25" s="2243"/>
      <c r="K25" s="2244"/>
      <c r="L25" s="2243" t="str">
        <f>'TRAD-Prices 10-2011 GPRM'!B24</f>
        <v>Prix / unité de prise  (US$)</v>
      </c>
      <c r="M25" s="2243"/>
      <c r="N25" s="2243"/>
      <c r="O25" s="2242" t="str">
        <f>'TRAD-Prices 10-2011 GPRM'!B25</f>
        <v>Prix / boite  (US$)</v>
      </c>
      <c r="P25" s="2243"/>
      <c r="Q25" s="2244"/>
    </row>
    <row r="26" spans="1:18" s="981" customFormat="1" ht="39" thickBot="1" x14ac:dyDescent="0.25">
      <c r="C26" s="986" t="str">
        <f>'TRAD-Prices 10-2011 GPRM'!B17</f>
        <v>DCI</v>
      </c>
      <c r="D26" s="987" t="str">
        <f>'TRAD-Prices 10-2011 GPRM'!B18</f>
        <v>Dosage</v>
      </c>
      <c r="E26" s="988" t="str">
        <f>'TRAD-Prices 10-2011 GPRM'!B20</f>
        <v>Unité dosage</v>
      </c>
      <c r="F26" s="989" t="str">
        <f>'TRAD-Prices 10-2011 GPRM'!B21</f>
        <v>Forme</v>
      </c>
      <c r="G26" s="990" t="str">
        <f>'TRAD-Prices 10-2011 GPRM'!B22</f>
        <v>Nb d'unité de prises / jour</v>
      </c>
      <c r="H26" s="991"/>
      <c r="I26" s="992" t="str">
        <f>'TRAD-Prices 10-2011 GPRM'!B26</f>
        <v>Médiane</v>
      </c>
      <c r="J26" s="993" t="s">
        <v>157</v>
      </c>
      <c r="K26" s="994" t="s">
        <v>158</v>
      </c>
      <c r="L26" s="995" t="str">
        <f>'TRAD-Prices 10-2011 GPRM'!B26</f>
        <v>Médiane</v>
      </c>
      <c r="M26" s="996" t="s">
        <v>157</v>
      </c>
      <c r="N26" s="997" t="s">
        <v>158</v>
      </c>
      <c r="O26" s="995" t="str">
        <f>'TRAD-Prices 10-2011 GPRM'!B26</f>
        <v>Médiane</v>
      </c>
      <c r="P26" s="996" t="s">
        <v>157</v>
      </c>
      <c r="Q26" s="997" t="s">
        <v>158</v>
      </c>
      <c r="R26" s="998"/>
    </row>
    <row r="27" spans="1:18" s="976" customFormat="1" x14ac:dyDescent="0.2">
      <c r="A27" s="999" t="str">
        <f>'TRAD-Prices 10-2011 GPRM'!B19</f>
        <v>1ères lignes</v>
      </c>
      <c r="B27" s="999" t="s">
        <v>159</v>
      </c>
      <c r="C27" s="1000" t="s">
        <v>7</v>
      </c>
      <c r="D27" s="1001" t="s">
        <v>136</v>
      </c>
      <c r="E27" s="1001" t="s">
        <v>160</v>
      </c>
      <c r="F27" s="1002" t="s">
        <v>8</v>
      </c>
      <c r="G27" s="1003">
        <v>2</v>
      </c>
      <c r="H27" s="1004">
        <v>60</v>
      </c>
      <c r="I27" s="1005">
        <v>131</v>
      </c>
      <c r="J27" s="1006">
        <v>124</v>
      </c>
      <c r="K27" s="1007">
        <v>139</v>
      </c>
      <c r="L27" s="1008">
        <f>I27/365/$G27</f>
        <v>0.17945205479452056</v>
      </c>
      <c r="M27" s="1009">
        <f>J27/365/$G27</f>
        <v>0.16986301369863013</v>
      </c>
      <c r="N27" s="1010">
        <f>K27/365/$G27</f>
        <v>0.19041095890410958</v>
      </c>
      <c r="O27" s="1008">
        <f>L27*$H27</f>
        <v>10.767123287671234</v>
      </c>
      <c r="P27" s="1009">
        <f>M27*$H27</f>
        <v>10.191780821917808</v>
      </c>
      <c r="Q27" s="1010">
        <f>N27*$H27</f>
        <v>11.424657534246576</v>
      </c>
    </row>
    <row r="28" spans="1:18" s="976" customFormat="1" x14ac:dyDescent="0.2">
      <c r="A28" s="1011"/>
      <c r="B28" s="1011"/>
      <c r="C28" s="1012" t="s">
        <v>11</v>
      </c>
      <c r="D28" s="1013" t="s">
        <v>137</v>
      </c>
      <c r="E28" s="1013" t="s">
        <v>160</v>
      </c>
      <c r="F28" s="1014" t="s">
        <v>8</v>
      </c>
      <c r="G28" s="1015">
        <v>2</v>
      </c>
      <c r="H28" s="1016">
        <v>60</v>
      </c>
      <c r="I28" s="1017">
        <v>101</v>
      </c>
      <c r="J28" s="1018">
        <v>100</v>
      </c>
      <c r="K28" s="1019">
        <v>105</v>
      </c>
      <c r="L28" s="1020">
        <f t="shared" ref="L28:N64" si="0">I28/365/$G28</f>
        <v>0.13835616438356163</v>
      </c>
      <c r="M28" s="1021">
        <f t="shared" si="0"/>
        <v>0.13698630136986301</v>
      </c>
      <c r="N28" s="1022">
        <f t="shared" si="0"/>
        <v>0.14383561643835616</v>
      </c>
      <c r="O28" s="1020">
        <f t="shared" ref="O28:Q64" si="1">L28*$H28</f>
        <v>8.3013698630136972</v>
      </c>
      <c r="P28" s="1021">
        <f t="shared" si="1"/>
        <v>8.2191780821917799</v>
      </c>
      <c r="Q28" s="1022">
        <f t="shared" si="1"/>
        <v>8.6301369863013697</v>
      </c>
    </row>
    <row r="29" spans="1:18" s="976" customFormat="1" x14ac:dyDescent="0.2">
      <c r="A29" s="1011"/>
      <c r="B29" s="1011"/>
      <c r="C29" s="1012" t="s">
        <v>50</v>
      </c>
      <c r="D29" s="1013" t="s">
        <v>138</v>
      </c>
      <c r="E29" s="1013" t="s">
        <v>160</v>
      </c>
      <c r="F29" s="1014" t="s">
        <v>8</v>
      </c>
      <c r="G29" s="1015">
        <v>2</v>
      </c>
      <c r="H29" s="1016">
        <v>60</v>
      </c>
      <c r="I29" s="1017">
        <v>62</v>
      </c>
      <c r="J29" s="1018">
        <v>59</v>
      </c>
      <c r="K29" s="1019">
        <v>68</v>
      </c>
      <c r="L29" s="1020">
        <f t="shared" si="0"/>
        <v>8.4931506849315067E-2</v>
      </c>
      <c r="M29" s="1021">
        <f t="shared" si="0"/>
        <v>8.0821917808219179E-2</v>
      </c>
      <c r="N29" s="1022">
        <f t="shared" si="0"/>
        <v>9.3150684931506855E-2</v>
      </c>
      <c r="O29" s="1020">
        <f t="shared" si="1"/>
        <v>5.095890410958904</v>
      </c>
      <c r="P29" s="1021">
        <f t="shared" si="1"/>
        <v>4.8493150684931505</v>
      </c>
      <c r="Q29" s="1022">
        <f t="shared" si="1"/>
        <v>5.5890410958904111</v>
      </c>
    </row>
    <row r="30" spans="1:18" s="976" customFormat="1" x14ac:dyDescent="0.2">
      <c r="A30" s="1011"/>
      <c r="B30" s="1011"/>
      <c r="C30" s="1012" t="s">
        <v>81</v>
      </c>
      <c r="D30" s="1013" t="s">
        <v>139</v>
      </c>
      <c r="E30" s="1013" t="s">
        <v>160</v>
      </c>
      <c r="F30" s="1014" t="s">
        <v>8</v>
      </c>
      <c r="G30" s="1015">
        <v>2</v>
      </c>
      <c r="H30" s="1016">
        <v>60</v>
      </c>
      <c r="I30" s="1017">
        <v>37</v>
      </c>
      <c r="J30" s="1018">
        <v>37</v>
      </c>
      <c r="K30" s="1019">
        <v>37</v>
      </c>
      <c r="L30" s="1020">
        <f t="shared" si="0"/>
        <v>5.0684931506849315E-2</v>
      </c>
      <c r="M30" s="1021">
        <f t="shared" si="0"/>
        <v>5.0684931506849315E-2</v>
      </c>
      <c r="N30" s="1022">
        <f t="shared" si="0"/>
        <v>5.0684931506849315E-2</v>
      </c>
      <c r="O30" s="1020">
        <f t="shared" si="1"/>
        <v>3.0410958904109591</v>
      </c>
      <c r="P30" s="1021">
        <f t="shared" si="1"/>
        <v>3.0410958904109591</v>
      </c>
      <c r="Q30" s="1022">
        <f t="shared" si="1"/>
        <v>3.0410958904109591</v>
      </c>
    </row>
    <row r="31" spans="1:18" s="976" customFormat="1" x14ac:dyDescent="0.2">
      <c r="A31" s="1011"/>
      <c r="B31" s="1011"/>
      <c r="C31" s="1012" t="s">
        <v>140</v>
      </c>
      <c r="D31" s="1013" t="s">
        <v>141</v>
      </c>
      <c r="E31" s="1013" t="s">
        <v>160</v>
      </c>
      <c r="F31" s="1014" t="s">
        <v>8</v>
      </c>
      <c r="G31" s="1015">
        <v>2</v>
      </c>
      <c r="H31" s="1016">
        <v>60</v>
      </c>
      <c r="I31" s="1017">
        <v>365</v>
      </c>
      <c r="J31" s="1018">
        <v>365</v>
      </c>
      <c r="K31" s="1019">
        <v>365</v>
      </c>
      <c r="L31" s="1020">
        <f t="shared" si="0"/>
        <v>0.5</v>
      </c>
      <c r="M31" s="1021">
        <f t="shared" si="0"/>
        <v>0.5</v>
      </c>
      <c r="N31" s="1022">
        <f t="shared" si="0"/>
        <v>0.5</v>
      </c>
      <c r="O31" s="1020">
        <f t="shared" si="1"/>
        <v>30</v>
      </c>
      <c r="P31" s="1021">
        <f t="shared" si="1"/>
        <v>30</v>
      </c>
      <c r="Q31" s="1022">
        <f t="shared" si="1"/>
        <v>30</v>
      </c>
    </row>
    <row r="32" spans="1:18" s="976" customFormat="1" x14ac:dyDescent="0.2">
      <c r="A32" s="1011"/>
      <c r="B32" s="1011"/>
      <c r="C32" s="1012" t="s">
        <v>731</v>
      </c>
      <c r="D32" s="1013" t="s">
        <v>740</v>
      </c>
      <c r="E32" s="1013" t="s">
        <v>160</v>
      </c>
      <c r="F32" s="1014" t="s">
        <v>742</v>
      </c>
      <c r="G32" s="1015">
        <v>2</v>
      </c>
      <c r="H32" s="1016">
        <v>60</v>
      </c>
      <c r="I32" s="1017">
        <v>216</v>
      </c>
      <c r="J32" s="1018">
        <v>216</v>
      </c>
      <c r="K32" s="1019">
        <v>216</v>
      </c>
      <c r="L32" s="1020">
        <f>I32/365/$G32</f>
        <v>0.29589041095890412</v>
      </c>
      <c r="M32" s="1021">
        <f>J32/365/$G32</f>
        <v>0.29589041095890412</v>
      </c>
      <c r="N32" s="1022">
        <f>K32/365/$G32</f>
        <v>0.29589041095890412</v>
      </c>
      <c r="O32" s="1020">
        <f>L32*$H32</f>
        <v>17.753424657534246</v>
      </c>
      <c r="P32" s="1021">
        <f>M32*$H32</f>
        <v>17.753424657534246</v>
      </c>
      <c r="Q32" s="1022">
        <f>N32*$H32</f>
        <v>17.753424657534246</v>
      </c>
      <c r="R32" s="976" t="e">
        <f>'TRAD-Prices 10-2011 GPRM'!#REF!</f>
        <v>#REF!</v>
      </c>
    </row>
    <row r="33" spans="1:17" s="976" customFormat="1" x14ac:dyDescent="0.2">
      <c r="A33" s="1011"/>
      <c r="B33" s="1011"/>
      <c r="C33" s="1012" t="s">
        <v>586</v>
      </c>
      <c r="D33" s="1013" t="s">
        <v>587</v>
      </c>
      <c r="E33" s="1013" t="s">
        <v>160</v>
      </c>
      <c r="F33" s="1014" t="s">
        <v>8</v>
      </c>
      <c r="G33" s="1015">
        <v>1</v>
      </c>
      <c r="H33" s="1016">
        <v>30</v>
      </c>
      <c r="I33" s="1017">
        <v>274</v>
      </c>
      <c r="J33" s="1018">
        <v>271</v>
      </c>
      <c r="K33" s="1019">
        <v>291</v>
      </c>
      <c r="L33" s="1020">
        <f t="shared" si="0"/>
        <v>0.75068493150684934</v>
      </c>
      <c r="M33" s="1021">
        <f t="shared" si="0"/>
        <v>0.74246575342465748</v>
      </c>
      <c r="N33" s="1022">
        <f t="shared" si="0"/>
        <v>0.79726027397260268</v>
      </c>
      <c r="O33" s="1020">
        <f t="shared" si="1"/>
        <v>22.520547945205479</v>
      </c>
      <c r="P33" s="1021">
        <f t="shared" si="1"/>
        <v>22.273972602739725</v>
      </c>
      <c r="Q33" s="1022">
        <f t="shared" si="1"/>
        <v>23.917808219178081</v>
      </c>
    </row>
    <row r="34" spans="1:17" s="976" customFormat="1" x14ac:dyDescent="0.2">
      <c r="A34" s="1011"/>
      <c r="B34" s="1011"/>
      <c r="C34" s="1012" t="s">
        <v>200</v>
      </c>
      <c r="D34" s="1013" t="s">
        <v>399</v>
      </c>
      <c r="E34" s="1013" t="s">
        <v>160</v>
      </c>
      <c r="F34" s="1014" t="s">
        <v>8</v>
      </c>
      <c r="G34" s="1015">
        <v>1</v>
      </c>
      <c r="H34" s="1016">
        <v>30</v>
      </c>
      <c r="I34" s="1017">
        <v>242</v>
      </c>
      <c r="J34" s="1018">
        <v>242</v>
      </c>
      <c r="K34" s="1019">
        <v>242</v>
      </c>
      <c r="L34" s="1020">
        <f t="shared" si="0"/>
        <v>0.66301369863013704</v>
      </c>
      <c r="M34" s="1021">
        <f t="shared" si="0"/>
        <v>0.66301369863013704</v>
      </c>
      <c r="N34" s="1022">
        <f t="shared" si="0"/>
        <v>0.66301369863013704</v>
      </c>
      <c r="O34" s="1020">
        <f t="shared" si="1"/>
        <v>19.890410958904113</v>
      </c>
      <c r="P34" s="1021">
        <f t="shared" si="1"/>
        <v>19.890410958904113</v>
      </c>
      <c r="Q34" s="1022">
        <f t="shared" si="1"/>
        <v>19.890410958904113</v>
      </c>
    </row>
    <row r="35" spans="1:17" s="976" customFormat="1" x14ac:dyDescent="0.2">
      <c r="A35" s="1023"/>
      <c r="B35" s="1011"/>
      <c r="C35" s="1012" t="s">
        <v>363</v>
      </c>
      <c r="D35" s="1013" t="s">
        <v>364</v>
      </c>
      <c r="E35" s="1013" t="s">
        <v>160</v>
      </c>
      <c r="F35" s="1014" t="s">
        <v>8</v>
      </c>
      <c r="G35" s="1015">
        <v>1</v>
      </c>
      <c r="H35" s="1016">
        <v>30</v>
      </c>
      <c r="I35" s="1017">
        <v>193</v>
      </c>
      <c r="J35" s="1018">
        <v>172</v>
      </c>
      <c r="K35" s="1019">
        <v>204</v>
      </c>
      <c r="L35" s="1020">
        <f t="shared" si="0"/>
        <v>0.52876712328767128</v>
      </c>
      <c r="M35" s="1021">
        <f t="shared" si="0"/>
        <v>0.47123287671232877</v>
      </c>
      <c r="N35" s="1022">
        <f t="shared" si="0"/>
        <v>0.55890410958904113</v>
      </c>
      <c r="O35" s="1020">
        <f t="shared" si="1"/>
        <v>15.863013698630139</v>
      </c>
      <c r="P35" s="1021">
        <f t="shared" si="1"/>
        <v>14.136986301369863</v>
      </c>
      <c r="Q35" s="1022">
        <f t="shared" si="1"/>
        <v>16.767123287671232</v>
      </c>
    </row>
    <row r="36" spans="1:17" s="976" customFormat="1" x14ac:dyDescent="0.2">
      <c r="A36" s="1011"/>
      <c r="B36" s="1011"/>
      <c r="C36" s="1012" t="s">
        <v>142</v>
      </c>
      <c r="D36" s="1013" t="s">
        <v>397</v>
      </c>
      <c r="E36" s="1013" t="s">
        <v>160</v>
      </c>
      <c r="F36" s="1014" t="s">
        <v>8</v>
      </c>
      <c r="G36" s="1015">
        <v>1</v>
      </c>
      <c r="H36" s="1016">
        <v>30</v>
      </c>
      <c r="I36" s="1017">
        <v>125</v>
      </c>
      <c r="J36" s="1018">
        <v>125</v>
      </c>
      <c r="K36" s="1019">
        <v>125</v>
      </c>
      <c r="L36" s="1020">
        <f t="shared" si="0"/>
        <v>0.34246575342465752</v>
      </c>
      <c r="M36" s="1021">
        <f t="shared" si="0"/>
        <v>0.34246575342465752</v>
      </c>
      <c r="N36" s="1022">
        <f t="shared" si="0"/>
        <v>0.34246575342465752</v>
      </c>
      <c r="O36" s="1020">
        <f t="shared" si="1"/>
        <v>10.273972602739725</v>
      </c>
      <c r="P36" s="1021">
        <f t="shared" si="1"/>
        <v>10.273972602739725</v>
      </c>
      <c r="Q36" s="1022">
        <f t="shared" si="1"/>
        <v>10.273972602739725</v>
      </c>
    </row>
    <row r="37" spans="1:17" s="976" customFormat="1" x14ac:dyDescent="0.2">
      <c r="A37" s="1011"/>
      <c r="B37" s="1024"/>
      <c r="C37" s="1025" t="s">
        <v>234</v>
      </c>
      <c r="D37" s="1026" t="s">
        <v>398</v>
      </c>
      <c r="E37" s="1026" t="s">
        <v>160</v>
      </c>
      <c r="F37" s="1027" t="s">
        <v>8</v>
      </c>
      <c r="G37" s="1028">
        <v>1</v>
      </c>
      <c r="H37" s="1029">
        <v>30</v>
      </c>
      <c r="I37" s="1030">
        <v>99</v>
      </c>
      <c r="J37" s="1031">
        <v>78</v>
      </c>
      <c r="K37" s="1032">
        <v>106</v>
      </c>
      <c r="L37" s="1033">
        <f t="shared" si="0"/>
        <v>0.27123287671232876</v>
      </c>
      <c r="M37" s="1034">
        <f t="shared" si="0"/>
        <v>0.21369863013698631</v>
      </c>
      <c r="N37" s="1035">
        <f t="shared" si="0"/>
        <v>0.29041095890410956</v>
      </c>
      <c r="O37" s="1033">
        <f t="shared" si="1"/>
        <v>8.1369863013698627</v>
      </c>
      <c r="P37" s="1034">
        <f t="shared" si="1"/>
        <v>6.4109589041095898</v>
      </c>
      <c r="Q37" s="1035">
        <f t="shared" si="1"/>
        <v>8.712328767123287</v>
      </c>
    </row>
    <row r="38" spans="1:17" s="976" customFormat="1" x14ac:dyDescent="0.2">
      <c r="A38" s="1011"/>
      <c r="B38" s="1011" t="s">
        <v>161</v>
      </c>
      <c r="C38" s="1012" t="s">
        <v>39</v>
      </c>
      <c r="D38" s="1013">
        <v>300</v>
      </c>
      <c r="E38" s="1013" t="s">
        <v>160</v>
      </c>
      <c r="F38" s="1014" t="s">
        <v>8</v>
      </c>
      <c r="G38" s="1015">
        <v>2</v>
      </c>
      <c r="H38" s="1016">
        <v>60</v>
      </c>
      <c r="I38" s="1017">
        <v>93</v>
      </c>
      <c r="J38" s="1018">
        <v>86</v>
      </c>
      <c r="K38" s="1019">
        <v>99</v>
      </c>
      <c r="L38" s="1020">
        <f t="shared" si="0"/>
        <v>0.12739726027397261</v>
      </c>
      <c r="M38" s="1021">
        <f t="shared" si="0"/>
        <v>0.11780821917808219</v>
      </c>
      <c r="N38" s="1022">
        <f t="shared" si="0"/>
        <v>0.13561643835616438</v>
      </c>
      <c r="O38" s="1020">
        <f t="shared" si="1"/>
        <v>7.6438356164383565</v>
      </c>
      <c r="P38" s="1021">
        <f t="shared" si="1"/>
        <v>7.0684931506849313</v>
      </c>
      <c r="Q38" s="1022">
        <f t="shared" si="1"/>
        <v>8.1369863013698627</v>
      </c>
    </row>
    <row r="39" spans="1:17" s="976" customFormat="1" x14ac:dyDescent="0.2">
      <c r="A39" s="1011"/>
      <c r="B39" s="1011"/>
      <c r="C39" s="1012" t="s">
        <v>61</v>
      </c>
      <c r="D39" s="1013">
        <v>30</v>
      </c>
      <c r="E39" s="1013" t="s">
        <v>160</v>
      </c>
      <c r="F39" s="1014" t="s">
        <v>8</v>
      </c>
      <c r="G39" s="1015">
        <v>2</v>
      </c>
      <c r="H39" s="1016">
        <v>60</v>
      </c>
      <c r="I39" s="1017">
        <v>19</v>
      </c>
      <c r="J39" s="1018">
        <v>18</v>
      </c>
      <c r="K39" s="1019">
        <v>21</v>
      </c>
      <c r="L39" s="1020">
        <f t="shared" si="0"/>
        <v>2.6027397260273973E-2</v>
      </c>
      <c r="M39" s="1021">
        <f t="shared" si="0"/>
        <v>2.4657534246575342E-2</v>
      </c>
      <c r="N39" s="1022">
        <f t="shared" si="0"/>
        <v>2.8767123287671233E-2</v>
      </c>
      <c r="O39" s="1020">
        <f t="shared" si="1"/>
        <v>1.5616438356164384</v>
      </c>
      <c r="P39" s="1021">
        <f t="shared" si="1"/>
        <v>1.4794520547945205</v>
      </c>
      <c r="Q39" s="1022">
        <f t="shared" si="1"/>
        <v>1.726027397260274</v>
      </c>
    </row>
    <row r="40" spans="1:17" s="976" customFormat="1" x14ac:dyDescent="0.2">
      <c r="A40" s="1011"/>
      <c r="B40" s="1011"/>
      <c r="C40" s="1012" t="s">
        <v>15</v>
      </c>
      <c r="D40" s="1013">
        <v>150</v>
      </c>
      <c r="E40" s="1013" t="s">
        <v>160</v>
      </c>
      <c r="F40" s="1014" t="s">
        <v>8</v>
      </c>
      <c r="G40" s="1015">
        <v>2</v>
      </c>
      <c r="H40" s="1016">
        <v>60</v>
      </c>
      <c r="I40" s="1017">
        <v>29</v>
      </c>
      <c r="J40" s="1018">
        <v>29</v>
      </c>
      <c r="K40" s="1019">
        <v>37</v>
      </c>
      <c r="L40" s="1020">
        <f t="shared" si="0"/>
        <v>3.9726027397260277E-2</v>
      </c>
      <c r="M40" s="1021">
        <f t="shared" si="0"/>
        <v>3.9726027397260277E-2</v>
      </c>
      <c r="N40" s="1022">
        <f t="shared" si="0"/>
        <v>5.0684931506849315E-2</v>
      </c>
      <c r="O40" s="1020">
        <f t="shared" si="1"/>
        <v>2.3835616438356166</v>
      </c>
      <c r="P40" s="1021">
        <f t="shared" si="1"/>
        <v>2.3835616438356166</v>
      </c>
      <c r="Q40" s="1022">
        <f t="shared" si="1"/>
        <v>3.0410958904109591</v>
      </c>
    </row>
    <row r="41" spans="1:17" s="976" customFormat="1" x14ac:dyDescent="0.2"/>
    <row r="42" spans="1:17" s="976" customFormat="1" x14ac:dyDescent="0.2">
      <c r="A42" s="1011"/>
      <c r="B42" s="1011"/>
      <c r="C42" s="1012" t="s">
        <v>22</v>
      </c>
      <c r="D42" s="1013">
        <v>300</v>
      </c>
      <c r="E42" s="1013" t="s">
        <v>160</v>
      </c>
      <c r="F42" s="1014" t="s">
        <v>8</v>
      </c>
      <c r="G42" s="1015">
        <v>1</v>
      </c>
      <c r="H42" s="1016">
        <v>30</v>
      </c>
      <c r="I42" s="1017">
        <v>80</v>
      </c>
      <c r="J42" s="1018">
        <v>77</v>
      </c>
      <c r="K42" s="1019">
        <v>84</v>
      </c>
      <c r="L42" s="1020">
        <f t="shared" ref="L42:N45" si="2">I42/365/$G42</f>
        <v>0.21917808219178081</v>
      </c>
      <c r="M42" s="1021">
        <f t="shared" si="2"/>
        <v>0.21095890410958903</v>
      </c>
      <c r="N42" s="1022">
        <f t="shared" si="2"/>
        <v>0.23013698630136986</v>
      </c>
      <c r="O42" s="1020">
        <f t="shared" ref="O42:Q45" si="3">L42*$H42</f>
        <v>6.5753424657534243</v>
      </c>
      <c r="P42" s="1021">
        <f t="shared" si="3"/>
        <v>6.3287671232876708</v>
      </c>
      <c r="Q42" s="1022">
        <f t="shared" si="3"/>
        <v>6.904109589041096</v>
      </c>
    </row>
    <row r="43" spans="1:17" s="976" customFormat="1" x14ac:dyDescent="0.2">
      <c r="A43" s="1011"/>
      <c r="B43" s="1011"/>
      <c r="C43" s="1012" t="s">
        <v>19</v>
      </c>
      <c r="D43" s="1013">
        <v>200</v>
      </c>
      <c r="E43" s="1013" t="s">
        <v>160</v>
      </c>
      <c r="F43" s="1014" t="s">
        <v>8</v>
      </c>
      <c r="G43" s="1015">
        <v>2</v>
      </c>
      <c r="H43" s="1016">
        <v>60</v>
      </c>
      <c r="I43" s="1017">
        <v>32</v>
      </c>
      <c r="J43" s="1018">
        <v>31</v>
      </c>
      <c r="K43" s="1019">
        <v>35</v>
      </c>
      <c r="L43" s="1020">
        <f t="shared" si="2"/>
        <v>4.3835616438356165E-2</v>
      </c>
      <c r="M43" s="1021">
        <f t="shared" si="2"/>
        <v>4.2465753424657533E-2</v>
      </c>
      <c r="N43" s="1022">
        <f t="shared" si="2"/>
        <v>4.7945205479452052E-2</v>
      </c>
      <c r="O43" s="1020">
        <f t="shared" si="3"/>
        <v>2.6301369863013697</v>
      </c>
      <c r="P43" s="1021">
        <f t="shared" si="3"/>
        <v>2.547945205479452</v>
      </c>
      <c r="Q43" s="1022">
        <f t="shared" si="3"/>
        <v>2.8767123287671232</v>
      </c>
    </row>
    <row r="44" spans="1:17" s="976" customFormat="1" x14ac:dyDescent="0.2">
      <c r="A44" s="1011"/>
      <c r="B44" s="1011"/>
      <c r="C44" s="1012" t="s">
        <v>17</v>
      </c>
      <c r="D44" s="1013">
        <v>200</v>
      </c>
      <c r="E44" s="1013" t="s">
        <v>160</v>
      </c>
      <c r="F44" s="1014" t="s">
        <v>162</v>
      </c>
      <c r="G44" s="1015">
        <v>3</v>
      </c>
      <c r="H44" s="1016">
        <v>90</v>
      </c>
      <c r="I44" s="1017">
        <v>150</v>
      </c>
      <c r="J44" s="1018">
        <v>104</v>
      </c>
      <c r="K44" s="1019">
        <v>156</v>
      </c>
      <c r="L44" s="1020">
        <f t="shared" si="2"/>
        <v>0.13698630136986301</v>
      </c>
      <c r="M44" s="1021">
        <f t="shared" si="2"/>
        <v>9.4977168949771693E-2</v>
      </c>
      <c r="N44" s="1022">
        <f t="shared" si="2"/>
        <v>0.14246575342465753</v>
      </c>
      <c r="O44" s="1020">
        <f t="shared" si="3"/>
        <v>12.328767123287671</v>
      </c>
      <c r="P44" s="1021">
        <f t="shared" si="3"/>
        <v>8.5479452054794525</v>
      </c>
      <c r="Q44" s="1022">
        <f t="shared" si="3"/>
        <v>12.821917808219178</v>
      </c>
    </row>
    <row r="45" spans="1:17" s="976" customFormat="1" ht="13.5" thickBot="1" x14ac:dyDescent="0.25">
      <c r="A45" s="1036"/>
      <c r="B45" s="1036"/>
      <c r="C45" s="1037" t="s">
        <v>17</v>
      </c>
      <c r="D45" s="1038">
        <v>600</v>
      </c>
      <c r="E45" s="1038" t="s">
        <v>160</v>
      </c>
      <c r="F45" s="1039" t="s">
        <v>8</v>
      </c>
      <c r="G45" s="1040">
        <v>1</v>
      </c>
      <c r="H45" s="1041">
        <v>30</v>
      </c>
      <c r="I45" s="1042">
        <v>52</v>
      </c>
      <c r="J45" s="1043">
        <v>52</v>
      </c>
      <c r="K45" s="1044">
        <v>55</v>
      </c>
      <c r="L45" s="1045">
        <f t="shared" si="2"/>
        <v>0.14246575342465753</v>
      </c>
      <c r="M45" s="1046">
        <f t="shared" si="2"/>
        <v>0.14246575342465753</v>
      </c>
      <c r="N45" s="1047">
        <f t="shared" si="2"/>
        <v>0.15068493150684931</v>
      </c>
      <c r="O45" s="1045">
        <f t="shared" si="3"/>
        <v>4.2739726027397262</v>
      </c>
      <c r="P45" s="1046">
        <f t="shared" si="3"/>
        <v>4.2739726027397262</v>
      </c>
      <c r="Q45" s="1047">
        <f t="shared" si="3"/>
        <v>4.5205479452054789</v>
      </c>
    </row>
    <row r="46" spans="1:17" s="976" customFormat="1" x14ac:dyDescent="0.2">
      <c r="A46" s="999" t="str">
        <f>'TRAD-Prices 10-2011 GPRM'!B28</f>
        <v>2 &amp; 3èmes lignes</v>
      </c>
      <c r="B46" s="999" t="s">
        <v>85</v>
      </c>
      <c r="C46" s="1000" t="s">
        <v>25</v>
      </c>
      <c r="D46" s="1001">
        <v>300</v>
      </c>
      <c r="E46" s="1001" t="s">
        <v>160</v>
      </c>
      <c r="F46" s="1002" t="s">
        <v>8</v>
      </c>
      <c r="G46" s="1003">
        <v>2</v>
      </c>
      <c r="H46" s="1004">
        <v>60</v>
      </c>
      <c r="I46" s="1005">
        <v>181</v>
      </c>
      <c r="J46" s="1006">
        <v>177</v>
      </c>
      <c r="K46" s="1007">
        <v>207</v>
      </c>
      <c r="L46" s="1008">
        <f t="shared" si="0"/>
        <v>0.24794520547945206</v>
      </c>
      <c r="M46" s="1009">
        <f t="shared" si="0"/>
        <v>0.24246575342465754</v>
      </c>
      <c r="N46" s="1010">
        <f t="shared" si="0"/>
        <v>0.28356164383561644</v>
      </c>
      <c r="O46" s="1008">
        <f t="shared" si="1"/>
        <v>14.876712328767123</v>
      </c>
      <c r="P46" s="1009">
        <f t="shared" si="1"/>
        <v>14.547945205479452</v>
      </c>
      <c r="Q46" s="1010">
        <f t="shared" si="1"/>
        <v>17.013698630136986</v>
      </c>
    </row>
    <row r="47" spans="1:17" s="976" customFormat="1" x14ac:dyDescent="0.2">
      <c r="A47" s="1851"/>
      <c r="B47" s="1851"/>
      <c r="C47" s="65" t="s">
        <v>369</v>
      </c>
      <c r="D47" s="66">
        <v>200</v>
      </c>
      <c r="E47" s="66" t="s">
        <v>160</v>
      </c>
      <c r="F47" s="67" t="s">
        <v>162</v>
      </c>
      <c r="G47" s="68">
        <v>1</v>
      </c>
      <c r="H47" s="69">
        <v>30</v>
      </c>
      <c r="I47" s="70">
        <v>67</v>
      </c>
      <c r="J47" s="71">
        <v>67</v>
      </c>
      <c r="K47" s="72">
        <v>67</v>
      </c>
      <c r="L47" s="73">
        <f>I47/365/$G47</f>
        <v>0.18356164383561643</v>
      </c>
      <c r="M47" s="74">
        <v>0.18356164383561643</v>
      </c>
      <c r="N47" s="75">
        <v>0.18356164383561643</v>
      </c>
      <c r="O47" s="73">
        <f>L47*$H47</f>
        <v>5.506849315068493</v>
      </c>
      <c r="P47" s="74">
        <v>5.506849315068493</v>
      </c>
      <c r="Q47" s="75">
        <v>5.506849315068493</v>
      </c>
    </row>
    <row r="48" spans="1:17" s="976" customFormat="1" x14ac:dyDescent="0.2">
      <c r="A48" s="1011"/>
      <c r="B48" s="1011"/>
      <c r="C48" s="1012" t="s">
        <v>28</v>
      </c>
      <c r="D48" s="1013">
        <v>100</v>
      </c>
      <c r="E48" s="1013" t="s">
        <v>160</v>
      </c>
      <c r="F48" s="1014" t="s">
        <v>8</v>
      </c>
      <c r="G48" s="1015">
        <v>4</v>
      </c>
      <c r="H48" s="1016">
        <v>30</v>
      </c>
      <c r="I48" s="1048">
        <v>188</v>
      </c>
      <c r="J48" s="1049">
        <v>180</v>
      </c>
      <c r="K48" s="1050">
        <v>188</v>
      </c>
      <c r="L48" s="1020">
        <f t="shared" si="0"/>
        <v>0.12876712328767123</v>
      </c>
      <c r="M48" s="1021">
        <f t="shared" si="0"/>
        <v>0.12328767123287671</v>
      </c>
      <c r="N48" s="1022">
        <f t="shared" si="0"/>
        <v>0.12876712328767123</v>
      </c>
      <c r="O48" s="1020">
        <f t="shared" si="1"/>
        <v>3.8630136986301369</v>
      </c>
      <c r="P48" s="1021">
        <f t="shared" si="1"/>
        <v>3.6986301369863011</v>
      </c>
      <c r="Q48" s="1022">
        <f t="shared" si="1"/>
        <v>3.8630136986301369</v>
      </c>
    </row>
    <row r="49" spans="1:18" s="976" customFormat="1" x14ac:dyDescent="0.2">
      <c r="A49" s="1011"/>
      <c r="B49" s="1011"/>
      <c r="C49" s="1012" t="s">
        <v>28</v>
      </c>
      <c r="D49" s="1013">
        <v>200</v>
      </c>
      <c r="E49" s="1013" t="s">
        <v>160</v>
      </c>
      <c r="F49" s="1014" t="s">
        <v>8</v>
      </c>
      <c r="G49" s="1015">
        <v>2</v>
      </c>
      <c r="H49" s="1016">
        <v>30</v>
      </c>
      <c r="I49" s="1017">
        <v>268</v>
      </c>
      <c r="J49" s="1018">
        <v>268</v>
      </c>
      <c r="K49" s="1019">
        <v>268</v>
      </c>
      <c r="L49" s="1020">
        <f t="shared" si="0"/>
        <v>0.36712328767123287</v>
      </c>
      <c r="M49" s="1021">
        <f t="shared" si="0"/>
        <v>0.36712328767123287</v>
      </c>
      <c r="N49" s="1022">
        <f t="shared" si="0"/>
        <v>0.36712328767123287</v>
      </c>
      <c r="O49" s="1020">
        <f t="shared" si="1"/>
        <v>11.013698630136986</v>
      </c>
      <c r="P49" s="1021">
        <f t="shared" si="1"/>
        <v>11.013698630136986</v>
      </c>
      <c r="Q49" s="1022">
        <f t="shared" si="1"/>
        <v>11.013698630136986</v>
      </c>
    </row>
    <row r="50" spans="1:18" s="976" customFormat="1" x14ac:dyDescent="0.2">
      <c r="A50" s="1011"/>
      <c r="B50" s="1011"/>
      <c r="C50" s="1012" t="s">
        <v>28</v>
      </c>
      <c r="D50" s="1013">
        <v>250</v>
      </c>
      <c r="E50" s="1013" t="s">
        <v>160</v>
      </c>
      <c r="F50" s="1014" t="s">
        <v>162</v>
      </c>
      <c r="G50" s="1015">
        <v>1</v>
      </c>
      <c r="H50" s="1016">
        <v>30</v>
      </c>
      <c r="I50" s="1017">
        <v>181</v>
      </c>
      <c r="J50" s="1018">
        <v>163</v>
      </c>
      <c r="K50" s="1019">
        <v>213</v>
      </c>
      <c r="L50" s="1020">
        <f t="shared" si="0"/>
        <v>0.49589041095890413</v>
      </c>
      <c r="M50" s="1021">
        <f t="shared" si="0"/>
        <v>0.44657534246575342</v>
      </c>
      <c r="N50" s="1022">
        <f t="shared" si="0"/>
        <v>0.58356164383561648</v>
      </c>
      <c r="O50" s="1020">
        <f t="shared" si="1"/>
        <v>14.876712328767123</v>
      </c>
      <c r="P50" s="1021">
        <f t="shared" si="1"/>
        <v>13.397260273972602</v>
      </c>
      <c r="Q50" s="1022">
        <f t="shared" si="1"/>
        <v>17.506849315068493</v>
      </c>
    </row>
    <row r="51" spans="1:18" s="976" customFormat="1" x14ac:dyDescent="0.2">
      <c r="A51" s="1011"/>
      <c r="B51" s="1024"/>
      <c r="C51" s="1025" t="s">
        <v>28</v>
      </c>
      <c r="D51" s="1026">
        <v>400</v>
      </c>
      <c r="E51" s="1026" t="s">
        <v>160</v>
      </c>
      <c r="F51" s="1027" t="s">
        <v>162</v>
      </c>
      <c r="G51" s="1028">
        <v>1</v>
      </c>
      <c r="H51" s="1029">
        <v>30</v>
      </c>
      <c r="I51" s="1030">
        <v>244</v>
      </c>
      <c r="J51" s="1031">
        <v>170</v>
      </c>
      <c r="K51" s="1032">
        <v>267</v>
      </c>
      <c r="L51" s="1033">
        <f t="shared" si="0"/>
        <v>0.66849315068493154</v>
      </c>
      <c r="M51" s="1034">
        <f t="shared" si="0"/>
        <v>0.46575342465753422</v>
      </c>
      <c r="N51" s="1035">
        <f t="shared" si="0"/>
        <v>0.73150684931506849</v>
      </c>
      <c r="O51" s="1033">
        <f t="shared" si="1"/>
        <v>20.054794520547947</v>
      </c>
      <c r="P51" s="1034">
        <f t="shared" si="1"/>
        <v>13.972602739726026</v>
      </c>
      <c r="Q51" s="1035">
        <f t="shared" si="1"/>
        <v>21.945205479452056</v>
      </c>
    </row>
    <row r="52" spans="1:18" s="976" customFormat="1" x14ac:dyDescent="0.2">
      <c r="A52" s="1023"/>
      <c r="B52" s="1011" t="s">
        <v>87</v>
      </c>
      <c r="C52" s="1012" t="s">
        <v>69</v>
      </c>
      <c r="D52" s="1013">
        <v>200</v>
      </c>
      <c r="E52" s="1013" t="s">
        <v>160</v>
      </c>
      <c r="F52" s="1014" t="s">
        <v>162</v>
      </c>
      <c r="G52" s="1015">
        <v>8</v>
      </c>
      <c r="H52" s="1016">
        <v>360</v>
      </c>
      <c r="I52" s="1017">
        <v>730</v>
      </c>
      <c r="J52" s="1018">
        <v>730</v>
      </c>
      <c r="K52" s="1019">
        <v>730</v>
      </c>
      <c r="L52" s="1020">
        <f t="shared" si="0"/>
        <v>0.25</v>
      </c>
      <c r="M52" s="1021">
        <f t="shared" si="0"/>
        <v>0.25</v>
      </c>
      <c r="N52" s="1022">
        <f t="shared" si="0"/>
        <v>0.25</v>
      </c>
      <c r="O52" s="1020">
        <f t="shared" si="1"/>
        <v>90</v>
      </c>
      <c r="P52" s="1021">
        <f t="shared" si="1"/>
        <v>90</v>
      </c>
      <c r="Q52" s="1022">
        <f t="shared" si="1"/>
        <v>90</v>
      </c>
    </row>
    <row r="53" spans="1:18" s="976" customFormat="1" x14ac:dyDescent="0.2">
      <c r="A53" s="1023"/>
      <c r="B53" s="1011"/>
      <c r="C53" s="1012" t="s">
        <v>69</v>
      </c>
      <c r="D53" s="1013">
        <v>400</v>
      </c>
      <c r="E53" s="1013" t="s">
        <v>160</v>
      </c>
      <c r="F53" s="1014" t="s">
        <v>162</v>
      </c>
      <c r="G53" s="1015">
        <v>4</v>
      </c>
      <c r="H53" s="1016">
        <v>180</v>
      </c>
      <c r="I53" s="1017">
        <v>406</v>
      </c>
      <c r="J53" s="1018">
        <v>406</v>
      </c>
      <c r="K53" s="1019">
        <v>467</v>
      </c>
      <c r="L53" s="1020">
        <f t="shared" si="0"/>
        <v>0.27808219178082194</v>
      </c>
      <c r="M53" s="1021">
        <f t="shared" si="0"/>
        <v>0.27808219178082194</v>
      </c>
      <c r="N53" s="1022">
        <f t="shared" si="0"/>
        <v>0.31986301369863013</v>
      </c>
      <c r="O53" s="1020">
        <f t="shared" si="1"/>
        <v>50.054794520547951</v>
      </c>
      <c r="P53" s="1021">
        <f t="shared" si="1"/>
        <v>50.054794520547951</v>
      </c>
      <c r="Q53" s="1022">
        <f t="shared" si="1"/>
        <v>57.575342465753423</v>
      </c>
    </row>
    <row r="54" spans="1:18" s="976" customFormat="1" x14ac:dyDescent="0.2">
      <c r="A54" s="1011"/>
      <c r="B54" s="1011"/>
      <c r="C54" s="1012" t="s">
        <v>33</v>
      </c>
      <c r="D54" s="1013" t="s">
        <v>143</v>
      </c>
      <c r="E54" s="1013" t="s">
        <v>160</v>
      </c>
      <c r="F54" s="1014" t="s">
        <v>8</v>
      </c>
      <c r="G54" s="1015">
        <v>4</v>
      </c>
      <c r="H54" s="1016">
        <v>120</v>
      </c>
      <c r="I54" s="1017">
        <v>410</v>
      </c>
      <c r="J54" s="1018">
        <v>375</v>
      </c>
      <c r="K54" s="1019">
        <v>442</v>
      </c>
      <c r="L54" s="1020">
        <f t="shared" si="0"/>
        <v>0.28082191780821919</v>
      </c>
      <c r="M54" s="1021">
        <f t="shared" si="0"/>
        <v>0.25684931506849318</v>
      </c>
      <c r="N54" s="1022">
        <f t="shared" si="0"/>
        <v>0.30273972602739724</v>
      </c>
      <c r="O54" s="1020">
        <f t="shared" si="1"/>
        <v>33.698630136986303</v>
      </c>
      <c r="P54" s="1021">
        <f t="shared" si="1"/>
        <v>30.821917808219183</v>
      </c>
      <c r="Q54" s="1022">
        <f t="shared" si="1"/>
        <v>36.328767123287669</v>
      </c>
    </row>
    <row r="55" spans="1:18" s="976" customFormat="1" x14ac:dyDescent="0.2">
      <c r="A55" s="1011"/>
      <c r="B55" s="1011"/>
      <c r="C55" s="1012" t="s">
        <v>576</v>
      </c>
      <c r="D55" s="1013" t="s">
        <v>591</v>
      </c>
      <c r="E55" s="1013" t="s">
        <v>160</v>
      </c>
      <c r="F55" s="1014" t="s">
        <v>8</v>
      </c>
      <c r="G55" s="1015">
        <v>1</v>
      </c>
      <c r="H55" s="1016">
        <v>30</v>
      </c>
      <c r="I55" s="1017">
        <f>365*L55*G55</f>
        <v>304.16666666666669</v>
      </c>
      <c r="J55" s="1018">
        <v>304.16666666666669</v>
      </c>
      <c r="K55" s="1019">
        <v>304.16666666666669</v>
      </c>
      <c r="L55" s="1020">
        <f>O55/H55</f>
        <v>0.83333333333333337</v>
      </c>
      <c r="M55" s="1021">
        <v>0.83333333333333337</v>
      </c>
      <c r="N55" s="1022">
        <v>0.83333333333333337</v>
      </c>
      <c r="O55" s="1020">
        <v>25</v>
      </c>
      <c r="P55" s="1021">
        <v>25</v>
      </c>
      <c r="Q55" s="1022">
        <v>25</v>
      </c>
    </row>
    <row r="56" spans="1:18" s="976" customFormat="1" x14ac:dyDescent="0.2">
      <c r="A56" s="1011"/>
      <c r="B56" s="1011"/>
      <c r="C56" s="1012" t="s">
        <v>144</v>
      </c>
      <c r="D56" s="1013">
        <v>250</v>
      </c>
      <c r="E56" s="1013" t="s">
        <v>160</v>
      </c>
      <c r="F56" s="1014" t="s">
        <v>8</v>
      </c>
      <c r="G56" s="1015">
        <v>10</v>
      </c>
      <c r="H56" s="1016">
        <v>300</v>
      </c>
      <c r="I56" s="1048">
        <v>1703</v>
      </c>
      <c r="J56" s="1049">
        <v>1703</v>
      </c>
      <c r="K56" s="1050">
        <v>1703</v>
      </c>
      <c r="L56" s="1020">
        <f t="shared" si="0"/>
        <v>0.46657534246575344</v>
      </c>
      <c r="M56" s="1021">
        <f t="shared" si="0"/>
        <v>0.46657534246575344</v>
      </c>
      <c r="N56" s="1022">
        <f t="shared" si="0"/>
        <v>0.46657534246575344</v>
      </c>
      <c r="O56" s="1020">
        <f t="shared" si="1"/>
        <v>139.97260273972603</v>
      </c>
      <c r="P56" s="1021">
        <f t="shared" si="1"/>
        <v>139.97260273972603</v>
      </c>
      <c r="Q56" s="1022">
        <f t="shared" si="1"/>
        <v>139.97260273972603</v>
      </c>
    </row>
    <row r="57" spans="1:18" s="976" customFormat="1" x14ac:dyDescent="0.2">
      <c r="A57" s="1011"/>
      <c r="B57" s="1011"/>
      <c r="C57" s="1012" t="s">
        <v>70</v>
      </c>
      <c r="D57" s="1013">
        <v>100</v>
      </c>
      <c r="E57" s="1013" t="s">
        <v>160</v>
      </c>
      <c r="F57" s="1014" t="s">
        <v>163</v>
      </c>
      <c r="G57" s="1015">
        <v>2</v>
      </c>
      <c r="H57" s="1016">
        <v>84</v>
      </c>
      <c r="I57" s="1017">
        <v>84</v>
      </c>
      <c r="J57" s="1018">
        <v>84</v>
      </c>
      <c r="K57" s="1019">
        <v>121</v>
      </c>
      <c r="L57" s="1020">
        <f t="shared" si="0"/>
        <v>0.11506849315068493</v>
      </c>
      <c r="M57" s="1021">
        <f t="shared" si="0"/>
        <v>0.11506849315068493</v>
      </c>
      <c r="N57" s="1022">
        <f t="shared" si="0"/>
        <v>0.16575342465753426</v>
      </c>
      <c r="O57" s="1020">
        <f t="shared" si="1"/>
        <v>9.6657534246575345</v>
      </c>
      <c r="P57" s="1021">
        <f t="shared" si="1"/>
        <v>9.6657534246575345</v>
      </c>
      <c r="Q57" s="1022">
        <f t="shared" si="1"/>
        <v>13.923287671232877</v>
      </c>
    </row>
    <row r="58" spans="1:18" s="976" customFormat="1" x14ac:dyDescent="0.2">
      <c r="A58" s="1011"/>
      <c r="B58" s="1011"/>
      <c r="C58" s="1012" t="s">
        <v>68</v>
      </c>
      <c r="D58" s="1013">
        <v>200</v>
      </c>
      <c r="E58" s="1013" t="s">
        <v>160</v>
      </c>
      <c r="F58" s="1014" t="s">
        <v>8</v>
      </c>
      <c r="G58" s="1015">
        <v>10</v>
      </c>
      <c r="H58" s="1016">
        <v>270</v>
      </c>
      <c r="I58" s="1017">
        <v>1400</v>
      </c>
      <c r="J58" s="1018">
        <v>1400</v>
      </c>
      <c r="K58" s="1019">
        <v>1400</v>
      </c>
      <c r="L58" s="1020">
        <f t="shared" si="0"/>
        <v>0.38356164383561642</v>
      </c>
      <c r="M58" s="1021">
        <f t="shared" si="0"/>
        <v>0.38356164383561642</v>
      </c>
      <c r="N58" s="1022">
        <f t="shared" si="0"/>
        <v>0.38356164383561642</v>
      </c>
      <c r="O58" s="1020">
        <f t="shared" si="1"/>
        <v>103.56164383561644</v>
      </c>
      <c r="P58" s="1021">
        <f t="shared" si="1"/>
        <v>103.56164383561644</v>
      </c>
      <c r="Q58" s="1022">
        <f t="shared" si="1"/>
        <v>103.56164383561644</v>
      </c>
    </row>
    <row r="59" spans="1:18" s="976" customFormat="1" x14ac:dyDescent="0.2">
      <c r="A59" s="1011"/>
      <c r="B59" s="1011"/>
      <c r="C59" s="1012" t="s">
        <v>193</v>
      </c>
      <c r="D59" s="1013">
        <v>150</v>
      </c>
      <c r="E59" s="1013" t="s">
        <v>160</v>
      </c>
      <c r="F59" s="1014" t="s">
        <v>162</v>
      </c>
      <c r="G59" s="1015">
        <v>2</v>
      </c>
      <c r="H59" s="1016">
        <v>60</v>
      </c>
      <c r="I59" s="1017">
        <v>268</v>
      </c>
      <c r="J59" s="1018">
        <v>268</v>
      </c>
      <c r="K59" s="1019">
        <v>268</v>
      </c>
      <c r="L59" s="1020">
        <f t="shared" si="0"/>
        <v>0.36712328767123287</v>
      </c>
      <c r="M59" s="1021">
        <f t="shared" si="0"/>
        <v>0.36712328767123287</v>
      </c>
      <c r="N59" s="1022">
        <f t="shared" si="0"/>
        <v>0.36712328767123287</v>
      </c>
      <c r="O59" s="1020">
        <f t="shared" si="1"/>
        <v>22.027397260273972</v>
      </c>
      <c r="P59" s="1021">
        <f t="shared" si="1"/>
        <v>22.027397260273972</v>
      </c>
      <c r="Q59" s="1022">
        <f t="shared" si="1"/>
        <v>22.027397260273972</v>
      </c>
    </row>
    <row r="60" spans="1:18" s="976" customFormat="1" x14ac:dyDescent="0.2">
      <c r="A60" s="1011"/>
      <c r="B60" s="1011"/>
      <c r="C60" s="1012" t="s">
        <v>193</v>
      </c>
      <c r="D60" s="1013">
        <v>200</v>
      </c>
      <c r="E60" s="1051" t="s">
        <v>160</v>
      </c>
      <c r="F60" s="1014" t="s">
        <v>162</v>
      </c>
      <c r="G60" s="1015">
        <v>2</v>
      </c>
      <c r="H60" s="1016">
        <v>60</v>
      </c>
      <c r="I60" s="1052">
        <v>515</v>
      </c>
      <c r="J60" s="1053">
        <v>515</v>
      </c>
      <c r="K60" s="1054">
        <v>515</v>
      </c>
      <c r="L60" s="1055">
        <f t="shared" si="0"/>
        <v>0.70547945205479456</v>
      </c>
      <c r="M60" s="1056">
        <f t="shared" si="0"/>
        <v>0.70547945205479456</v>
      </c>
      <c r="N60" s="1057">
        <f t="shared" si="0"/>
        <v>0.70547945205479456</v>
      </c>
      <c r="O60" s="1055">
        <f t="shared" si="1"/>
        <v>42.328767123287676</v>
      </c>
      <c r="P60" s="1056">
        <f t="shared" si="1"/>
        <v>42.328767123287676</v>
      </c>
      <c r="Q60" s="1057">
        <f t="shared" si="1"/>
        <v>42.328767123287676</v>
      </c>
      <c r="R60" s="975"/>
    </row>
    <row r="61" spans="1:18" s="976" customFormat="1" x14ac:dyDescent="0.2">
      <c r="A61" s="1011"/>
      <c r="B61" s="1058"/>
      <c r="C61" s="1059" t="s">
        <v>588</v>
      </c>
      <c r="D61" s="1060">
        <v>700</v>
      </c>
      <c r="E61" s="1061" t="s">
        <v>160</v>
      </c>
      <c r="F61" s="1062" t="s">
        <v>8</v>
      </c>
      <c r="G61" s="1063">
        <v>2</v>
      </c>
      <c r="H61" s="1064">
        <v>60</v>
      </c>
      <c r="I61" s="1065"/>
      <c r="J61" s="1066"/>
      <c r="K61" s="1067"/>
      <c r="L61" s="1068">
        <f t="shared" si="0"/>
        <v>0</v>
      </c>
      <c r="M61" s="1069">
        <f t="shared" si="0"/>
        <v>0</v>
      </c>
      <c r="N61" s="1070">
        <f t="shared" si="0"/>
        <v>0</v>
      </c>
      <c r="O61" s="1068">
        <f t="shared" si="1"/>
        <v>0</v>
      </c>
      <c r="P61" s="1069">
        <f t="shared" si="1"/>
        <v>0</v>
      </c>
      <c r="Q61" s="1070">
        <f t="shared" si="1"/>
        <v>0</v>
      </c>
      <c r="R61" s="975"/>
    </row>
    <row r="62" spans="1:18" s="976" customFormat="1" x14ac:dyDescent="0.2">
      <c r="A62" s="1011"/>
      <c r="B62" s="1024"/>
      <c r="C62" s="1025" t="s">
        <v>328</v>
      </c>
      <c r="D62" s="1026">
        <v>300</v>
      </c>
      <c r="E62" s="1026" t="s">
        <v>160</v>
      </c>
      <c r="F62" s="1027" t="s">
        <v>8</v>
      </c>
      <c r="G62" s="1028">
        <v>4</v>
      </c>
      <c r="H62" s="1029">
        <v>120</v>
      </c>
      <c r="I62" s="1030">
        <v>1132</v>
      </c>
      <c r="J62" s="1031">
        <v>1128</v>
      </c>
      <c r="K62" s="1032">
        <v>1135</v>
      </c>
      <c r="L62" s="1033">
        <f t="shared" si="0"/>
        <v>0.77534246575342469</v>
      </c>
      <c r="M62" s="1034">
        <f t="shared" si="0"/>
        <v>0.77260273972602744</v>
      </c>
      <c r="N62" s="1035">
        <f t="shared" si="0"/>
        <v>0.7773972602739726</v>
      </c>
      <c r="O62" s="1033">
        <f t="shared" si="1"/>
        <v>93.041095890410958</v>
      </c>
      <c r="P62" s="1034">
        <f t="shared" si="1"/>
        <v>92.712328767123296</v>
      </c>
      <c r="Q62" s="1035">
        <f t="shared" si="1"/>
        <v>93.287671232876718</v>
      </c>
      <c r="R62" s="975"/>
    </row>
    <row r="63" spans="1:18" s="976" customFormat="1" x14ac:dyDescent="0.2">
      <c r="A63" s="1011"/>
      <c r="B63" s="1071" t="s">
        <v>589</v>
      </c>
      <c r="C63" s="1072" t="s">
        <v>590</v>
      </c>
      <c r="D63" s="1073">
        <v>400</v>
      </c>
      <c r="E63" s="1073" t="s">
        <v>160</v>
      </c>
      <c r="F63" s="1074" t="s">
        <v>8</v>
      </c>
      <c r="G63" s="1075">
        <v>2</v>
      </c>
      <c r="H63" s="1076">
        <v>60</v>
      </c>
      <c r="I63" s="1077">
        <v>2227</v>
      </c>
      <c r="J63" s="1078">
        <v>2227</v>
      </c>
      <c r="K63" s="1079">
        <v>2227</v>
      </c>
      <c r="L63" s="1080">
        <f t="shared" si="0"/>
        <v>3.0506849315068494</v>
      </c>
      <c r="M63" s="1081">
        <f t="shared" si="0"/>
        <v>3.0506849315068494</v>
      </c>
      <c r="N63" s="1082">
        <f t="shared" si="0"/>
        <v>3.0506849315068494</v>
      </c>
      <c r="O63" s="1080">
        <f t="shared" si="1"/>
        <v>183.04109589041096</v>
      </c>
      <c r="P63" s="1081">
        <f t="shared" si="1"/>
        <v>183.04109589041096</v>
      </c>
      <c r="Q63" s="1082">
        <f t="shared" si="1"/>
        <v>183.04109589041096</v>
      </c>
      <c r="R63" s="975"/>
    </row>
    <row r="64" spans="1:18" s="976" customFormat="1" ht="13.5" thickBot="1" x14ac:dyDescent="0.25">
      <c r="A64" s="1036"/>
      <c r="B64" s="1083" t="s">
        <v>84</v>
      </c>
      <c r="C64" s="1084" t="s">
        <v>330</v>
      </c>
      <c r="D64" s="1085">
        <v>100</v>
      </c>
      <c r="E64" s="1085" t="s">
        <v>160</v>
      </c>
      <c r="F64" s="1086" t="s">
        <v>8</v>
      </c>
      <c r="G64" s="1087">
        <v>4</v>
      </c>
      <c r="H64" s="1088">
        <v>120</v>
      </c>
      <c r="I64" s="1089">
        <v>1045</v>
      </c>
      <c r="J64" s="1090">
        <v>1035</v>
      </c>
      <c r="K64" s="1091">
        <v>1054</v>
      </c>
      <c r="L64" s="1092">
        <f t="shared" si="0"/>
        <v>0.71575342465753422</v>
      </c>
      <c r="M64" s="1093">
        <f t="shared" si="0"/>
        <v>0.70890410958904104</v>
      </c>
      <c r="N64" s="1094">
        <f t="shared" si="0"/>
        <v>0.72191780821917806</v>
      </c>
      <c r="O64" s="1092">
        <f t="shared" si="1"/>
        <v>85.890410958904113</v>
      </c>
      <c r="P64" s="1093">
        <f t="shared" si="1"/>
        <v>85.06849315068493</v>
      </c>
      <c r="Q64" s="1094">
        <f t="shared" si="1"/>
        <v>86.630136986301366</v>
      </c>
      <c r="R64" s="975"/>
    </row>
    <row r="65" spans="1:21" s="976" customFormat="1" x14ac:dyDescent="0.2">
      <c r="A65" s="1095"/>
      <c r="B65" s="1095"/>
      <c r="C65" s="1096"/>
      <c r="D65" s="1096"/>
      <c r="E65" s="1096"/>
      <c r="F65" s="1097"/>
      <c r="G65" s="1097"/>
      <c r="H65" s="1098"/>
      <c r="I65" s="975"/>
      <c r="J65" s="975"/>
      <c r="K65" s="975"/>
      <c r="L65" s="1099"/>
      <c r="M65" s="1099"/>
      <c r="N65" s="1099"/>
      <c r="O65" s="1099"/>
      <c r="P65" s="1099"/>
      <c r="Q65" s="1099"/>
      <c r="R65" s="975"/>
    </row>
    <row r="66" spans="1:21" s="976" customFormat="1" ht="13.5" thickBot="1" x14ac:dyDescent="0.25">
      <c r="A66" s="1100"/>
      <c r="B66" s="1100"/>
      <c r="C66" s="1100"/>
      <c r="D66" s="1100"/>
      <c r="E66" s="977"/>
      <c r="F66" s="978"/>
      <c r="G66" s="979"/>
      <c r="H66" s="980"/>
      <c r="I66" s="975"/>
      <c r="J66" s="975"/>
      <c r="K66" s="975"/>
      <c r="L66" s="1099"/>
      <c r="M66" s="1099"/>
      <c r="N66" s="1099"/>
      <c r="O66" s="980"/>
      <c r="P66" s="1099"/>
      <c r="Q66" s="1099"/>
      <c r="R66" s="1099"/>
    </row>
    <row r="67" spans="1:21" s="976" customFormat="1" ht="90" thickBot="1" x14ac:dyDescent="0.25">
      <c r="B67" s="1100"/>
      <c r="C67" s="1101" t="str">
        <f>'TRAD-Prices 10-2011 GPRM'!B17</f>
        <v>DCI</v>
      </c>
      <c r="D67" s="1102" t="str">
        <f>'TRAD-Prices 10-2011 GPRM'!B18</f>
        <v>Dosage</v>
      </c>
      <c r="E67" s="1103" t="str">
        <f>'TRAD-Prices 10-2011 GPRM'!B20</f>
        <v>Unité dosage</v>
      </c>
      <c r="F67" s="1104" t="str">
        <f>'TRAD-Prices 10-2011 GPRM'!B21</f>
        <v>Forme</v>
      </c>
      <c r="G67" s="1106" t="str">
        <f>'TRAD-Prices 10-2011 GPRM'!B22</f>
        <v>Nb d'unité de prises / jour</v>
      </c>
      <c r="H67" s="1106" t="str">
        <f>'TRAD-Prices 10-2011 GPRM'!B33</f>
        <v>Qtés / boites</v>
      </c>
      <c r="I67" s="1106" t="str">
        <f>'TRAD-Prices 10-2011 GPRM'!B34</f>
        <v>Prix annuel (hors autres ARV pr trithérapie ou boost) 
(US$)</v>
      </c>
      <c r="L67" s="1106" t="str">
        <f>'TRAD-Prices 10-2011 GPRM'!B24</f>
        <v>Prix / unité de prise  (US$)</v>
      </c>
      <c r="O67" s="1106" t="str">
        <f>'TRAD-Prices 10-2011 GPRM'!B25</f>
        <v>Prix / boite  (US$)</v>
      </c>
      <c r="P67" s="1099"/>
      <c r="R67" s="1106" t="str">
        <f>'TRAD-Prices 10-2011 GPRM'!B35</f>
        <v>Source</v>
      </c>
      <c r="S67" s="1105" t="str">
        <f>'TRAD-Prices 10-2011 GPRM'!B31</f>
        <v>Nom commercial Princeps</v>
      </c>
      <c r="T67" s="1105" t="str">
        <f>'TRAD-Prices 10-2011 GPRM'!B32</f>
        <v>Existence d'un générique ? (G) préqualifié A ou B ? (GPQ)</v>
      </c>
    </row>
    <row r="68" spans="1:21" s="976" customFormat="1" ht="63.75" customHeight="1" x14ac:dyDescent="0.2">
      <c r="A68" s="2245"/>
      <c r="B68" s="1100"/>
      <c r="C68" s="1012" t="s">
        <v>193</v>
      </c>
      <c r="D68" s="1013">
        <v>150</v>
      </c>
      <c r="E68" s="1051" t="s">
        <v>160</v>
      </c>
      <c r="F68" s="1014" t="str">
        <f>'TRAD-Prices 10-2011 GPRM'!B30</f>
        <v>Gélule</v>
      </c>
      <c r="G68" s="1015">
        <v>2</v>
      </c>
      <c r="H68" s="1016">
        <v>60</v>
      </c>
      <c r="I68" s="83">
        <f>365*L68*G68</f>
        <v>377.04548666666665</v>
      </c>
      <c r="J68" s="1848">
        <v>377.04548666666665</v>
      </c>
      <c r="K68" s="1848">
        <v>377.04548666666665</v>
      </c>
      <c r="L68" s="83">
        <v>0.51650066666666661</v>
      </c>
      <c r="M68" s="1848">
        <v>0.51650066666666661</v>
      </c>
      <c r="N68" s="1848">
        <v>0.51650066666666661</v>
      </c>
      <c r="O68" s="83">
        <f>L68*H68</f>
        <v>30.990039999999997</v>
      </c>
      <c r="P68" s="1849">
        <v>30.990039999999997</v>
      </c>
      <c r="Q68" s="1848">
        <v>30.990039999999997</v>
      </c>
      <c r="R68" s="83" t="s">
        <v>263</v>
      </c>
      <c r="S68" s="1014" t="s">
        <v>359</v>
      </c>
      <c r="T68" s="1014" t="s">
        <v>236</v>
      </c>
    </row>
    <row r="69" spans="1:21" s="976" customFormat="1" ht="13.5" thickBot="1" x14ac:dyDescent="0.25">
      <c r="A69" s="2245"/>
      <c r="B69" s="1100"/>
      <c r="C69" s="1037" t="s">
        <v>193</v>
      </c>
      <c r="D69" s="1038">
        <v>200</v>
      </c>
      <c r="E69" s="1038" t="s">
        <v>160</v>
      </c>
      <c r="F69" s="1039" t="str">
        <f>'TRAD-Prices 10-2011 GPRM'!B30</f>
        <v>Gélule</v>
      </c>
      <c r="G69" s="1040">
        <v>2</v>
      </c>
      <c r="H69" s="1041">
        <v>60</v>
      </c>
      <c r="I69" s="84">
        <f>365*L69*G69</f>
        <v>469.23061666666661</v>
      </c>
      <c r="J69" s="1848">
        <v>469.23061666666661</v>
      </c>
      <c r="K69" s="1848">
        <v>469.23061666666661</v>
      </c>
      <c r="L69" s="84">
        <v>0.64278166666666658</v>
      </c>
      <c r="M69" s="1848">
        <v>0.64278166666666658</v>
      </c>
      <c r="N69" s="1848">
        <v>0.64278166666666658</v>
      </c>
      <c r="O69" s="84">
        <f>L69*H69</f>
        <v>38.566899999999997</v>
      </c>
      <c r="P69" s="1849">
        <v>38.566899999999997</v>
      </c>
      <c r="Q69" s="1848">
        <v>38.566899999999997</v>
      </c>
      <c r="R69" s="84"/>
      <c r="S69" s="1039"/>
      <c r="T69" s="1039" t="s">
        <v>236</v>
      </c>
    </row>
    <row r="70" spans="1:21" s="976" customFormat="1" ht="13.5" thickBot="1" x14ac:dyDescent="0.25">
      <c r="A70" s="1107"/>
      <c r="B70" s="1100"/>
      <c r="C70" s="1037" t="s">
        <v>576</v>
      </c>
      <c r="D70" s="1038" t="s">
        <v>591</v>
      </c>
      <c r="E70" s="1038" t="s">
        <v>160</v>
      </c>
      <c r="F70" s="1039" t="s">
        <v>8</v>
      </c>
      <c r="G70" s="1040">
        <v>1</v>
      </c>
      <c r="H70" s="1041">
        <v>30</v>
      </c>
      <c r="I70" s="84">
        <f>365*L70*G70</f>
        <v>304.16666666666669</v>
      </c>
      <c r="J70" s="1848">
        <v>304.16666666666669</v>
      </c>
      <c r="K70" s="1848">
        <v>304.16666666666669</v>
      </c>
      <c r="L70" s="84">
        <f>O70/H70</f>
        <v>0.83333333333333337</v>
      </c>
      <c r="M70" s="1848">
        <v>0.83333333333333337</v>
      </c>
      <c r="N70" s="1848">
        <v>0.83333333333333337</v>
      </c>
      <c r="O70" s="84">
        <v>25</v>
      </c>
      <c r="P70" s="1849">
        <v>25</v>
      </c>
      <c r="Q70" s="1848">
        <v>25</v>
      </c>
      <c r="R70" s="84" t="s">
        <v>327</v>
      </c>
      <c r="S70" s="1039"/>
      <c r="T70" s="1039" t="s">
        <v>236</v>
      </c>
      <c r="U70" s="980" t="s">
        <v>592</v>
      </c>
    </row>
    <row r="71" spans="1:21" s="976" customFormat="1" ht="13.5" thickBot="1" x14ac:dyDescent="0.25">
      <c r="A71" s="1803"/>
      <c r="B71" s="1100"/>
      <c r="C71" s="1816" t="s">
        <v>1535</v>
      </c>
      <c r="D71" s="1817"/>
      <c r="E71" s="1818" t="s">
        <v>1536</v>
      </c>
      <c r="F71" s="1818" t="s">
        <v>160</v>
      </c>
      <c r="G71" s="1819" t="s">
        <v>521</v>
      </c>
      <c r="H71" s="1820">
        <v>30</v>
      </c>
      <c r="I71" s="84">
        <v>400.28333333333336</v>
      </c>
      <c r="J71" s="1815"/>
      <c r="K71" s="1815"/>
      <c r="L71" s="84">
        <v>1.0966666666666667</v>
      </c>
      <c r="M71" s="1830">
        <v>1.0966666666666667</v>
      </c>
      <c r="N71" s="1830">
        <v>1.0966666666666667</v>
      </c>
      <c r="O71" s="84">
        <v>32.9</v>
      </c>
      <c r="P71" s="1830">
        <v>32.9</v>
      </c>
      <c r="Q71" s="1830">
        <v>32.9</v>
      </c>
      <c r="R71" s="84"/>
      <c r="S71" s="1039"/>
      <c r="T71" s="1039"/>
      <c r="U71" s="980"/>
    </row>
    <row r="72" spans="1:21" s="976" customFormat="1" ht="13.5" thickBot="1" x14ac:dyDescent="0.25">
      <c r="A72" s="1108"/>
      <c r="B72" s="1100"/>
      <c r="C72" s="1037" t="s">
        <v>360</v>
      </c>
      <c r="D72" s="1038">
        <v>400</v>
      </c>
      <c r="E72" s="1038" t="s">
        <v>160</v>
      </c>
      <c r="F72" s="1039" t="s">
        <v>8</v>
      </c>
      <c r="G72" s="1040">
        <v>2</v>
      </c>
      <c r="H72" s="1041">
        <v>60</v>
      </c>
      <c r="I72" s="84">
        <f>365*L72*G72</f>
        <v>1113.25</v>
      </c>
      <c r="J72" s="1848">
        <v>1113.25</v>
      </c>
      <c r="K72" s="1848">
        <v>1113.25</v>
      </c>
      <c r="L72" s="84">
        <v>1.5249999999999999</v>
      </c>
      <c r="M72" s="1848">
        <v>1.5249999999999999</v>
      </c>
      <c r="N72" s="1848">
        <v>1.5249999999999999</v>
      </c>
      <c r="O72" s="84">
        <f>L72*H72</f>
        <v>91.5</v>
      </c>
      <c r="P72" s="1849">
        <v>91.5</v>
      </c>
      <c r="Q72" s="1848">
        <v>91.5</v>
      </c>
      <c r="R72" s="84" t="s">
        <v>373</v>
      </c>
      <c r="S72" s="1039" t="s">
        <v>361</v>
      </c>
      <c r="T72" s="1039"/>
    </row>
    <row r="73" spans="1:21" s="976" customFormat="1" ht="13.5" thickBot="1" x14ac:dyDescent="0.25">
      <c r="A73" s="1108"/>
      <c r="B73" s="1100"/>
      <c r="C73" s="1037" t="s">
        <v>328</v>
      </c>
      <c r="D73" s="1038">
        <v>300</v>
      </c>
      <c r="E73" s="1038" t="s">
        <v>160</v>
      </c>
      <c r="F73" s="1039" t="s">
        <v>8</v>
      </c>
      <c r="G73" s="1040">
        <v>4</v>
      </c>
      <c r="H73" s="1041">
        <v>120</v>
      </c>
      <c r="I73" s="84">
        <f>365*L73*G73</f>
        <v>1095</v>
      </c>
      <c r="J73" s="1848">
        <v>1095</v>
      </c>
      <c r="K73" s="1848">
        <v>1095</v>
      </c>
      <c r="L73" s="84">
        <v>0.75</v>
      </c>
      <c r="M73" s="1848">
        <v>0.75</v>
      </c>
      <c r="N73" s="1848">
        <v>0.75</v>
      </c>
      <c r="O73" s="84">
        <f>L73*H73</f>
        <v>90</v>
      </c>
      <c r="P73" s="1849">
        <v>90</v>
      </c>
      <c r="Q73" s="1848">
        <v>90</v>
      </c>
      <c r="R73" s="84" t="s">
        <v>376</v>
      </c>
      <c r="S73" s="1039" t="s">
        <v>362</v>
      </c>
      <c r="T73" s="1039"/>
    </row>
    <row r="74" spans="1:21" s="976" customFormat="1" ht="13.5" thickBot="1" x14ac:dyDescent="0.25">
      <c r="A74" s="1108"/>
      <c r="B74" s="1100"/>
      <c r="C74" s="1037" t="s">
        <v>330</v>
      </c>
      <c r="D74" s="1038">
        <v>100</v>
      </c>
      <c r="E74" s="1038" t="s">
        <v>160</v>
      </c>
      <c r="F74" s="1039" t="s">
        <v>8</v>
      </c>
      <c r="G74" s="1040">
        <v>4</v>
      </c>
      <c r="H74" s="1041">
        <v>120</v>
      </c>
      <c r="I74" s="84">
        <f>365*L74*G74</f>
        <v>8684.6901196879408</v>
      </c>
      <c r="J74" s="1848">
        <v>8684.6901196879408</v>
      </c>
      <c r="K74" s="1848">
        <v>8684.6901196879408</v>
      </c>
      <c r="L74" s="84">
        <f>O74/H74</f>
        <v>5.9484178901972191</v>
      </c>
      <c r="M74" s="1848">
        <v>5.9484178901972191</v>
      </c>
      <c r="N74" s="1848">
        <v>5.9484178901972191</v>
      </c>
      <c r="O74" s="84">
        <v>713.81014682366629</v>
      </c>
      <c r="P74" s="1849">
        <v>713.81014682366629</v>
      </c>
      <c r="Q74" s="1848">
        <v>713.81014682366629</v>
      </c>
      <c r="R74" s="84" t="s">
        <v>593</v>
      </c>
      <c r="S74" s="1039" t="s">
        <v>365</v>
      </c>
      <c r="T74" s="1039"/>
    </row>
    <row r="75" spans="1:21" s="976" customFormat="1" x14ac:dyDescent="0.2">
      <c r="A75" s="1108"/>
      <c r="B75" s="1100"/>
      <c r="C75" s="1096" t="s">
        <v>594</v>
      </c>
      <c r="D75" s="1096"/>
      <c r="E75" s="1096"/>
      <c r="F75" s="1097"/>
      <c r="G75" s="1097"/>
      <c r="H75" s="1097"/>
      <c r="I75" s="1097"/>
      <c r="J75" s="1098"/>
      <c r="K75" s="224"/>
      <c r="L75" s="224"/>
      <c r="M75" s="224"/>
      <c r="N75" s="224"/>
      <c r="O75" s="980"/>
      <c r="P75" s="1099"/>
      <c r="Q75" s="1099"/>
      <c r="R75" s="1099"/>
    </row>
    <row r="76" spans="1:21" s="976" customFormat="1" x14ac:dyDescent="0.2">
      <c r="A76" s="1108"/>
      <c r="B76" s="1100"/>
      <c r="C76" s="1096"/>
      <c r="D76" s="1096"/>
      <c r="E76" s="1096"/>
      <c r="F76" s="1097"/>
      <c r="G76" s="1097"/>
      <c r="H76" s="1097"/>
      <c r="I76" s="1097"/>
      <c r="J76" s="1098"/>
      <c r="L76" s="224"/>
      <c r="M76" s="224"/>
      <c r="N76" s="1109"/>
      <c r="O76" s="980"/>
      <c r="P76" s="1099"/>
      <c r="Q76" s="1099"/>
      <c r="R76" s="1099"/>
    </row>
    <row r="77" spans="1:21" s="976" customFormat="1" x14ac:dyDescent="0.2">
      <c r="A77" s="1108"/>
      <c r="B77" s="1110" t="str">
        <f>'TRAD-Prices 10-2011 GPRM'!B37</f>
        <v>Notes</v>
      </c>
      <c r="C77" s="1111"/>
      <c r="D77" s="1111"/>
      <c r="E77" s="1111"/>
      <c r="F77" s="1112"/>
      <c r="G77" s="1112"/>
      <c r="H77" s="1112"/>
      <c r="I77" s="1112"/>
      <c r="J77" s="1113"/>
      <c r="K77" s="1114"/>
      <c r="L77" s="235"/>
      <c r="M77" s="235"/>
      <c r="N77" s="1109"/>
      <c r="O77" s="980"/>
      <c r="P77" s="1099"/>
      <c r="Q77" s="1099"/>
      <c r="R77" s="1099"/>
    </row>
    <row r="78" spans="1:21" s="976" customFormat="1" x14ac:dyDescent="0.2">
      <c r="A78" s="1108"/>
      <c r="B78" s="977" t="s">
        <v>240</v>
      </c>
      <c r="C78" s="1096" t="str">
        <f>'TRAD-Prices 10-2011 GPRM'!B38</f>
        <v xml:space="preserve">D'après Untangling the web of price reduction - http://utw.msfaccess.org/drugs/emtricitabine </v>
      </c>
      <c r="D78" s="1096"/>
      <c r="E78" s="1096"/>
      <c r="F78" s="1097"/>
      <c r="G78" s="1097"/>
      <c r="H78" s="1097"/>
      <c r="I78" s="1097"/>
      <c r="J78" s="1098"/>
      <c r="L78" s="224"/>
      <c r="M78" s="224"/>
      <c r="N78" s="1109"/>
      <c r="O78" s="980"/>
      <c r="P78" s="1099"/>
      <c r="Q78" s="1099"/>
      <c r="R78" s="1099"/>
    </row>
    <row r="79" spans="1:21" s="976" customFormat="1" x14ac:dyDescent="0.2">
      <c r="A79" s="1108"/>
      <c r="B79" s="77" t="s">
        <v>263</v>
      </c>
      <c r="C79" s="1096" t="str">
        <f>'TRAD-Prices 10-2011 GPRM'!B39</f>
        <v>D'après BMS Global Access Program en mai 2009</v>
      </c>
      <c r="D79" s="1096"/>
      <c r="E79" s="1096"/>
      <c r="F79" s="1097"/>
      <c r="G79" s="1097"/>
      <c r="H79" s="1097"/>
      <c r="I79" s="1097"/>
      <c r="J79" s="1098"/>
      <c r="L79" s="224"/>
      <c r="M79" s="224"/>
      <c r="N79" s="1109"/>
      <c r="O79" s="980"/>
      <c r="P79" s="1099"/>
      <c r="Q79" s="1099"/>
      <c r="R79" s="1099"/>
    </row>
    <row r="80" spans="1:21" s="976" customFormat="1" x14ac:dyDescent="0.2">
      <c r="A80" s="1108"/>
      <c r="B80" s="77" t="s">
        <v>327</v>
      </c>
      <c r="C80" s="1096" t="str">
        <f>'TRAD-Prices 10-2011 GPRM'!B40</f>
        <v>D'après Untangling the web of price reduction - http://msf-utw.tumblr.com/post/13260793909/first-ever-atv-r-combination-pill-improves-treatment</v>
      </c>
      <c r="D80" s="1096"/>
      <c r="E80" s="1096"/>
      <c r="F80" s="1097"/>
      <c r="G80" s="1097"/>
      <c r="H80" s="1097"/>
      <c r="I80" s="1097"/>
      <c r="J80" s="1098"/>
      <c r="L80" s="224"/>
      <c r="M80" s="224"/>
      <c r="N80" s="1109"/>
      <c r="O80" s="980"/>
      <c r="P80" s="1099"/>
      <c r="Q80" s="1099"/>
      <c r="R80" s="1099"/>
    </row>
    <row r="81" spans="1:18" s="64" customFormat="1" x14ac:dyDescent="0.2">
      <c r="A81" s="76"/>
      <c r="B81" s="77" t="s">
        <v>373</v>
      </c>
      <c r="C81" s="1096" t="str">
        <f>'TRAD-Prices 10-2011 GPRM'!B41</f>
        <v>D'après Untangling the web of price reduction - http://utw.msfaccess.org/drugs/raltegravir</v>
      </c>
      <c r="D81" s="76"/>
      <c r="E81" s="77"/>
      <c r="F81" s="78"/>
      <c r="G81" s="79"/>
      <c r="H81" s="80"/>
      <c r="I81" s="81"/>
      <c r="J81" s="81"/>
      <c r="K81" s="81"/>
      <c r="L81" s="82"/>
      <c r="M81" s="82"/>
      <c r="N81" s="82"/>
      <c r="O81" s="80"/>
      <c r="P81" s="82"/>
      <c r="Q81" s="82"/>
      <c r="R81" s="82"/>
    </row>
    <row r="82" spans="1:18" s="64" customFormat="1" x14ac:dyDescent="0.2">
      <c r="A82" s="76"/>
      <c r="B82" s="77" t="s">
        <v>376</v>
      </c>
      <c r="C82" s="1096" t="str">
        <f>'TRAD-Prices 10-2011 GPRM'!B42</f>
        <v>D'après Untangling the web of price reduction - http://utw.msfaccess.org/drugs/darunavir</v>
      </c>
      <c r="D82" s="76"/>
      <c r="E82" s="77"/>
      <c r="F82" s="78"/>
      <c r="G82" s="79"/>
      <c r="H82" s="80"/>
      <c r="I82" s="81"/>
      <c r="J82" s="81"/>
      <c r="K82" s="81"/>
      <c r="L82" s="82"/>
      <c r="M82" s="82"/>
      <c r="N82" s="82"/>
      <c r="O82" s="80"/>
      <c r="P82" s="82"/>
      <c r="Q82" s="82"/>
      <c r="R82" s="82"/>
    </row>
    <row r="83" spans="1:18" s="64" customFormat="1" x14ac:dyDescent="0.2">
      <c r="A83" s="76"/>
      <c r="B83" s="77" t="s">
        <v>593</v>
      </c>
      <c r="C83" s="1096" t="str">
        <f>'TRAD-Prices 10-2011 GPRM'!B43</f>
        <v>D'après prix négocié France - VIDAL - 2009</v>
      </c>
      <c r="D83" s="76"/>
      <c r="E83" s="77"/>
      <c r="F83" s="78"/>
      <c r="G83" s="79"/>
      <c r="H83" s="80"/>
      <c r="I83" s="81"/>
      <c r="J83" s="81"/>
      <c r="K83" s="81"/>
      <c r="L83" s="82"/>
      <c r="M83" s="82"/>
      <c r="N83" s="82"/>
      <c r="O83" s="80"/>
      <c r="P83" s="82"/>
      <c r="Q83" s="82"/>
      <c r="R83" s="82"/>
    </row>
    <row r="84" spans="1:18" s="976" customFormat="1" x14ac:dyDescent="0.2">
      <c r="A84" s="1100"/>
      <c r="B84" s="1097"/>
      <c r="C84" s="1100"/>
      <c r="D84" s="1100"/>
      <c r="E84" s="977"/>
      <c r="F84" s="978"/>
      <c r="G84" s="979"/>
      <c r="H84" s="980"/>
      <c r="I84" s="975"/>
      <c r="J84" s="975"/>
      <c r="K84" s="975"/>
      <c r="L84" s="1099"/>
      <c r="M84" s="1099"/>
      <c r="N84" s="1099"/>
      <c r="O84" s="980"/>
      <c r="P84" s="1099"/>
      <c r="Q84" s="1099"/>
      <c r="R84" s="1099"/>
    </row>
    <row r="86" spans="1:18" ht="13.5" thickBot="1" x14ac:dyDescent="0.25"/>
    <row r="87" spans="1:18" ht="16.5" thickBot="1" x14ac:dyDescent="0.3">
      <c r="A87" s="2236" t="str">
        <f>'TRAD-Prices 10-2011 GPRM'!B44</f>
        <v>FORMES PEDIATRIQUES</v>
      </c>
      <c r="B87" s="2237"/>
      <c r="C87" s="2237"/>
      <c r="D87" s="2237"/>
      <c r="E87" s="2237"/>
      <c r="F87" s="2237"/>
      <c r="G87" s="2237"/>
      <c r="H87" s="2237"/>
      <c r="I87" s="2237"/>
      <c r="J87" s="2237"/>
      <c r="K87" s="2237"/>
      <c r="L87" s="2237"/>
      <c r="M87" s="2237"/>
      <c r="N87" s="2237"/>
      <c r="O87" s="2237"/>
      <c r="P87" s="2237"/>
      <c r="Q87" s="2237"/>
      <c r="R87" s="2238"/>
    </row>
    <row r="88" spans="1:18" ht="13.5" thickBot="1" x14ac:dyDescent="0.25"/>
    <row r="89" spans="1:18" s="1115" customFormat="1" ht="39" customHeight="1" thickBot="1" x14ac:dyDescent="0.25">
      <c r="C89" s="981"/>
      <c r="D89" s="981"/>
      <c r="E89" s="981"/>
      <c r="F89" s="1116"/>
      <c r="G89" s="1117"/>
      <c r="H89" s="985" t="str">
        <f>'TRAD-Prices 10-2011 GPRM'!B33</f>
        <v>Qtés / boites</v>
      </c>
      <c r="I89" s="2239" t="str">
        <f>'TRAD-Prices 10-2011 GPRM'!B23</f>
        <v>Prix annuel / patient (US$)</v>
      </c>
      <c r="J89" s="2240"/>
      <c r="K89" s="2241"/>
      <c r="L89" s="2240" t="str">
        <f>'TRAD-Prices 10-2011 GPRM'!B24</f>
        <v>Prix / unité de prise  (US$)</v>
      </c>
      <c r="M89" s="2240"/>
      <c r="N89" s="2240"/>
      <c r="O89" s="2242" t="str">
        <f>'TRAD-Prices 10-2011 GPRM'!B47</f>
        <v>Prix / boite ou flacon (US$)</v>
      </c>
      <c r="P89" s="2243"/>
      <c r="Q89" s="2244"/>
    </row>
    <row r="90" spans="1:18" s="1097" customFormat="1" ht="39" thickBot="1" x14ac:dyDescent="0.25">
      <c r="A90" s="982"/>
      <c r="B90" s="1118"/>
      <c r="C90" s="1101" t="str">
        <f>'TRAD-Prices 10-2011 GPRM'!B17</f>
        <v>DCI</v>
      </c>
      <c r="D90" s="1102" t="str">
        <f>'TRAD-Prices 10-2011 GPRM'!B18</f>
        <v>Dosage</v>
      </c>
      <c r="E90" s="1119" t="str">
        <f>'TRAD-Prices 10-2011 GPRM'!B20</f>
        <v>Unité dosage</v>
      </c>
      <c r="F90" s="1104" t="str">
        <f>'TRAD-Prices 10-2011 GPRM'!B21</f>
        <v>Forme</v>
      </c>
      <c r="G90" s="1106" t="str">
        <f>'TRAD-Prices 10-2011 GPRM'!B22</f>
        <v>Nb d'unité de prises / jour</v>
      </c>
      <c r="H90" s="991"/>
      <c r="I90" s="992" t="str">
        <f>'TRAD-Prices 10-2011 GPRM'!B26</f>
        <v>Médiane</v>
      </c>
      <c r="J90" s="993" t="s">
        <v>157</v>
      </c>
      <c r="K90" s="994" t="s">
        <v>158</v>
      </c>
      <c r="L90" s="995" t="str">
        <f>'TRAD-Prices 10-2011 GPRM'!B26</f>
        <v>Médiane</v>
      </c>
      <c r="M90" s="996" t="s">
        <v>157</v>
      </c>
      <c r="N90" s="1120" t="s">
        <v>158</v>
      </c>
      <c r="O90" s="1121" t="str">
        <f>'TRAD-Prices 10-2011 GPRM'!B26</f>
        <v>Médiane</v>
      </c>
      <c r="P90" s="1122" t="s">
        <v>157</v>
      </c>
      <c r="Q90" s="987" t="s">
        <v>158</v>
      </c>
    </row>
    <row r="91" spans="1:18" s="976" customFormat="1" x14ac:dyDescent="0.2">
      <c r="A91" s="999" t="str">
        <f>'TRAD-Prices 10-2011 GPRM'!B19</f>
        <v>1ères lignes</v>
      </c>
      <c r="B91" s="1011" t="s">
        <v>161</v>
      </c>
      <c r="C91" s="1012" t="s">
        <v>39</v>
      </c>
      <c r="D91" s="1013">
        <v>10</v>
      </c>
      <c r="E91" s="1013" t="s">
        <v>166</v>
      </c>
      <c r="F91" s="1014" t="s">
        <v>167</v>
      </c>
      <c r="G91" s="1015">
        <v>12</v>
      </c>
      <c r="H91" s="1123">
        <v>240</v>
      </c>
      <c r="I91" s="1124">
        <v>38</v>
      </c>
      <c r="J91" s="1125">
        <v>38</v>
      </c>
      <c r="K91" s="1126">
        <v>119</v>
      </c>
      <c r="L91" s="1055">
        <f t="shared" ref="L91:N141" si="4">I91/365/$G91</f>
        <v>8.6757990867579911E-3</v>
      </c>
      <c r="M91" s="1056">
        <f t="shared" si="4"/>
        <v>8.6757990867579911E-3</v>
      </c>
      <c r="N91" s="1057">
        <f t="shared" si="4"/>
        <v>2.7168949771689498E-2</v>
      </c>
      <c r="O91" s="1055">
        <f t="shared" ref="O91:Q141" si="5">L91*$H91</f>
        <v>2.0821917808219177</v>
      </c>
      <c r="P91" s="1056">
        <f t="shared" si="5"/>
        <v>2.0821917808219177</v>
      </c>
      <c r="Q91" s="1057">
        <f t="shared" si="5"/>
        <v>6.5205479452054798</v>
      </c>
    </row>
    <row r="92" spans="1:18" s="976" customFormat="1" x14ac:dyDescent="0.2">
      <c r="A92" s="1011"/>
      <c r="B92" s="1011"/>
      <c r="C92" s="1012" t="s">
        <v>39</v>
      </c>
      <c r="D92" s="1013">
        <v>10</v>
      </c>
      <c r="E92" s="1013" t="s">
        <v>166</v>
      </c>
      <c r="F92" s="1014" t="s">
        <v>167</v>
      </c>
      <c r="G92" s="1015">
        <v>20</v>
      </c>
      <c r="H92" s="1016">
        <v>240</v>
      </c>
      <c r="I92" s="1017">
        <v>16</v>
      </c>
      <c r="J92" s="1018">
        <v>16</v>
      </c>
      <c r="K92" s="1019">
        <v>17</v>
      </c>
      <c r="L92" s="1020">
        <f t="shared" si="4"/>
        <v>2.1917808219178081E-3</v>
      </c>
      <c r="M92" s="1021">
        <f t="shared" si="4"/>
        <v>2.1917808219178081E-3</v>
      </c>
      <c r="N92" s="1022">
        <f t="shared" si="4"/>
        <v>2.3287671232876716E-3</v>
      </c>
      <c r="O92" s="1020">
        <f t="shared" si="5"/>
        <v>0.52602739726027392</v>
      </c>
      <c r="P92" s="1021">
        <f t="shared" si="5"/>
        <v>0.52602739726027392</v>
      </c>
      <c r="Q92" s="1022">
        <f t="shared" si="5"/>
        <v>0.55890410958904113</v>
      </c>
    </row>
    <row r="93" spans="1:18" s="976" customFormat="1" x14ac:dyDescent="0.2">
      <c r="A93" s="1011"/>
      <c r="B93" s="1011"/>
      <c r="C93" s="1012" t="s">
        <v>61</v>
      </c>
      <c r="D93" s="1013">
        <v>1</v>
      </c>
      <c r="E93" s="1013" t="s">
        <v>166</v>
      </c>
      <c r="F93" s="1014" t="s">
        <v>167</v>
      </c>
      <c r="G93" s="1015">
        <v>12</v>
      </c>
      <c r="H93" s="1016">
        <v>240</v>
      </c>
      <c r="I93" s="1017">
        <v>29</v>
      </c>
      <c r="J93" s="1018">
        <v>28</v>
      </c>
      <c r="K93" s="1019">
        <v>31</v>
      </c>
      <c r="L93" s="1020">
        <f t="shared" si="4"/>
        <v>6.6210045662100465E-3</v>
      </c>
      <c r="M93" s="1021">
        <f t="shared" si="4"/>
        <v>6.392694063926941E-3</v>
      </c>
      <c r="N93" s="1022">
        <f t="shared" si="4"/>
        <v>7.0776255707762558E-3</v>
      </c>
      <c r="O93" s="1020">
        <f t="shared" si="5"/>
        <v>1.5890410958904111</v>
      </c>
      <c r="P93" s="1021">
        <f t="shared" si="5"/>
        <v>1.5342465753424659</v>
      </c>
      <c r="Q93" s="1022">
        <f t="shared" si="5"/>
        <v>1.6986301369863015</v>
      </c>
    </row>
    <row r="94" spans="1:18" s="976" customFormat="1" x14ac:dyDescent="0.2">
      <c r="A94" s="1127"/>
      <c r="C94" s="1128" t="s">
        <v>15</v>
      </c>
      <c r="D94" s="1051">
        <v>10</v>
      </c>
      <c r="E94" s="1051" t="s">
        <v>166</v>
      </c>
      <c r="F94" s="1129" t="s">
        <v>167</v>
      </c>
      <c r="G94" s="1130">
        <v>6</v>
      </c>
      <c r="H94" s="1123">
        <v>240</v>
      </c>
      <c r="I94" s="1124">
        <v>29</v>
      </c>
      <c r="J94" s="1125">
        <v>17</v>
      </c>
      <c r="K94" s="1126">
        <v>40</v>
      </c>
      <c r="L94" s="1055">
        <f t="shared" si="4"/>
        <v>1.3242009132420093E-2</v>
      </c>
      <c r="M94" s="1056">
        <f t="shared" si="4"/>
        <v>7.7625570776255716E-3</v>
      </c>
      <c r="N94" s="1057">
        <f t="shared" si="4"/>
        <v>1.8264840182648401E-2</v>
      </c>
      <c r="O94" s="1055">
        <f t="shared" si="5"/>
        <v>3.1780821917808222</v>
      </c>
      <c r="P94" s="1056">
        <f t="shared" si="5"/>
        <v>1.8630136986301371</v>
      </c>
      <c r="Q94" s="1057">
        <f t="shared" si="5"/>
        <v>4.3835616438356162</v>
      </c>
    </row>
    <row r="95" spans="1:18" s="976" customFormat="1" x14ac:dyDescent="0.2">
      <c r="A95" s="1011"/>
      <c r="B95" s="1011"/>
      <c r="C95" s="1012" t="s">
        <v>15</v>
      </c>
      <c r="D95" s="1013">
        <v>10</v>
      </c>
      <c r="E95" s="1013" t="s">
        <v>166</v>
      </c>
      <c r="F95" s="1014" t="s">
        <v>167</v>
      </c>
      <c r="G95" s="1015">
        <v>10</v>
      </c>
      <c r="H95" s="1016">
        <v>240</v>
      </c>
      <c r="I95" s="1017">
        <v>50</v>
      </c>
      <c r="J95" s="1018">
        <v>35</v>
      </c>
      <c r="K95" s="1019">
        <v>52</v>
      </c>
      <c r="L95" s="1020">
        <f t="shared" si="4"/>
        <v>1.3698630136986301E-2</v>
      </c>
      <c r="M95" s="1021">
        <f t="shared" si="4"/>
        <v>9.5890410958904097E-3</v>
      </c>
      <c r="N95" s="1022">
        <f t="shared" si="4"/>
        <v>1.4246575342465753E-2</v>
      </c>
      <c r="O95" s="1020">
        <f t="shared" si="5"/>
        <v>3.2876712328767121</v>
      </c>
      <c r="P95" s="1021">
        <f t="shared" si="5"/>
        <v>2.3013698630136985</v>
      </c>
      <c r="Q95" s="1022">
        <f t="shared" si="5"/>
        <v>3.4191780821917805</v>
      </c>
    </row>
    <row r="96" spans="1:18" s="976" customFormat="1" x14ac:dyDescent="0.2">
      <c r="A96" s="1011"/>
      <c r="B96" s="1011"/>
      <c r="C96" s="1012" t="s">
        <v>17</v>
      </c>
      <c r="D96" s="1013">
        <v>30</v>
      </c>
      <c r="E96" s="1013" t="s">
        <v>166</v>
      </c>
      <c r="F96" s="1014" t="s">
        <v>167</v>
      </c>
      <c r="G96" s="1015">
        <v>3.25</v>
      </c>
      <c r="H96" s="1016">
        <v>240</v>
      </c>
      <c r="I96" s="1017">
        <v>112</v>
      </c>
      <c r="J96" s="1018">
        <v>112</v>
      </c>
      <c r="K96" s="1019">
        <v>116</v>
      </c>
      <c r="L96" s="1020">
        <f t="shared" si="4"/>
        <v>9.4415173867228669E-2</v>
      </c>
      <c r="M96" s="1021">
        <f t="shared" si="4"/>
        <v>9.4415173867228669E-2</v>
      </c>
      <c r="N96" s="1022">
        <f t="shared" si="4"/>
        <v>9.7787144362486839E-2</v>
      </c>
      <c r="O96" s="1020">
        <f t="shared" si="5"/>
        <v>22.659641728134879</v>
      </c>
      <c r="P96" s="1021">
        <f t="shared" si="5"/>
        <v>22.659641728134879</v>
      </c>
      <c r="Q96" s="1022">
        <f t="shared" si="5"/>
        <v>23.46891464699684</v>
      </c>
    </row>
    <row r="97" spans="1:17" s="976" customFormat="1" x14ac:dyDescent="0.2">
      <c r="A97" s="1011"/>
      <c r="B97" s="1011"/>
      <c r="C97" s="1012" t="s">
        <v>19</v>
      </c>
      <c r="D97" s="1013">
        <v>10</v>
      </c>
      <c r="E97" s="1013" t="s">
        <v>166</v>
      </c>
      <c r="F97" s="1014" t="s">
        <v>167</v>
      </c>
      <c r="G97" s="1015">
        <v>12</v>
      </c>
      <c r="H97" s="1016">
        <v>240</v>
      </c>
      <c r="I97" s="1017">
        <v>36</v>
      </c>
      <c r="J97" s="1018">
        <v>36</v>
      </c>
      <c r="K97" s="1019">
        <v>110</v>
      </c>
      <c r="L97" s="1020">
        <f t="shared" si="4"/>
        <v>8.21917808219178E-3</v>
      </c>
      <c r="M97" s="1021">
        <f t="shared" si="4"/>
        <v>8.21917808219178E-3</v>
      </c>
      <c r="N97" s="1022">
        <f t="shared" si="4"/>
        <v>2.5114155251141551E-2</v>
      </c>
      <c r="O97" s="1020">
        <f t="shared" si="5"/>
        <v>1.9726027397260273</v>
      </c>
      <c r="P97" s="1021">
        <f t="shared" si="5"/>
        <v>1.9726027397260273</v>
      </c>
      <c r="Q97" s="1022">
        <f t="shared" si="5"/>
        <v>6.0273972602739718</v>
      </c>
    </row>
    <row r="98" spans="1:17" s="976" customFormat="1" x14ac:dyDescent="0.2">
      <c r="A98" s="1024"/>
      <c r="B98" s="1024"/>
      <c r="C98" s="1025" t="s">
        <v>19</v>
      </c>
      <c r="D98" s="1026">
        <v>10</v>
      </c>
      <c r="E98" s="1026" t="s">
        <v>166</v>
      </c>
      <c r="F98" s="1027" t="s">
        <v>167</v>
      </c>
      <c r="G98" s="1028">
        <v>20</v>
      </c>
      <c r="H98" s="1029">
        <v>240</v>
      </c>
      <c r="I98" s="1030">
        <v>154</v>
      </c>
      <c r="J98" s="1031">
        <v>141</v>
      </c>
      <c r="K98" s="1032">
        <v>165</v>
      </c>
      <c r="L98" s="1033">
        <f>I98/365/$G98</f>
        <v>2.1095890410958905E-2</v>
      </c>
      <c r="M98" s="1034">
        <f t="shared" si="4"/>
        <v>1.9315068493150685E-2</v>
      </c>
      <c r="N98" s="1035">
        <f t="shared" si="4"/>
        <v>2.2602739726027395E-2</v>
      </c>
      <c r="O98" s="1033">
        <f>L98*$H98</f>
        <v>5.0630136986301375</v>
      </c>
      <c r="P98" s="1034">
        <f t="shared" si="5"/>
        <v>4.6356164383561644</v>
      </c>
      <c r="Q98" s="1035">
        <f t="shared" si="5"/>
        <v>5.4246575342465748</v>
      </c>
    </row>
    <row r="99" spans="1:17" s="976" customFormat="1" x14ac:dyDescent="0.2">
      <c r="A99" s="1131" t="str">
        <f>'TRAD-Prices 10-2011 GPRM'!B28</f>
        <v>2 &amp; 3èmes lignes</v>
      </c>
      <c r="B99" s="1023"/>
      <c r="C99" s="1128" t="s">
        <v>25</v>
      </c>
      <c r="D99" s="1051">
        <v>20</v>
      </c>
      <c r="E99" s="1051" t="s">
        <v>166</v>
      </c>
      <c r="F99" s="1129" t="s">
        <v>167</v>
      </c>
      <c r="G99" s="1130">
        <v>4</v>
      </c>
      <c r="H99" s="1123">
        <v>240</v>
      </c>
      <c r="I99" s="1124">
        <v>83</v>
      </c>
      <c r="J99" s="1125">
        <v>76</v>
      </c>
      <c r="K99" s="1126">
        <v>83</v>
      </c>
      <c r="L99" s="1055">
        <f t="shared" si="4"/>
        <v>5.6849315068493153E-2</v>
      </c>
      <c r="M99" s="1056">
        <f t="shared" si="4"/>
        <v>5.2054794520547946E-2</v>
      </c>
      <c r="N99" s="1057">
        <f t="shared" si="4"/>
        <v>5.6849315068493153E-2</v>
      </c>
      <c r="O99" s="1055">
        <f t="shared" si="5"/>
        <v>13.643835616438357</v>
      </c>
      <c r="P99" s="1056">
        <f t="shared" si="5"/>
        <v>12.493150684931507</v>
      </c>
      <c r="Q99" s="1057">
        <f t="shared" si="5"/>
        <v>13.643835616438357</v>
      </c>
    </row>
    <row r="100" spans="1:17" s="976" customFormat="1" x14ac:dyDescent="0.2">
      <c r="A100" s="1011"/>
      <c r="B100" s="1011"/>
      <c r="C100" s="1012" t="s">
        <v>25</v>
      </c>
      <c r="D100" s="1013">
        <v>20</v>
      </c>
      <c r="E100" s="1013" t="s">
        <v>166</v>
      </c>
      <c r="F100" s="1014" t="s">
        <v>167</v>
      </c>
      <c r="G100" s="1015">
        <v>10</v>
      </c>
      <c r="H100" s="1016">
        <v>240</v>
      </c>
      <c r="I100" s="1017">
        <v>207</v>
      </c>
      <c r="J100" s="1018">
        <v>190</v>
      </c>
      <c r="K100" s="1019">
        <v>208</v>
      </c>
      <c r="L100" s="1020">
        <f t="shared" si="4"/>
        <v>5.6712328767123288E-2</v>
      </c>
      <c r="M100" s="1021">
        <f t="shared" si="4"/>
        <v>5.205479452054794E-2</v>
      </c>
      <c r="N100" s="1022">
        <f t="shared" si="4"/>
        <v>5.6986301369863011E-2</v>
      </c>
      <c r="O100" s="1020">
        <f t="shared" si="5"/>
        <v>13.610958904109589</v>
      </c>
      <c r="P100" s="1021">
        <f t="shared" si="5"/>
        <v>12.493150684931505</v>
      </c>
      <c r="Q100" s="1022">
        <f t="shared" si="5"/>
        <v>13.676712328767122</v>
      </c>
    </row>
    <row r="101" spans="1:17" s="976" customFormat="1" x14ac:dyDescent="0.2">
      <c r="B101" s="1011"/>
      <c r="C101" s="1128" t="s">
        <v>28</v>
      </c>
      <c r="D101" s="1051">
        <v>10</v>
      </c>
      <c r="E101" s="1051" t="s">
        <v>166</v>
      </c>
      <c r="F101" s="1129" t="s">
        <v>167</v>
      </c>
      <c r="G101" s="1130">
        <v>8</v>
      </c>
      <c r="H101" s="1123">
        <v>240</v>
      </c>
      <c r="I101" s="1124">
        <v>312</v>
      </c>
      <c r="J101" s="1125">
        <v>248</v>
      </c>
      <c r="K101" s="1126">
        <v>312</v>
      </c>
      <c r="L101" s="1055">
        <f t="shared" si="4"/>
        <v>0.10684931506849316</v>
      </c>
      <c r="M101" s="1056">
        <f t="shared" si="4"/>
        <v>8.4931506849315067E-2</v>
      </c>
      <c r="N101" s="1057">
        <f t="shared" si="4"/>
        <v>0.10684931506849316</v>
      </c>
      <c r="O101" s="1055">
        <f t="shared" si="5"/>
        <v>25.643835616438359</v>
      </c>
      <c r="P101" s="1056">
        <f t="shared" si="5"/>
        <v>20.383561643835616</v>
      </c>
      <c r="Q101" s="1057">
        <f t="shared" si="5"/>
        <v>25.643835616438359</v>
      </c>
    </row>
    <row r="102" spans="1:17" s="976" customFormat="1" x14ac:dyDescent="0.2">
      <c r="A102" s="1011"/>
      <c r="B102" s="1011"/>
      <c r="C102" s="1012" t="s">
        <v>28</v>
      </c>
      <c r="D102" s="1013">
        <v>10</v>
      </c>
      <c r="E102" s="1013" t="s">
        <v>166</v>
      </c>
      <c r="F102" s="1014" t="s">
        <v>167</v>
      </c>
      <c r="G102" s="1015">
        <v>12</v>
      </c>
      <c r="H102" s="1016">
        <v>240</v>
      </c>
      <c r="I102" s="1017"/>
      <c r="J102" s="1018"/>
      <c r="K102" s="1019"/>
      <c r="L102" s="1020">
        <f t="shared" si="4"/>
        <v>0</v>
      </c>
      <c r="M102" s="1021">
        <f t="shared" si="4"/>
        <v>0</v>
      </c>
      <c r="N102" s="1022">
        <f t="shared" si="4"/>
        <v>0</v>
      </c>
      <c r="O102" s="1020">
        <f t="shared" si="5"/>
        <v>0</v>
      </c>
      <c r="P102" s="1021">
        <f t="shared" si="5"/>
        <v>0</v>
      </c>
      <c r="Q102" s="1022">
        <f t="shared" si="5"/>
        <v>0</v>
      </c>
    </row>
    <row r="103" spans="1:17" s="976" customFormat="1" x14ac:dyDescent="0.2">
      <c r="A103" s="1011"/>
      <c r="B103" s="1011"/>
      <c r="C103" s="1012" t="s">
        <v>33</v>
      </c>
      <c r="D103" s="1013" t="s">
        <v>168</v>
      </c>
      <c r="E103" s="1013" t="s">
        <v>166</v>
      </c>
      <c r="F103" s="1014" t="s">
        <v>167</v>
      </c>
      <c r="G103" s="1015">
        <v>2</v>
      </c>
      <c r="H103" s="1016">
        <v>60</v>
      </c>
      <c r="I103" s="1017">
        <v>85</v>
      </c>
      <c r="J103" s="1018">
        <v>80</v>
      </c>
      <c r="K103" s="1019">
        <v>88</v>
      </c>
      <c r="L103" s="1020">
        <f t="shared" si="4"/>
        <v>0.11643835616438356</v>
      </c>
      <c r="M103" s="1021">
        <f t="shared" si="4"/>
        <v>0.1095890410958904</v>
      </c>
      <c r="N103" s="1022">
        <f t="shared" si="4"/>
        <v>0.12054794520547946</v>
      </c>
      <c r="O103" s="1020">
        <f t="shared" si="5"/>
        <v>6.9863013698630132</v>
      </c>
      <c r="P103" s="1021">
        <f t="shared" si="5"/>
        <v>6.5753424657534243</v>
      </c>
      <c r="Q103" s="1022">
        <f t="shared" si="5"/>
        <v>7.2328767123287676</v>
      </c>
    </row>
    <row r="104" spans="1:17" s="976" customFormat="1" x14ac:dyDescent="0.2">
      <c r="A104" s="1011"/>
      <c r="B104" s="1011"/>
      <c r="C104" s="1012" t="s">
        <v>33</v>
      </c>
      <c r="D104" s="1013" t="s">
        <v>168</v>
      </c>
      <c r="E104" s="1013" t="s">
        <v>166</v>
      </c>
      <c r="F104" s="1014" t="s">
        <v>167</v>
      </c>
      <c r="G104" s="1015">
        <v>3</v>
      </c>
      <c r="H104" s="1016">
        <v>60</v>
      </c>
      <c r="I104" s="1017">
        <v>48</v>
      </c>
      <c r="J104" s="1018">
        <v>29</v>
      </c>
      <c r="K104" s="1019">
        <v>55</v>
      </c>
      <c r="L104" s="1020">
        <f t="shared" si="4"/>
        <v>4.3835616438356158E-2</v>
      </c>
      <c r="M104" s="1021">
        <f t="shared" si="4"/>
        <v>2.6484018264840186E-2</v>
      </c>
      <c r="N104" s="1022">
        <f t="shared" si="4"/>
        <v>5.0228310502283102E-2</v>
      </c>
      <c r="O104" s="1020">
        <f t="shared" si="5"/>
        <v>2.6301369863013693</v>
      </c>
      <c r="P104" s="1021">
        <f t="shared" si="5"/>
        <v>1.5890410958904111</v>
      </c>
      <c r="Q104" s="1022">
        <f t="shared" si="5"/>
        <v>3.0136986301369859</v>
      </c>
    </row>
    <row r="105" spans="1:17" s="976" customFormat="1" ht="13.5" thickBot="1" x14ac:dyDescent="0.25">
      <c r="A105" s="1011"/>
      <c r="B105" s="1036"/>
      <c r="C105" s="1037" t="s">
        <v>144</v>
      </c>
      <c r="D105" s="1038">
        <v>50</v>
      </c>
      <c r="E105" s="1038" t="s">
        <v>179</v>
      </c>
      <c r="F105" s="1039" t="s">
        <v>237</v>
      </c>
      <c r="G105" s="1040">
        <v>15</v>
      </c>
      <c r="H105" s="1041">
        <v>144</v>
      </c>
      <c r="I105" s="1042">
        <v>1318</v>
      </c>
      <c r="J105" s="1043">
        <v>1318</v>
      </c>
      <c r="K105" s="1044">
        <v>1357</v>
      </c>
      <c r="L105" s="1045">
        <f>I105/365/$G105</f>
        <v>0.24073059360730595</v>
      </c>
      <c r="M105" s="1046">
        <f>J105/365/$G105</f>
        <v>0.24073059360730595</v>
      </c>
      <c r="N105" s="1047">
        <f>K105/365/$G105</f>
        <v>0.2478538812785388</v>
      </c>
      <c r="O105" s="1045">
        <f t="shared" si="5"/>
        <v>34.665205479452055</v>
      </c>
      <c r="P105" s="1046">
        <f t="shared" si="5"/>
        <v>34.665205479452055</v>
      </c>
      <c r="Q105" s="1047">
        <f t="shared" si="5"/>
        <v>35.690958904109586</v>
      </c>
    </row>
    <row r="106" spans="1:17" s="976" customFormat="1" ht="13.5" thickBot="1" x14ac:dyDescent="0.25">
      <c r="A106" s="1851"/>
      <c r="B106" s="1850"/>
      <c r="C106" s="1831" t="s">
        <v>70</v>
      </c>
      <c r="D106" s="1832" t="s">
        <v>1534</v>
      </c>
      <c r="E106" s="1833">
        <v>80</v>
      </c>
      <c r="F106" s="1833" t="s">
        <v>1538</v>
      </c>
      <c r="G106" s="1835" t="s">
        <v>1537</v>
      </c>
      <c r="H106" s="1834"/>
      <c r="I106" s="1821"/>
      <c r="J106" s="1822"/>
      <c r="K106" s="1823"/>
      <c r="L106" s="1836">
        <v>9.1333333333333336E-2</v>
      </c>
      <c r="M106" s="1837">
        <v>9.1333333333333336E-2</v>
      </c>
      <c r="N106" s="1838">
        <v>9.1333333333333336E-2</v>
      </c>
      <c r="O106" s="1836">
        <v>8.2200000000000006</v>
      </c>
      <c r="P106" s="1837">
        <v>8.2200000000000006</v>
      </c>
      <c r="Q106" s="1838">
        <v>8.2200000000000006</v>
      </c>
    </row>
    <row r="107" spans="1:17" s="976" customFormat="1" x14ac:dyDescent="0.2">
      <c r="A107" s="999" t="str">
        <f>'TRAD-Prices 10-2011 GPRM'!B19</f>
        <v>1ères lignes</v>
      </c>
      <c r="B107" s="1023" t="s">
        <v>159</v>
      </c>
      <c r="C107" s="1128" t="s">
        <v>50</v>
      </c>
      <c r="D107" s="1051" t="s">
        <v>169</v>
      </c>
      <c r="E107" s="1051" t="s">
        <v>160</v>
      </c>
      <c r="F107" s="1129" t="s">
        <v>8</v>
      </c>
      <c r="G107" s="1130">
        <v>3</v>
      </c>
      <c r="H107" s="1123">
        <v>60</v>
      </c>
      <c r="I107" s="1124"/>
      <c r="J107" s="1125"/>
      <c r="K107" s="1126"/>
      <c r="L107" s="1055">
        <f t="shared" si="4"/>
        <v>0</v>
      </c>
      <c r="M107" s="1056">
        <f t="shared" si="4"/>
        <v>0</v>
      </c>
      <c r="N107" s="1057">
        <f t="shared" si="4"/>
        <v>0</v>
      </c>
      <c r="O107" s="1055">
        <f t="shared" si="5"/>
        <v>0</v>
      </c>
      <c r="P107" s="1056">
        <f t="shared" si="5"/>
        <v>0</v>
      </c>
      <c r="Q107" s="1057">
        <f t="shared" si="5"/>
        <v>0</v>
      </c>
    </row>
    <row r="108" spans="1:17" s="976" customFormat="1" x14ac:dyDescent="0.2">
      <c r="A108" s="1011"/>
      <c r="B108" s="1011"/>
      <c r="C108" s="1012" t="s">
        <v>50</v>
      </c>
      <c r="D108" s="1013" t="s">
        <v>169</v>
      </c>
      <c r="E108" s="1013" t="s">
        <v>160</v>
      </c>
      <c r="F108" s="1014" t="s">
        <v>8</v>
      </c>
      <c r="G108" s="1015">
        <v>5</v>
      </c>
      <c r="H108" s="1016">
        <v>60</v>
      </c>
      <c r="I108" s="1017"/>
      <c r="J108" s="1018"/>
      <c r="K108" s="1019"/>
      <c r="L108" s="1020">
        <f t="shared" si="4"/>
        <v>0</v>
      </c>
      <c r="M108" s="1021">
        <f t="shared" si="4"/>
        <v>0</v>
      </c>
      <c r="N108" s="1022">
        <f t="shared" si="4"/>
        <v>0</v>
      </c>
      <c r="O108" s="1020">
        <f t="shared" si="5"/>
        <v>0</v>
      </c>
      <c r="P108" s="1021">
        <f t="shared" si="5"/>
        <v>0</v>
      </c>
      <c r="Q108" s="1022">
        <f t="shared" si="5"/>
        <v>0</v>
      </c>
    </row>
    <row r="109" spans="1:17" s="976" customFormat="1" x14ac:dyDescent="0.2">
      <c r="A109" s="1011"/>
      <c r="B109" s="1011"/>
      <c r="C109" s="1012" t="s">
        <v>50</v>
      </c>
      <c r="D109" s="1013" t="s">
        <v>172</v>
      </c>
      <c r="E109" s="1013" t="s">
        <v>160</v>
      </c>
      <c r="F109" s="1014" t="s">
        <v>8</v>
      </c>
      <c r="G109" s="1015">
        <v>2</v>
      </c>
      <c r="H109" s="1016">
        <v>60</v>
      </c>
      <c r="I109" s="1017">
        <v>28</v>
      </c>
      <c r="J109" s="1018">
        <v>28</v>
      </c>
      <c r="K109" s="1019">
        <v>33</v>
      </c>
      <c r="L109" s="1020">
        <f t="shared" si="4"/>
        <v>3.8356164383561646E-2</v>
      </c>
      <c r="M109" s="1021">
        <f t="shared" si="4"/>
        <v>3.8356164383561646E-2</v>
      </c>
      <c r="N109" s="1022">
        <f t="shared" si="4"/>
        <v>4.5205479452054796E-2</v>
      </c>
      <c r="O109" s="1020">
        <f t="shared" si="5"/>
        <v>2.3013698630136989</v>
      </c>
      <c r="P109" s="1021">
        <f t="shared" si="5"/>
        <v>2.3013698630136989</v>
      </c>
      <c r="Q109" s="1022">
        <f t="shared" si="5"/>
        <v>2.7123287671232879</v>
      </c>
    </row>
    <row r="110" spans="1:17" s="976" customFormat="1" x14ac:dyDescent="0.2">
      <c r="A110" s="1011"/>
      <c r="B110" s="1011"/>
      <c r="C110" s="1012" t="s">
        <v>50</v>
      </c>
      <c r="D110" s="1013" t="s">
        <v>172</v>
      </c>
      <c r="E110" s="1013" t="s">
        <v>160</v>
      </c>
      <c r="F110" s="1014" t="s">
        <v>8</v>
      </c>
      <c r="G110" s="1015">
        <v>4</v>
      </c>
      <c r="H110" s="1016">
        <v>60</v>
      </c>
      <c r="I110" s="1017">
        <v>46</v>
      </c>
      <c r="J110" s="1018">
        <v>43</v>
      </c>
      <c r="K110" s="1019">
        <v>46</v>
      </c>
      <c r="L110" s="1020">
        <f t="shared" si="4"/>
        <v>3.1506849315068496E-2</v>
      </c>
      <c r="M110" s="1021">
        <f t="shared" si="4"/>
        <v>2.9452054794520548E-2</v>
      </c>
      <c r="N110" s="1022">
        <f t="shared" si="4"/>
        <v>3.1506849315068496E-2</v>
      </c>
      <c r="O110" s="1020">
        <f t="shared" si="5"/>
        <v>1.8904109589041098</v>
      </c>
      <c r="P110" s="1021">
        <f t="shared" si="5"/>
        <v>1.7671232876712328</v>
      </c>
      <c r="Q110" s="1022">
        <f t="shared" si="5"/>
        <v>1.8904109589041098</v>
      </c>
    </row>
    <row r="111" spans="1:17" s="976" customFormat="1" x14ac:dyDescent="0.2">
      <c r="A111" s="1011"/>
      <c r="B111" s="1011"/>
      <c r="C111" s="1012" t="s">
        <v>50</v>
      </c>
      <c r="D111" s="1013" t="s">
        <v>170</v>
      </c>
      <c r="E111" s="1013" t="s">
        <v>160</v>
      </c>
      <c r="F111" s="1014" t="s">
        <v>8</v>
      </c>
      <c r="G111" s="1015">
        <v>1.5</v>
      </c>
      <c r="H111" s="1016">
        <v>60</v>
      </c>
      <c r="I111" s="1017"/>
      <c r="J111" s="1018"/>
      <c r="K111" s="1019"/>
      <c r="L111" s="1020">
        <f t="shared" si="4"/>
        <v>0</v>
      </c>
      <c r="M111" s="1021">
        <f t="shared" si="4"/>
        <v>0</v>
      </c>
      <c r="N111" s="1022">
        <f t="shared" si="4"/>
        <v>0</v>
      </c>
      <c r="O111" s="1020">
        <f t="shared" si="5"/>
        <v>0</v>
      </c>
      <c r="P111" s="1021">
        <f t="shared" si="5"/>
        <v>0</v>
      </c>
      <c r="Q111" s="1022">
        <f t="shared" si="5"/>
        <v>0</v>
      </c>
    </row>
    <row r="112" spans="1:17" s="976" customFormat="1" x14ac:dyDescent="0.2">
      <c r="A112" s="1011"/>
      <c r="B112" s="1011"/>
      <c r="C112" s="1012" t="s">
        <v>50</v>
      </c>
      <c r="D112" s="1013" t="s">
        <v>170</v>
      </c>
      <c r="E112" s="1013" t="s">
        <v>160</v>
      </c>
      <c r="F112" s="1014" t="s">
        <v>8</v>
      </c>
      <c r="G112" s="1015">
        <v>3</v>
      </c>
      <c r="H112" s="1016">
        <v>60</v>
      </c>
      <c r="I112" s="1017"/>
      <c r="J112" s="1018"/>
      <c r="K112" s="1019"/>
      <c r="L112" s="1020">
        <f t="shared" si="4"/>
        <v>0</v>
      </c>
      <c r="M112" s="1021">
        <f t="shared" si="4"/>
        <v>0</v>
      </c>
      <c r="N112" s="1022">
        <f t="shared" si="4"/>
        <v>0</v>
      </c>
      <c r="O112" s="1020">
        <f t="shared" si="5"/>
        <v>0</v>
      </c>
      <c r="P112" s="1021">
        <f t="shared" si="5"/>
        <v>0</v>
      </c>
      <c r="Q112" s="1022">
        <f t="shared" si="5"/>
        <v>0</v>
      </c>
    </row>
    <row r="113" spans="1:17" s="976" customFormat="1" x14ac:dyDescent="0.2">
      <c r="A113" s="1011"/>
      <c r="B113" s="1011"/>
      <c r="C113" s="1012" t="s">
        <v>50</v>
      </c>
      <c r="D113" s="1013" t="s">
        <v>171</v>
      </c>
      <c r="E113" s="1013" t="s">
        <v>160</v>
      </c>
      <c r="F113" s="1014" t="s">
        <v>8</v>
      </c>
      <c r="G113" s="1015">
        <v>1</v>
      </c>
      <c r="H113" s="1016">
        <v>60</v>
      </c>
      <c r="I113" s="1017">
        <v>29</v>
      </c>
      <c r="J113" s="1018">
        <v>26</v>
      </c>
      <c r="K113" s="1019">
        <v>33</v>
      </c>
      <c r="L113" s="1020">
        <f t="shared" si="4"/>
        <v>7.9452054794520555E-2</v>
      </c>
      <c r="M113" s="1021">
        <f t="shared" si="4"/>
        <v>7.1232876712328766E-2</v>
      </c>
      <c r="N113" s="1022">
        <f t="shared" si="4"/>
        <v>9.0410958904109592E-2</v>
      </c>
      <c r="O113" s="1020">
        <f t="shared" si="5"/>
        <v>4.7671232876712333</v>
      </c>
      <c r="P113" s="1021">
        <f t="shared" si="5"/>
        <v>4.2739726027397262</v>
      </c>
      <c r="Q113" s="1022">
        <f t="shared" si="5"/>
        <v>5.4246575342465757</v>
      </c>
    </row>
    <row r="114" spans="1:17" s="976" customFormat="1" x14ac:dyDescent="0.2">
      <c r="A114" s="1011"/>
      <c r="B114" s="1011"/>
      <c r="C114" s="1012" t="s">
        <v>50</v>
      </c>
      <c r="D114" s="1013" t="s">
        <v>171</v>
      </c>
      <c r="E114" s="1013" t="s">
        <v>160</v>
      </c>
      <c r="F114" s="1014" t="s">
        <v>8</v>
      </c>
      <c r="G114" s="1015">
        <v>2</v>
      </c>
      <c r="H114" s="1016">
        <v>60</v>
      </c>
      <c r="I114" s="1017">
        <v>40</v>
      </c>
      <c r="J114" s="1018">
        <v>40</v>
      </c>
      <c r="K114" s="1019">
        <v>40</v>
      </c>
      <c r="L114" s="1020">
        <f t="shared" si="4"/>
        <v>5.4794520547945202E-2</v>
      </c>
      <c r="M114" s="1021">
        <f t="shared" si="4"/>
        <v>5.4794520547945202E-2</v>
      </c>
      <c r="N114" s="1022">
        <f t="shared" si="4"/>
        <v>5.4794520547945202E-2</v>
      </c>
      <c r="O114" s="1020">
        <f t="shared" si="5"/>
        <v>3.2876712328767121</v>
      </c>
      <c r="P114" s="1021">
        <f t="shared" si="5"/>
        <v>3.2876712328767121</v>
      </c>
      <c r="Q114" s="1022">
        <f t="shared" si="5"/>
        <v>3.2876712328767121</v>
      </c>
    </row>
    <row r="115" spans="1:17" s="976" customFormat="1" x14ac:dyDescent="0.2">
      <c r="A115" s="1011"/>
      <c r="B115" s="1011"/>
      <c r="C115" s="1012" t="s">
        <v>50</v>
      </c>
      <c r="D115" s="1100" t="s">
        <v>596</v>
      </c>
      <c r="E115" s="1013" t="s">
        <v>160</v>
      </c>
      <c r="F115" s="1014" t="s">
        <v>8</v>
      </c>
      <c r="G115" s="1015">
        <v>1</v>
      </c>
      <c r="H115" s="1016">
        <v>60</v>
      </c>
      <c r="I115" s="1017">
        <v>42</v>
      </c>
      <c r="J115" s="1018">
        <v>35</v>
      </c>
      <c r="K115" s="1019">
        <v>50</v>
      </c>
      <c r="L115" s="1020">
        <f t="shared" si="4"/>
        <v>0.11506849315068493</v>
      </c>
      <c r="M115" s="1021">
        <f t="shared" si="4"/>
        <v>9.5890410958904104E-2</v>
      </c>
      <c r="N115" s="1022">
        <f t="shared" si="4"/>
        <v>0.13698630136986301</v>
      </c>
      <c r="O115" s="1020">
        <f t="shared" si="5"/>
        <v>6.904109589041096</v>
      </c>
      <c r="P115" s="1021">
        <f t="shared" si="5"/>
        <v>5.7534246575342465</v>
      </c>
      <c r="Q115" s="1022">
        <f t="shared" si="5"/>
        <v>8.2191780821917799</v>
      </c>
    </row>
    <row r="116" spans="1:17" s="976" customFormat="1" x14ac:dyDescent="0.2">
      <c r="A116" s="1011"/>
      <c r="B116" s="1011"/>
      <c r="C116" s="1012" t="s">
        <v>81</v>
      </c>
      <c r="D116" s="1013" t="s">
        <v>175</v>
      </c>
      <c r="E116" s="1013" t="s">
        <v>160</v>
      </c>
      <c r="F116" s="1014" t="s">
        <v>8</v>
      </c>
      <c r="G116" s="1015">
        <v>3</v>
      </c>
      <c r="H116" s="1016">
        <v>60</v>
      </c>
      <c r="I116" s="1017"/>
      <c r="J116" s="1018"/>
      <c r="K116" s="1019"/>
      <c r="L116" s="1020">
        <f t="shared" si="4"/>
        <v>0</v>
      </c>
      <c r="M116" s="1021">
        <f t="shared" si="4"/>
        <v>0</v>
      </c>
      <c r="N116" s="1022">
        <f t="shared" si="4"/>
        <v>0</v>
      </c>
      <c r="O116" s="1020">
        <f t="shared" si="5"/>
        <v>0</v>
      </c>
      <c r="P116" s="1021">
        <f t="shared" si="5"/>
        <v>0</v>
      </c>
      <c r="Q116" s="1022">
        <f t="shared" si="5"/>
        <v>0</v>
      </c>
    </row>
    <row r="117" spans="1:17" s="976" customFormat="1" x14ac:dyDescent="0.2">
      <c r="A117" s="1011"/>
      <c r="B117" s="1011"/>
      <c r="C117" s="1012" t="s">
        <v>81</v>
      </c>
      <c r="D117" s="1013" t="s">
        <v>175</v>
      </c>
      <c r="E117" s="1013" t="s">
        <v>160</v>
      </c>
      <c r="F117" s="1014" t="s">
        <v>8</v>
      </c>
      <c r="G117" s="1015">
        <v>5</v>
      </c>
      <c r="H117" s="1016">
        <v>60</v>
      </c>
      <c r="I117" s="1017"/>
      <c r="J117" s="1018"/>
      <c r="K117" s="1019"/>
      <c r="L117" s="1020">
        <f t="shared" si="4"/>
        <v>0</v>
      </c>
      <c r="M117" s="1021">
        <f t="shared" si="4"/>
        <v>0</v>
      </c>
      <c r="N117" s="1022">
        <f t="shared" si="4"/>
        <v>0</v>
      </c>
      <c r="O117" s="1020">
        <f t="shared" si="5"/>
        <v>0</v>
      </c>
      <c r="P117" s="1021">
        <f t="shared" si="5"/>
        <v>0</v>
      </c>
      <c r="Q117" s="1022">
        <f t="shared" si="5"/>
        <v>0</v>
      </c>
    </row>
    <row r="118" spans="1:17" s="976" customFormat="1" x14ac:dyDescent="0.2">
      <c r="A118" s="1011"/>
      <c r="B118" s="1011"/>
      <c r="C118" s="1012" t="s">
        <v>81</v>
      </c>
      <c r="D118" s="1013" t="s">
        <v>176</v>
      </c>
      <c r="E118" s="1013" t="s">
        <v>160</v>
      </c>
      <c r="F118" s="1014" t="s">
        <v>8</v>
      </c>
      <c r="G118" s="1015">
        <v>2</v>
      </c>
      <c r="H118" s="1016">
        <v>60</v>
      </c>
      <c r="I118" s="1017">
        <v>21</v>
      </c>
      <c r="J118" s="1018">
        <v>20</v>
      </c>
      <c r="K118" s="1019">
        <v>22</v>
      </c>
      <c r="L118" s="1020">
        <f t="shared" si="4"/>
        <v>2.8767123287671233E-2</v>
      </c>
      <c r="M118" s="1021">
        <f t="shared" si="4"/>
        <v>2.7397260273972601E-2</v>
      </c>
      <c r="N118" s="1022">
        <f t="shared" si="4"/>
        <v>3.0136986301369864E-2</v>
      </c>
      <c r="O118" s="1020">
        <f t="shared" si="5"/>
        <v>1.726027397260274</v>
      </c>
      <c r="P118" s="1021">
        <f t="shared" si="5"/>
        <v>1.6438356164383561</v>
      </c>
      <c r="Q118" s="1022">
        <f t="shared" si="5"/>
        <v>1.8082191780821919</v>
      </c>
    </row>
    <row r="119" spans="1:17" s="976" customFormat="1" x14ac:dyDescent="0.2">
      <c r="A119" s="1011"/>
      <c r="B119" s="1011"/>
      <c r="C119" s="1012" t="s">
        <v>81</v>
      </c>
      <c r="D119" s="1013" t="s">
        <v>176</v>
      </c>
      <c r="E119" s="1013" t="s">
        <v>160</v>
      </c>
      <c r="F119" s="1014" t="s">
        <v>8</v>
      </c>
      <c r="G119" s="1015">
        <v>4</v>
      </c>
      <c r="H119" s="1016">
        <v>60</v>
      </c>
      <c r="I119" s="1017">
        <v>19</v>
      </c>
      <c r="J119" s="1018">
        <v>19</v>
      </c>
      <c r="K119" s="1019">
        <v>20</v>
      </c>
      <c r="L119" s="1020">
        <f t="shared" si="4"/>
        <v>1.3013698630136987E-2</v>
      </c>
      <c r="M119" s="1021">
        <f t="shared" si="4"/>
        <v>1.3013698630136987E-2</v>
      </c>
      <c r="N119" s="1022">
        <f t="shared" si="4"/>
        <v>1.3698630136986301E-2</v>
      </c>
      <c r="O119" s="1020">
        <f t="shared" si="5"/>
        <v>0.78082191780821919</v>
      </c>
      <c r="P119" s="1021">
        <f t="shared" si="5"/>
        <v>0.78082191780821919</v>
      </c>
      <c r="Q119" s="1022">
        <f t="shared" si="5"/>
        <v>0.82191780821917804</v>
      </c>
    </row>
    <row r="120" spans="1:17" s="976" customFormat="1" x14ac:dyDescent="0.2">
      <c r="A120" s="1011"/>
      <c r="B120" s="1011"/>
      <c r="C120" s="1012" t="s">
        <v>81</v>
      </c>
      <c r="D120" s="1013" t="s">
        <v>173</v>
      </c>
      <c r="E120" s="1013" t="s">
        <v>160</v>
      </c>
      <c r="F120" s="1014" t="s">
        <v>8</v>
      </c>
      <c r="G120" s="1015">
        <v>1.5</v>
      </c>
      <c r="H120" s="1016">
        <v>60</v>
      </c>
      <c r="I120" s="1124"/>
      <c r="J120" s="1125"/>
      <c r="K120" s="1126"/>
      <c r="L120" s="1055">
        <f t="shared" si="4"/>
        <v>0</v>
      </c>
      <c r="M120" s="1056">
        <f t="shared" si="4"/>
        <v>0</v>
      </c>
      <c r="N120" s="1057">
        <f t="shared" si="4"/>
        <v>0</v>
      </c>
      <c r="O120" s="1055">
        <f t="shared" si="5"/>
        <v>0</v>
      </c>
      <c r="P120" s="1056">
        <f t="shared" si="5"/>
        <v>0</v>
      </c>
      <c r="Q120" s="1057">
        <f t="shared" si="5"/>
        <v>0</v>
      </c>
    </row>
    <row r="121" spans="1:17" s="976" customFormat="1" x14ac:dyDescent="0.2">
      <c r="A121" s="1011"/>
      <c r="B121" s="1011"/>
      <c r="C121" s="1012" t="s">
        <v>81</v>
      </c>
      <c r="D121" s="1013" t="s">
        <v>173</v>
      </c>
      <c r="E121" s="1013" t="s">
        <v>160</v>
      </c>
      <c r="F121" s="1014" t="s">
        <v>8</v>
      </c>
      <c r="G121" s="1015">
        <v>3</v>
      </c>
      <c r="H121" s="1016">
        <v>60</v>
      </c>
      <c r="I121" s="1017"/>
      <c r="J121" s="1018"/>
      <c r="K121" s="1019"/>
      <c r="L121" s="1020">
        <f t="shared" si="4"/>
        <v>0</v>
      </c>
      <c r="M121" s="1021">
        <f t="shared" si="4"/>
        <v>0</v>
      </c>
      <c r="N121" s="1022">
        <f t="shared" si="4"/>
        <v>0</v>
      </c>
      <c r="O121" s="1020">
        <f t="shared" si="5"/>
        <v>0</v>
      </c>
      <c r="P121" s="1021">
        <f t="shared" si="5"/>
        <v>0</v>
      </c>
      <c r="Q121" s="1022">
        <f t="shared" si="5"/>
        <v>0</v>
      </c>
    </row>
    <row r="122" spans="1:17" s="976" customFormat="1" x14ac:dyDescent="0.2">
      <c r="A122" s="1011"/>
      <c r="B122" s="1011"/>
      <c r="C122" s="1012" t="s">
        <v>81</v>
      </c>
      <c r="D122" s="1013" t="s">
        <v>174</v>
      </c>
      <c r="E122" s="1013" t="s">
        <v>160</v>
      </c>
      <c r="F122" s="1014" t="s">
        <v>8</v>
      </c>
      <c r="G122" s="1015">
        <v>1</v>
      </c>
      <c r="H122" s="1016">
        <v>60</v>
      </c>
      <c r="I122" s="1017">
        <v>20</v>
      </c>
      <c r="J122" s="1018">
        <v>19</v>
      </c>
      <c r="K122" s="1019">
        <v>20</v>
      </c>
      <c r="L122" s="1020">
        <f t="shared" si="4"/>
        <v>5.4794520547945202E-2</v>
      </c>
      <c r="M122" s="1021">
        <f t="shared" si="4"/>
        <v>5.2054794520547946E-2</v>
      </c>
      <c r="N122" s="1022">
        <f t="shared" si="4"/>
        <v>5.4794520547945202E-2</v>
      </c>
      <c r="O122" s="1020">
        <f t="shared" si="5"/>
        <v>3.2876712328767121</v>
      </c>
      <c r="P122" s="1021">
        <f t="shared" si="5"/>
        <v>3.1232876712328768</v>
      </c>
      <c r="Q122" s="1022">
        <f t="shared" si="5"/>
        <v>3.2876712328767121</v>
      </c>
    </row>
    <row r="123" spans="1:17" s="976" customFormat="1" x14ac:dyDescent="0.2">
      <c r="A123" s="1011"/>
      <c r="B123" s="1011"/>
      <c r="C123" s="1012" t="s">
        <v>81</v>
      </c>
      <c r="D123" s="1013" t="s">
        <v>174</v>
      </c>
      <c r="E123" s="1013" t="s">
        <v>160</v>
      </c>
      <c r="F123" s="1014" t="s">
        <v>8</v>
      </c>
      <c r="G123" s="1015">
        <v>2</v>
      </c>
      <c r="H123" s="1016">
        <v>60</v>
      </c>
      <c r="I123" s="1017">
        <v>35</v>
      </c>
      <c r="J123" s="1018">
        <v>34</v>
      </c>
      <c r="K123" s="1019">
        <v>38</v>
      </c>
      <c r="L123" s="1020">
        <f t="shared" si="4"/>
        <v>4.7945205479452052E-2</v>
      </c>
      <c r="M123" s="1021">
        <f t="shared" si="4"/>
        <v>4.6575342465753428E-2</v>
      </c>
      <c r="N123" s="1022">
        <f t="shared" si="4"/>
        <v>5.2054794520547946E-2</v>
      </c>
      <c r="O123" s="1020">
        <f t="shared" si="5"/>
        <v>2.8767123287671232</v>
      </c>
      <c r="P123" s="1021">
        <f t="shared" si="5"/>
        <v>2.7945205479452055</v>
      </c>
      <c r="Q123" s="1022">
        <f t="shared" si="5"/>
        <v>3.1232876712328768</v>
      </c>
    </row>
    <row r="124" spans="1:17" s="976" customFormat="1" x14ac:dyDescent="0.2">
      <c r="A124" s="1011"/>
      <c r="B124" s="1011"/>
      <c r="C124" s="1012" t="s">
        <v>81</v>
      </c>
      <c r="D124" s="1013" t="s">
        <v>139</v>
      </c>
      <c r="E124" s="1013" t="s">
        <v>160</v>
      </c>
      <c r="F124" s="1014" t="s">
        <v>8</v>
      </c>
      <c r="G124" s="1015">
        <v>1</v>
      </c>
      <c r="H124" s="1016">
        <v>60</v>
      </c>
      <c r="I124" s="1017">
        <v>72</v>
      </c>
      <c r="J124" s="1018">
        <v>63</v>
      </c>
      <c r="K124" s="1019">
        <v>177</v>
      </c>
      <c r="L124" s="1020">
        <f t="shared" si="4"/>
        <v>0.19726027397260273</v>
      </c>
      <c r="M124" s="1021">
        <f t="shared" si="4"/>
        <v>0.17260273972602741</v>
      </c>
      <c r="N124" s="1022">
        <f t="shared" si="4"/>
        <v>0.48493150684931507</v>
      </c>
      <c r="O124" s="1020">
        <f t="shared" si="5"/>
        <v>11.835616438356164</v>
      </c>
      <c r="P124" s="1021">
        <f t="shared" si="5"/>
        <v>10.356164383561644</v>
      </c>
      <c r="Q124" s="1022">
        <f t="shared" si="5"/>
        <v>29.095890410958905</v>
      </c>
    </row>
    <row r="125" spans="1:17" s="976" customFormat="1" x14ac:dyDescent="0.2">
      <c r="A125" s="1011"/>
      <c r="B125" s="1011"/>
      <c r="C125" s="1012" t="s">
        <v>7</v>
      </c>
      <c r="D125" s="1013" t="s">
        <v>238</v>
      </c>
      <c r="E125" s="1013" t="s">
        <v>160</v>
      </c>
      <c r="F125" s="1014" t="s">
        <v>8</v>
      </c>
      <c r="G125" s="1015">
        <v>2</v>
      </c>
      <c r="H125" s="1016">
        <v>60</v>
      </c>
      <c r="I125" s="1017">
        <v>52</v>
      </c>
      <c r="J125" s="1018">
        <v>51</v>
      </c>
      <c r="K125" s="1019">
        <v>54</v>
      </c>
      <c r="L125" s="1020">
        <f t="shared" si="4"/>
        <v>7.1232876712328766E-2</v>
      </c>
      <c r="M125" s="1021">
        <f t="shared" si="4"/>
        <v>6.9863013698630141E-2</v>
      </c>
      <c r="N125" s="1022">
        <f t="shared" si="4"/>
        <v>7.3972602739726029E-2</v>
      </c>
      <c r="O125" s="1020">
        <f t="shared" si="5"/>
        <v>4.2739726027397262</v>
      </c>
      <c r="P125" s="1021">
        <f t="shared" si="5"/>
        <v>4.1917808219178081</v>
      </c>
      <c r="Q125" s="1022">
        <f t="shared" si="5"/>
        <v>4.4383561643835616</v>
      </c>
    </row>
    <row r="126" spans="1:17" s="976" customFormat="1" x14ac:dyDescent="0.2">
      <c r="A126" s="1011"/>
      <c r="B126" s="1011"/>
      <c r="C126" s="1012" t="s">
        <v>7</v>
      </c>
      <c r="D126" s="1013" t="s">
        <v>238</v>
      </c>
      <c r="E126" s="1013" t="s">
        <v>160</v>
      </c>
      <c r="F126" s="1014" t="s">
        <v>8</v>
      </c>
      <c r="G126" s="1015">
        <v>4</v>
      </c>
      <c r="H126" s="1016">
        <v>60</v>
      </c>
      <c r="I126" s="1017">
        <v>52</v>
      </c>
      <c r="J126" s="1018">
        <v>52</v>
      </c>
      <c r="K126" s="1019">
        <v>64</v>
      </c>
      <c r="L126" s="1020">
        <f t="shared" si="4"/>
        <v>3.5616438356164383E-2</v>
      </c>
      <c r="M126" s="1021">
        <f t="shared" si="4"/>
        <v>3.5616438356164383E-2</v>
      </c>
      <c r="N126" s="1022">
        <f t="shared" si="4"/>
        <v>4.3835616438356165E-2</v>
      </c>
      <c r="O126" s="1020">
        <f t="shared" si="5"/>
        <v>2.1369863013698631</v>
      </c>
      <c r="P126" s="1021">
        <f t="shared" si="5"/>
        <v>2.1369863013698631</v>
      </c>
      <c r="Q126" s="1022">
        <f t="shared" si="5"/>
        <v>2.6301369863013697</v>
      </c>
    </row>
    <row r="127" spans="1:17" s="976" customFormat="1" x14ac:dyDescent="0.2">
      <c r="A127" s="1100"/>
      <c r="B127" s="1100"/>
      <c r="C127" s="1012" t="s">
        <v>140</v>
      </c>
      <c r="D127" s="1013" t="s">
        <v>665</v>
      </c>
      <c r="E127" s="1013" t="s">
        <v>160</v>
      </c>
      <c r="F127" s="1014" t="s">
        <v>8</v>
      </c>
      <c r="G127" s="1015">
        <v>4</v>
      </c>
      <c r="H127" s="1016">
        <v>60</v>
      </c>
      <c r="I127" s="1017">
        <v>244</v>
      </c>
      <c r="J127" s="1018">
        <v>365</v>
      </c>
      <c r="K127" s="1019">
        <v>365</v>
      </c>
      <c r="L127" s="1020">
        <f>I127/365/$G127</f>
        <v>0.16712328767123288</v>
      </c>
      <c r="M127" s="1021">
        <f>J127/365/$G127</f>
        <v>0.25</v>
      </c>
      <c r="N127" s="1022">
        <f>K127/365/$G127</f>
        <v>0.25</v>
      </c>
      <c r="O127" s="1020">
        <f>L127*$H127</f>
        <v>10.027397260273974</v>
      </c>
      <c r="P127" s="1021">
        <f>M127*$H127</f>
        <v>15</v>
      </c>
      <c r="Q127" s="1022">
        <f>N127*$H127</f>
        <v>15</v>
      </c>
    </row>
    <row r="128" spans="1:17" s="976" customFormat="1" x14ac:dyDescent="0.2">
      <c r="A128" s="1011"/>
      <c r="B128" s="1011"/>
      <c r="C128" s="1012" t="s">
        <v>11</v>
      </c>
      <c r="D128" s="1013" t="s">
        <v>239</v>
      </c>
      <c r="E128" s="1013" t="s">
        <v>160</v>
      </c>
      <c r="F128" s="1014" t="s">
        <v>8</v>
      </c>
      <c r="G128" s="1015">
        <v>2</v>
      </c>
      <c r="H128" s="1016">
        <v>60</v>
      </c>
      <c r="I128" s="1017">
        <v>43</v>
      </c>
      <c r="J128" s="1018">
        <v>41</v>
      </c>
      <c r="K128" s="1019">
        <v>43</v>
      </c>
      <c r="L128" s="1020">
        <f t="shared" si="4"/>
        <v>5.8904109589041097E-2</v>
      </c>
      <c r="M128" s="1021">
        <f t="shared" si="4"/>
        <v>5.6164383561643834E-2</v>
      </c>
      <c r="N128" s="1022">
        <f t="shared" si="4"/>
        <v>5.8904109589041097E-2</v>
      </c>
      <c r="O128" s="1020">
        <f t="shared" si="5"/>
        <v>3.5342465753424657</v>
      </c>
      <c r="P128" s="1021">
        <f t="shared" si="5"/>
        <v>3.3698630136986298</v>
      </c>
      <c r="Q128" s="1022">
        <f t="shared" si="5"/>
        <v>3.5342465753424657</v>
      </c>
    </row>
    <row r="129" spans="1:18" s="976" customFormat="1" x14ac:dyDescent="0.2">
      <c r="A129" s="1011"/>
      <c r="B129" s="1058"/>
      <c r="C129" s="1059" t="s">
        <v>11</v>
      </c>
      <c r="D129" s="1060" t="s">
        <v>239</v>
      </c>
      <c r="E129" s="1060" t="s">
        <v>160</v>
      </c>
      <c r="F129" s="1062" t="s">
        <v>8</v>
      </c>
      <c r="G129" s="1063">
        <v>4</v>
      </c>
      <c r="H129" s="1016">
        <v>60</v>
      </c>
      <c r="I129" s="1017">
        <v>56</v>
      </c>
      <c r="J129" s="1018">
        <v>56</v>
      </c>
      <c r="K129" s="1019">
        <v>63</v>
      </c>
      <c r="L129" s="1020">
        <f t="shared" si="4"/>
        <v>3.8356164383561646E-2</v>
      </c>
      <c r="M129" s="1021">
        <f t="shared" si="4"/>
        <v>3.8356164383561646E-2</v>
      </c>
      <c r="N129" s="1022">
        <f t="shared" si="4"/>
        <v>4.3150684931506852E-2</v>
      </c>
      <c r="O129" s="1020">
        <f t="shared" si="5"/>
        <v>2.3013698630136989</v>
      </c>
      <c r="P129" s="1021">
        <f t="shared" si="5"/>
        <v>2.3013698630136989</v>
      </c>
      <c r="Q129" s="1022">
        <f t="shared" si="5"/>
        <v>2.5890410958904111</v>
      </c>
    </row>
    <row r="130" spans="1:18" s="976" customFormat="1" x14ac:dyDescent="0.2">
      <c r="A130" s="1011"/>
      <c r="B130" s="1024"/>
      <c r="C130" s="1025" t="s">
        <v>586</v>
      </c>
      <c r="D130" s="1026" t="s">
        <v>239</v>
      </c>
      <c r="E130" s="1026" t="s">
        <v>160</v>
      </c>
      <c r="F130" s="1027" t="s">
        <v>8</v>
      </c>
      <c r="G130" s="1028">
        <v>4</v>
      </c>
      <c r="H130" s="1029">
        <v>60</v>
      </c>
      <c r="I130" s="1030">
        <v>103</v>
      </c>
      <c r="J130" s="1031">
        <v>100</v>
      </c>
      <c r="K130" s="1032">
        <v>103</v>
      </c>
      <c r="L130" s="1033">
        <f t="shared" si="4"/>
        <v>7.0547945205479454E-2</v>
      </c>
      <c r="M130" s="1034">
        <f t="shared" si="4"/>
        <v>6.8493150684931503E-2</v>
      </c>
      <c r="N130" s="1035">
        <f t="shared" si="4"/>
        <v>7.0547945205479454E-2</v>
      </c>
      <c r="O130" s="1033">
        <f t="shared" si="5"/>
        <v>4.2328767123287676</v>
      </c>
      <c r="P130" s="1034">
        <f t="shared" si="5"/>
        <v>4.10958904109589</v>
      </c>
      <c r="Q130" s="1035">
        <f t="shared" si="5"/>
        <v>4.2328767123287676</v>
      </c>
    </row>
    <row r="131" spans="1:18" s="976" customFormat="1" x14ac:dyDescent="0.2">
      <c r="A131" s="1011"/>
      <c r="B131" s="1132" t="s">
        <v>161</v>
      </c>
      <c r="C131" s="1133" t="s">
        <v>39</v>
      </c>
      <c r="D131" s="1134">
        <v>100</v>
      </c>
      <c r="E131" s="1134" t="s">
        <v>160</v>
      </c>
      <c r="F131" s="1135" t="s">
        <v>8</v>
      </c>
      <c r="G131" s="1136">
        <v>2</v>
      </c>
      <c r="H131" s="1123">
        <v>100</v>
      </c>
      <c r="I131" s="1124">
        <v>16</v>
      </c>
      <c r="J131" s="1125">
        <v>16</v>
      </c>
      <c r="K131" s="1126">
        <v>17</v>
      </c>
      <c r="L131" s="1055">
        <f t="shared" si="4"/>
        <v>2.1917808219178082E-2</v>
      </c>
      <c r="M131" s="1056">
        <f t="shared" si="4"/>
        <v>2.1917808219178082E-2</v>
      </c>
      <c r="N131" s="1057">
        <f t="shared" si="4"/>
        <v>2.3287671232876714E-2</v>
      </c>
      <c r="O131" s="1055">
        <f t="shared" si="5"/>
        <v>2.1917808219178081</v>
      </c>
      <c r="P131" s="1056">
        <f t="shared" si="5"/>
        <v>2.1917808219178081</v>
      </c>
      <c r="Q131" s="1057">
        <f t="shared" si="5"/>
        <v>2.3287671232876712</v>
      </c>
    </row>
    <row r="132" spans="1:18" s="976" customFormat="1" x14ac:dyDescent="0.2">
      <c r="A132" s="1011"/>
      <c r="B132" s="1851"/>
      <c r="C132" s="1852" t="s">
        <v>39</v>
      </c>
      <c r="D132" s="1013">
        <v>60</v>
      </c>
      <c r="E132" s="1013" t="s">
        <v>160</v>
      </c>
      <c r="F132" s="1014" t="s">
        <v>1539</v>
      </c>
      <c r="G132" s="1015"/>
      <c r="H132" s="1123">
        <v>60</v>
      </c>
      <c r="I132" s="1853"/>
      <c r="J132" s="1125"/>
      <c r="K132" s="1126"/>
      <c r="L132" s="1854">
        <v>6.25E-2</v>
      </c>
      <c r="M132" s="1056">
        <v>6.25E-2</v>
      </c>
      <c r="N132" s="1057">
        <v>6.25E-2</v>
      </c>
      <c r="O132" s="1854">
        <v>3.75</v>
      </c>
      <c r="P132" s="1056">
        <v>3.75</v>
      </c>
      <c r="Q132" s="1057">
        <v>3.75</v>
      </c>
    </row>
    <row r="133" spans="1:18" s="976" customFormat="1" x14ac:dyDescent="0.2">
      <c r="A133" s="1011"/>
      <c r="B133" s="1851"/>
      <c r="C133" s="1852" t="s">
        <v>15</v>
      </c>
      <c r="D133" s="1013">
        <v>60</v>
      </c>
      <c r="E133" s="1013" t="s">
        <v>160</v>
      </c>
      <c r="F133" s="1014"/>
      <c r="G133" s="1015"/>
      <c r="H133" s="1123">
        <v>60</v>
      </c>
      <c r="I133" s="1853"/>
      <c r="J133" s="1125"/>
      <c r="K133" s="1126"/>
      <c r="L133" s="1854">
        <v>5.8904109589041097E-2</v>
      </c>
      <c r="M133" s="1056">
        <v>5.6164383561643834E-2</v>
      </c>
      <c r="N133" s="1057">
        <v>5.8904109589041097E-2</v>
      </c>
      <c r="O133" s="1854">
        <v>3.5342465753424657</v>
      </c>
      <c r="P133" s="1056">
        <v>3.3698630136986298</v>
      </c>
      <c r="Q133" s="1057">
        <v>3.5342465753424657</v>
      </c>
      <c r="R133" s="976" t="s">
        <v>1533</v>
      </c>
    </row>
    <row r="134" spans="1:18" s="976" customFormat="1" x14ac:dyDescent="0.2">
      <c r="A134" s="1011"/>
      <c r="B134" s="1011"/>
      <c r="C134" s="1012" t="s">
        <v>61</v>
      </c>
      <c r="D134" s="1060">
        <v>15</v>
      </c>
      <c r="E134" s="1060" t="s">
        <v>160</v>
      </c>
      <c r="F134" s="1014" t="s">
        <v>8</v>
      </c>
      <c r="G134" s="1015">
        <v>2</v>
      </c>
      <c r="H134" s="1016">
        <v>56</v>
      </c>
      <c r="I134" s="1017">
        <v>61</v>
      </c>
      <c r="J134" s="1018">
        <v>59</v>
      </c>
      <c r="K134" s="1019">
        <v>182</v>
      </c>
      <c r="L134" s="1020">
        <f t="shared" si="4"/>
        <v>8.3561643835616442E-2</v>
      </c>
      <c r="M134" s="1021">
        <f t="shared" si="4"/>
        <v>8.0821917808219179E-2</v>
      </c>
      <c r="N134" s="1022">
        <f t="shared" si="4"/>
        <v>0.24931506849315069</v>
      </c>
      <c r="O134" s="1020">
        <f t="shared" si="5"/>
        <v>4.6794520547945204</v>
      </c>
      <c r="P134" s="1021">
        <f t="shared" si="5"/>
        <v>4.5260273972602736</v>
      </c>
      <c r="Q134" s="1022">
        <f t="shared" si="5"/>
        <v>13.961643835616439</v>
      </c>
    </row>
    <row r="135" spans="1:18" s="976" customFormat="1" x14ac:dyDescent="0.2">
      <c r="A135" s="1011"/>
      <c r="B135" s="1011"/>
      <c r="C135" s="1012" t="s">
        <v>61</v>
      </c>
      <c r="D135" s="1013">
        <v>20</v>
      </c>
      <c r="E135" s="1013" t="s">
        <v>160</v>
      </c>
      <c r="F135" s="1014" t="s">
        <v>8</v>
      </c>
      <c r="G135" s="1015">
        <v>2</v>
      </c>
      <c r="H135" s="1016">
        <v>56</v>
      </c>
      <c r="I135" s="1017">
        <v>15</v>
      </c>
      <c r="J135" s="1018">
        <v>15</v>
      </c>
      <c r="K135" s="1019">
        <v>17</v>
      </c>
      <c r="L135" s="1020">
        <f t="shared" si="4"/>
        <v>2.0547945205479451E-2</v>
      </c>
      <c r="M135" s="1021">
        <f t="shared" si="4"/>
        <v>2.0547945205479451E-2</v>
      </c>
      <c r="N135" s="1022">
        <f t="shared" si="4"/>
        <v>2.3287671232876714E-2</v>
      </c>
      <c r="O135" s="1020">
        <f t="shared" si="5"/>
        <v>1.1506849315068493</v>
      </c>
      <c r="P135" s="1021">
        <f t="shared" si="5"/>
        <v>1.1506849315068493</v>
      </c>
      <c r="Q135" s="1022">
        <f t="shared" si="5"/>
        <v>1.3041095890410959</v>
      </c>
    </row>
    <row r="136" spans="1:18" s="976" customFormat="1" x14ac:dyDescent="0.2">
      <c r="A136" s="1011"/>
      <c r="B136" s="1011"/>
      <c r="C136" s="1012" t="s">
        <v>17</v>
      </c>
      <c r="D136" s="1013">
        <v>50</v>
      </c>
      <c r="E136" s="1013" t="s">
        <v>160</v>
      </c>
      <c r="F136" s="1014" t="s">
        <v>8</v>
      </c>
      <c r="G136" s="1015">
        <v>2</v>
      </c>
      <c r="H136" s="1016">
        <v>30</v>
      </c>
      <c r="I136" s="1017">
        <v>54</v>
      </c>
      <c r="J136" s="1018">
        <v>54</v>
      </c>
      <c r="K136" s="1019">
        <v>57</v>
      </c>
      <c r="L136" s="1020">
        <f t="shared" si="4"/>
        <v>7.3972602739726029E-2</v>
      </c>
      <c r="M136" s="1021">
        <f t="shared" si="4"/>
        <v>7.3972602739726029E-2</v>
      </c>
      <c r="N136" s="1022">
        <f t="shared" si="4"/>
        <v>7.8082191780821916E-2</v>
      </c>
      <c r="O136" s="1020">
        <f t="shared" si="5"/>
        <v>2.2191780821917808</v>
      </c>
      <c r="P136" s="1021">
        <f t="shared" si="5"/>
        <v>2.2191780821917808</v>
      </c>
      <c r="Q136" s="1022">
        <f t="shared" si="5"/>
        <v>2.3424657534246576</v>
      </c>
    </row>
    <row r="137" spans="1:18" s="976" customFormat="1" x14ac:dyDescent="0.2">
      <c r="A137" s="1011"/>
      <c r="B137" s="1011"/>
      <c r="C137" s="1012" t="s">
        <v>17</v>
      </c>
      <c r="D137" s="1013">
        <v>50</v>
      </c>
      <c r="E137" s="1013" t="s">
        <v>160</v>
      </c>
      <c r="F137" s="1014" t="s">
        <v>8</v>
      </c>
      <c r="G137" s="1015">
        <v>4</v>
      </c>
      <c r="H137" s="1016">
        <v>30</v>
      </c>
      <c r="I137" s="1017">
        <v>103</v>
      </c>
      <c r="J137" s="1018">
        <v>90</v>
      </c>
      <c r="K137" s="1019">
        <v>193</v>
      </c>
      <c r="L137" s="1020">
        <f t="shared" si="4"/>
        <v>7.0547945205479454E-2</v>
      </c>
      <c r="M137" s="1021">
        <f t="shared" si="4"/>
        <v>6.1643835616438353E-2</v>
      </c>
      <c r="N137" s="1022">
        <f t="shared" si="4"/>
        <v>0.13219178082191782</v>
      </c>
      <c r="O137" s="1020">
        <f t="shared" si="5"/>
        <v>2.1164383561643838</v>
      </c>
      <c r="P137" s="1021">
        <f t="shared" si="5"/>
        <v>1.8493150684931505</v>
      </c>
      <c r="Q137" s="1022">
        <f t="shared" si="5"/>
        <v>3.9657534246575348</v>
      </c>
    </row>
    <row r="138" spans="1:18" s="976" customFormat="1" x14ac:dyDescent="0.2">
      <c r="A138" s="1011"/>
      <c r="B138" s="1011"/>
      <c r="C138" s="1012" t="s">
        <v>17</v>
      </c>
      <c r="D138" s="1013">
        <v>200</v>
      </c>
      <c r="E138" s="1013" t="s">
        <v>160</v>
      </c>
      <c r="F138" s="1014" t="s">
        <v>8</v>
      </c>
      <c r="G138" s="1015">
        <v>1</v>
      </c>
      <c r="H138" s="1016">
        <v>90</v>
      </c>
      <c r="I138" s="1017">
        <v>119</v>
      </c>
      <c r="J138" s="1018">
        <v>114</v>
      </c>
      <c r="K138" s="1019">
        <v>151</v>
      </c>
      <c r="L138" s="1020">
        <f t="shared" si="4"/>
        <v>0.32602739726027397</v>
      </c>
      <c r="M138" s="1021">
        <f t="shared" si="4"/>
        <v>0.31232876712328766</v>
      </c>
      <c r="N138" s="1022">
        <f t="shared" si="4"/>
        <v>0.41369863013698632</v>
      </c>
      <c r="O138" s="1020">
        <f t="shared" si="5"/>
        <v>29.342465753424658</v>
      </c>
      <c r="P138" s="1021">
        <f t="shared" si="5"/>
        <v>28.109589041095891</v>
      </c>
      <c r="Q138" s="1022">
        <f t="shared" si="5"/>
        <v>37.232876712328768</v>
      </c>
    </row>
    <row r="139" spans="1:18" s="976" customFormat="1" x14ac:dyDescent="0.2">
      <c r="A139" s="1024"/>
      <c r="B139" s="1024"/>
      <c r="C139" s="1025" t="s">
        <v>19</v>
      </c>
      <c r="D139" s="1026">
        <v>50</v>
      </c>
      <c r="E139" s="1026" t="s">
        <v>160</v>
      </c>
      <c r="F139" s="1027" t="s">
        <v>8</v>
      </c>
      <c r="G139" s="1028">
        <v>2</v>
      </c>
      <c r="H139" s="1029">
        <v>60</v>
      </c>
      <c r="I139" s="1030">
        <v>26.65</v>
      </c>
      <c r="J139" s="1031">
        <v>26.65</v>
      </c>
      <c r="K139" s="1032">
        <v>26.65</v>
      </c>
      <c r="L139" s="1033">
        <f>I139/365/$G139</f>
        <v>3.6506849315068493E-2</v>
      </c>
      <c r="M139" s="1034">
        <f>J139/365/$G139</f>
        <v>3.6506849315068493E-2</v>
      </c>
      <c r="N139" s="1035">
        <f>K139/365/$G139</f>
        <v>3.6506849315068493E-2</v>
      </c>
      <c r="O139" s="1033">
        <f>L139*$H139</f>
        <v>2.1904109589041094</v>
      </c>
      <c r="P139" s="1034">
        <f>M139*$H139</f>
        <v>2.1904109589041094</v>
      </c>
      <c r="Q139" s="1035">
        <f>N139*$H139</f>
        <v>2.1904109589041094</v>
      </c>
    </row>
    <row r="140" spans="1:18" s="976" customFormat="1" x14ac:dyDescent="0.2">
      <c r="A140" s="1024"/>
      <c r="B140" s="1024"/>
      <c r="C140" s="1025" t="s">
        <v>19</v>
      </c>
      <c r="D140" s="1026">
        <v>200</v>
      </c>
      <c r="E140" s="1026" t="s">
        <v>160</v>
      </c>
      <c r="F140" s="1027" t="s">
        <v>8</v>
      </c>
      <c r="G140" s="1028">
        <v>1</v>
      </c>
      <c r="H140" s="1029">
        <v>60</v>
      </c>
      <c r="I140" s="1030">
        <v>1022</v>
      </c>
      <c r="J140" s="1031">
        <v>977</v>
      </c>
      <c r="K140" s="1032">
        <v>1022</v>
      </c>
      <c r="L140" s="1033">
        <f t="shared" si="4"/>
        <v>2.8</v>
      </c>
      <c r="M140" s="1034">
        <f t="shared" si="4"/>
        <v>2.6767123287671235</v>
      </c>
      <c r="N140" s="1035">
        <f t="shared" si="4"/>
        <v>2.8</v>
      </c>
      <c r="O140" s="1033">
        <f t="shared" si="5"/>
        <v>168</v>
      </c>
      <c r="P140" s="1034">
        <f t="shared" si="5"/>
        <v>160.60273972602741</v>
      </c>
      <c r="Q140" s="1035">
        <f t="shared" si="5"/>
        <v>168</v>
      </c>
    </row>
    <row r="141" spans="1:18" s="976" customFormat="1" x14ac:dyDescent="0.2">
      <c r="A141" s="1131" t="str">
        <f>'TRAD-Prices 10-2011 GPRM'!B28</f>
        <v>2 &amp; 3èmes lignes</v>
      </c>
      <c r="B141" s="1023"/>
      <c r="C141" s="1128" t="s">
        <v>25</v>
      </c>
      <c r="D141" s="1051">
        <v>60</v>
      </c>
      <c r="E141" s="1051" t="s">
        <v>160</v>
      </c>
      <c r="F141" s="1129" t="s">
        <v>8</v>
      </c>
      <c r="G141" s="1130">
        <v>4</v>
      </c>
      <c r="H141" s="1123">
        <v>60</v>
      </c>
      <c r="I141" s="1124">
        <v>85</v>
      </c>
      <c r="J141" s="1125">
        <v>80</v>
      </c>
      <c r="K141" s="1126">
        <v>91</v>
      </c>
      <c r="L141" s="1055">
        <f t="shared" si="4"/>
        <v>5.8219178082191778E-2</v>
      </c>
      <c r="M141" s="1056">
        <f t="shared" si="4"/>
        <v>5.4794520547945202E-2</v>
      </c>
      <c r="N141" s="1057">
        <f t="shared" si="4"/>
        <v>6.2328767123287672E-2</v>
      </c>
      <c r="O141" s="1055">
        <f t="shared" si="5"/>
        <v>3.4931506849315066</v>
      </c>
      <c r="P141" s="1056">
        <f t="shared" si="5"/>
        <v>3.2876712328767121</v>
      </c>
      <c r="Q141" s="1057">
        <f t="shared" si="5"/>
        <v>3.7397260273972601</v>
      </c>
    </row>
    <row r="142" spans="1:18" s="976" customFormat="1" x14ac:dyDescent="0.2">
      <c r="A142" s="1011"/>
      <c r="B142" s="1011"/>
      <c r="C142" s="1012" t="s">
        <v>28</v>
      </c>
      <c r="D142" s="1013">
        <v>25</v>
      </c>
      <c r="E142" s="1013" t="s">
        <v>160</v>
      </c>
      <c r="F142" s="1014" t="s">
        <v>8</v>
      </c>
      <c r="G142" s="1015">
        <v>4</v>
      </c>
      <c r="H142" s="1016">
        <v>60</v>
      </c>
      <c r="I142" s="1017">
        <v>134</v>
      </c>
      <c r="J142" s="1018">
        <v>134</v>
      </c>
      <c r="K142" s="1019">
        <v>152</v>
      </c>
      <c r="L142" s="1020">
        <f t="shared" ref="L142:N152" si="6">I142/365/$G142</f>
        <v>9.1780821917808217E-2</v>
      </c>
      <c r="M142" s="1021">
        <f t="shared" si="6"/>
        <v>9.1780821917808217E-2</v>
      </c>
      <c r="N142" s="1022">
        <f t="shared" si="6"/>
        <v>0.10410958904109589</v>
      </c>
      <c r="O142" s="1020">
        <f t="shared" ref="O142:Q152" si="7">L142*$H142</f>
        <v>5.506849315068493</v>
      </c>
      <c r="P142" s="1021">
        <f t="shared" si="7"/>
        <v>5.506849315068493</v>
      </c>
      <c r="Q142" s="1022">
        <f t="shared" si="7"/>
        <v>6.2465753424657535</v>
      </c>
    </row>
    <row r="143" spans="1:18" s="976" customFormat="1" x14ac:dyDescent="0.2">
      <c r="A143" s="1011"/>
      <c r="B143" s="1011"/>
      <c r="C143" s="1012" t="s">
        <v>28</v>
      </c>
      <c r="D143" s="1013">
        <v>25</v>
      </c>
      <c r="E143" s="1013" t="s">
        <v>160</v>
      </c>
      <c r="F143" s="1014" t="s">
        <v>8</v>
      </c>
      <c r="G143" s="1015">
        <v>5</v>
      </c>
      <c r="H143" s="1016">
        <v>60</v>
      </c>
      <c r="I143" s="1017">
        <v>482</v>
      </c>
      <c r="J143" s="1018">
        <v>372</v>
      </c>
      <c r="K143" s="1019">
        <v>482</v>
      </c>
      <c r="L143" s="1020">
        <f t="shared" si="6"/>
        <v>0.26410958904109588</v>
      </c>
      <c r="M143" s="1021">
        <f t="shared" si="6"/>
        <v>0.20383561643835618</v>
      </c>
      <c r="N143" s="1022">
        <f t="shared" si="6"/>
        <v>0.26410958904109588</v>
      </c>
      <c r="O143" s="1020">
        <f t="shared" si="7"/>
        <v>15.846575342465753</v>
      </c>
      <c r="P143" s="1021">
        <f t="shared" si="7"/>
        <v>12.230136986301371</v>
      </c>
      <c r="Q143" s="1022">
        <f t="shared" si="7"/>
        <v>15.846575342465753</v>
      </c>
    </row>
    <row r="144" spans="1:18" s="976" customFormat="1" x14ac:dyDescent="0.2">
      <c r="A144" s="1011"/>
      <c r="B144" s="1011"/>
      <c r="C144" s="1012" t="s">
        <v>28</v>
      </c>
      <c r="D144" s="1013">
        <v>50</v>
      </c>
      <c r="E144" s="1013" t="s">
        <v>160</v>
      </c>
      <c r="F144" s="1014" t="s">
        <v>8</v>
      </c>
      <c r="G144" s="1015">
        <v>2</v>
      </c>
      <c r="H144" s="1016">
        <v>60</v>
      </c>
      <c r="I144" s="1017">
        <v>116</v>
      </c>
      <c r="J144" s="1018">
        <v>116</v>
      </c>
      <c r="K144" s="1019">
        <v>116</v>
      </c>
      <c r="L144" s="1020">
        <f t="shared" si="6"/>
        <v>0.15890410958904111</v>
      </c>
      <c r="M144" s="1021">
        <f t="shared" si="6"/>
        <v>0.15890410958904111</v>
      </c>
      <c r="N144" s="1022">
        <f t="shared" si="6"/>
        <v>0.15890410958904111</v>
      </c>
      <c r="O144" s="1020">
        <f t="shared" si="7"/>
        <v>9.5342465753424666</v>
      </c>
      <c r="P144" s="1021">
        <f t="shared" si="7"/>
        <v>9.5342465753424666</v>
      </c>
      <c r="Q144" s="1022">
        <f t="shared" si="7"/>
        <v>9.5342465753424666</v>
      </c>
    </row>
    <row r="145" spans="1:18" s="976" customFormat="1" x14ac:dyDescent="0.2">
      <c r="A145" s="1011"/>
      <c r="B145" s="1011"/>
      <c r="C145" s="1012" t="s">
        <v>28</v>
      </c>
      <c r="D145" s="1013">
        <v>50</v>
      </c>
      <c r="E145" s="1013" t="s">
        <v>160</v>
      </c>
      <c r="F145" s="1014" t="s">
        <v>8</v>
      </c>
      <c r="G145" s="1015">
        <v>3</v>
      </c>
      <c r="H145" s="1016">
        <v>60</v>
      </c>
      <c r="I145" s="1017">
        <v>190</v>
      </c>
      <c r="J145" s="1018">
        <v>167</v>
      </c>
      <c r="K145" s="1019">
        <v>213</v>
      </c>
      <c r="L145" s="1020">
        <f t="shared" si="6"/>
        <v>0.17351598173515981</v>
      </c>
      <c r="M145" s="1021">
        <f t="shared" si="6"/>
        <v>0.15251141552511416</v>
      </c>
      <c r="N145" s="1022">
        <f t="shared" si="6"/>
        <v>0.19452054794520549</v>
      </c>
      <c r="O145" s="1020">
        <f t="shared" si="7"/>
        <v>10.410958904109588</v>
      </c>
      <c r="P145" s="1021">
        <f t="shared" si="7"/>
        <v>9.1506849315068486</v>
      </c>
      <c r="Q145" s="1022">
        <f t="shared" si="7"/>
        <v>11.671232876712329</v>
      </c>
    </row>
    <row r="146" spans="1:18" s="976" customFormat="1" x14ac:dyDescent="0.2">
      <c r="A146" s="1011"/>
      <c r="B146" s="1011"/>
      <c r="C146" s="1012" t="s">
        <v>28</v>
      </c>
      <c r="D146" s="1013">
        <v>100</v>
      </c>
      <c r="E146" s="1013" t="s">
        <v>160</v>
      </c>
      <c r="F146" s="1014" t="s">
        <v>8</v>
      </c>
      <c r="G146" s="1015">
        <v>2</v>
      </c>
      <c r="H146" s="1016">
        <v>60</v>
      </c>
      <c r="I146" s="1017">
        <v>173</v>
      </c>
      <c r="J146" s="1018">
        <v>173</v>
      </c>
      <c r="K146" s="1019">
        <v>173</v>
      </c>
      <c r="L146" s="1020">
        <f t="shared" si="6"/>
        <v>0.23698630136986301</v>
      </c>
      <c r="M146" s="1021">
        <f t="shared" si="6"/>
        <v>0.23698630136986301</v>
      </c>
      <c r="N146" s="1022">
        <f t="shared" si="6"/>
        <v>0.23698630136986301</v>
      </c>
      <c r="O146" s="1020">
        <f t="shared" si="7"/>
        <v>14.21917808219178</v>
      </c>
      <c r="P146" s="1021">
        <f t="shared" si="7"/>
        <v>14.21917808219178</v>
      </c>
      <c r="Q146" s="1022">
        <f t="shared" si="7"/>
        <v>14.21917808219178</v>
      </c>
    </row>
    <row r="147" spans="1:18" s="976" customFormat="1" x14ac:dyDescent="0.2">
      <c r="A147" s="1011"/>
      <c r="B147" s="1011"/>
      <c r="C147" s="1012" t="s">
        <v>28</v>
      </c>
      <c r="D147" s="1013">
        <v>125</v>
      </c>
      <c r="E147" s="1013" t="s">
        <v>160</v>
      </c>
      <c r="F147" s="1014" t="s">
        <v>8</v>
      </c>
      <c r="G147" s="1015">
        <v>1</v>
      </c>
      <c r="H147" s="1016">
        <v>30</v>
      </c>
      <c r="I147" s="1017">
        <v>212</v>
      </c>
      <c r="J147" s="1018">
        <v>151</v>
      </c>
      <c r="K147" s="1019">
        <v>273</v>
      </c>
      <c r="L147" s="1020">
        <f t="shared" si="6"/>
        <v>0.58082191780821912</v>
      </c>
      <c r="M147" s="1021">
        <f t="shared" si="6"/>
        <v>0.41369863013698632</v>
      </c>
      <c r="N147" s="1022">
        <f t="shared" si="6"/>
        <v>0.74794520547945209</v>
      </c>
      <c r="O147" s="1020">
        <f t="shared" si="7"/>
        <v>17.424657534246574</v>
      </c>
      <c r="P147" s="1021">
        <f t="shared" si="7"/>
        <v>12.41095890410959</v>
      </c>
      <c r="Q147" s="1022">
        <f t="shared" si="7"/>
        <v>22.438356164383563</v>
      </c>
    </row>
    <row r="148" spans="1:18" s="976" customFormat="1" x14ac:dyDescent="0.2">
      <c r="A148" s="1011"/>
      <c r="B148" s="1011"/>
      <c r="C148" s="1012" t="s">
        <v>33</v>
      </c>
      <c r="D148" s="1013" t="s">
        <v>177</v>
      </c>
      <c r="E148" s="1013" t="s">
        <v>160</v>
      </c>
      <c r="F148" s="1014" t="s">
        <v>8</v>
      </c>
      <c r="G148" s="1015">
        <v>3</v>
      </c>
      <c r="H148" s="1016">
        <v>60</v>
      </c>
      <c r="I148" s="1017">
        <v>132</v>
      </c>
      <c r="J148" s="1018">
        <v>129</v>
      </c>
      <c r="K148" s="1019">
        <v>1772</v>
      </c>
      <c r="L148" s="1020">
        <f t="shared" si="6"/>
        <v>0.12054794520547946</v>
      </c>
      <c r="M148" s="1021">
        <f t="shared" si="6"/>
        <v>0.11780821917808219</v>
      </c>
      <c r="N148" s="1022">
        <f t="shared" si="6"/>
        <v>1.6182648401826485</v>
      </c>
      <c r="O148" s="1020">
        <f t="shared" si="7"/>
        <v>7.2328767123287676</v>
      </c>
      <c r="P148" s="1021">
        <f t="shared" si="7"/>
        <v>7.0684931506849313</v>
      </c>
      <c r="Q148" s="1022">
        <f t="shared" si="7"/>
        <v>97.095890410958916</v>
      </c>
    </row>
    <row r="149" spans="1:18" s="976" customFormat="1" x14ac:dyDescent="0.2">
      <c r="A149" s="1011"/>
      <c r="B149" s="1011"/>
      <c r="C149" s="1012" t="s">
        <v>33</v>
      </c>
      <c r="D149" s="1013" t="s">
        <v>178</v>
      </c>
      <c r="E149" s="1013" t="s">
        <v>160</v>
      </c>
      <c r="F149" s="1014" t="s">
        <v>8</v>
      </c>
      <c r="G149" s="1015">
        <v>2</v>
      </c>
      <c r="H149" s="1016">
        <v>90</v>
      </c>
      <c r="I149" s="1017"/>
      <c r="J149" s="1018"/>
      <c r="K149" s="1019"/>
      <c r="L149" s="1020">
        <f t="shared" si="6"/>
        <v>0</v>
      </c>
      <c r="M149" s="1021">
        <f t="shared" si="6"/>
        <v>0</v>
      </c>
      <c r="N149" s="1022">
        <f t="shared" si="6"/>
        <v>0</v>
      </c>
      <c r="O149" s="1020">
        <f t="shared" si="7"/>
        <v>0</v>
      </c>
      <c r="P149" s="1021">
        <f t="shared" si="7"/>
        <v>0</v>
      </c>
      <c r="Q149" s="1022">
        <f t="shared" si="7"/>
        <v>0</v>
      </c>
    </row>
    <row r="150" spans="1:18" s="976" customFormat="1" x14ac:dyDescent="0.2">
      <c r="A150" s="1011"/>
      <c r="B150" s="1011"/>
      <c r="C150" s="1012" t="s">
        <v>33</v>
      </c>
      <c r="D150" s="1013" t="s">
        <v>143</v>
      </c>
      <c r="E150" s="1013" t="s">
        <v>160</v>
      </c>
      <c r="F150" s="1014" t="s">
        <v>8</v>
      </c>
      <c r="G150" s="1015">
        <v>1.5</v>
      </c>
      <c r="H150" s="1016">
        <v>120</v>
      </c>
      <c r="I150" s="1017">
        <v>154</v>
      </c>
      <c r="J150" s="1018">
        <v>154</v>
      </c>
      <c r="K150" s="1019">
        <v>165</v>
      </c>
      <c r="L150" s="1020">
        <f>I150/365/$G150</f>
        <v>0.28127853881278536</v>
      </c>
      <c r="M150" s="1021">
        <f>J150/365/$G150</f>
        <v>0.28127853881278536</v>
      </c>
      <c r="N150" s="1022">
        <f>K150/365/$G150</f>
        <v>0.30136986301369861</v>
      </c>
      <c r="O150" s="1020">
        <f>L150*$H150</f>
        <v>33.753424657534246</v>
      </c>
      <c r="P150" s="1021">
        <f>M150*$H150</f>
        <v>33.753424657534246</v>
      </c>
      <c r="Q150" s="1022">
        <f>N150*$H150</f>
        <v>36.164383561643831</v>
      </c>
    </row>
    <row r="151" spans="1:18" s="976" customFormat="1" x14ac:dyDescent="0.2">
      <c r="A151" s="1011"/>
      <c r="B151" s="1011"/>
      <c r="C151" s="1012" t="s">
        <v>144</v>
      </c>
      <c r="D151" s="1013">
        <v>250</v>
      </c>
      <c r="E151" s="1013" t="s">
        <v>160</v>
      </c>
      <c r="F151" s="1014" t="s">
        <v>8</v>
      </c>
      <c r="G151" s="1015">
        <v>4</v>
      </c>
      <c r="H151" s="1016">
        <v>300</v>
      </c>
      <c r="I151" s="1017">
        <v>621</v>
      </c>
      <c r="J151" s="1018">
        <v>621</v>
      </c>
      <c r="K151" s="1019">
        <v>651</v>
      </c>
      <c r="L151" s="1020">
        <f>I151/365/$G151</f>
        <v>0.42534246575342466</v>
      </c>
      <c r="M151" s="1021">
        <f t="shared" si="6"/>
        <v>0.42534246575342466</v>
      </c>
      <c r="N151" s="1022">
        <f t="shared" si="6"/>
        <v>0.44589041095890408</v>
      </c>
      <c r="O151" s="1020">
        <f t="shared" si="7"/>
        <v>127.60273972602739</v>
      </c>
      <c r="P151" s="1021">
        <f t="shared" si="7"/>
        <v>127.60273972602739</v>
      </c>
      <c r="Q151" s="1022">
        <f t="shared" si="7"/>
        <v>133.76712328767121</v>
      </c>
    </row>
    <row r="152" spans="1:18" s="976" customFormat="1" ht="13.5" thickBot="1" x14ac:dyDescent="0.25">
      <c r="A152" s="1036"/>
      <c r="B152" s="1036"/>
      <c r="C152" s="1037" t="s">
        <v>144</v>
      </c>
      <c r="D152" s="1038">
        <v>250</v>
      </c>
      <c r="E152" s="1038" t="s">
        <v>160</v>
      </c>
      <c r="F152" s="1039" t="s">
        <v>8</v>
      </c>
      <c r="G152" s="1040">
        <v>6</v>
      </c>
      <c r="H152" s="1041">
        <v>300</v>
      </c>
      <c r="I152" s="1042">
        <v>164</v>
      </c>
      <c r="J152" s="1043">
        <v>155</v>
      </c>
      <c r="K152" s="1044">
        <v>170</v>
      </c>
      <c r="L152" s="1045">
        <f t="shared" si="6"/>
        <v>7.4885844748858441E-2</v>
      </c>
      <c r="M152" s="1046">
        <f t="shared" si="6"/>
        <v>7.0776255707762553E-2</v>
      </c>
      <c r="N152" s="1047">
        <f t="shared" si="6"/>
        <v>7.7625570776255703E-2</v>
      </c>
      <c r="O152" s="1045">
        <f t="shared" si="7"/>
        <v>22.465753424657532</v>
      </c>
      <c r="P152" s="1046">
        <f t="shared" si="7"/>
        <v>21.232876712328768</v>
      </c>
      <c r="Q152" s="1047">
        <f t="shared" si="7"/>
        <v>23.287671232876711</v>
      </c>
    </row>
    <row r="153" spans="1:18" s="976" customFormat="1" x14ac:dyDescent="0.2">
      <c r="A153" s="1100"/>
      <c r="B153" s="1100"/>
      <c r="C153" s="1100"/>
      <c r="D153" s="1100"/>
      <c r="E153" s="977"/>
      <c r="F153" s="978"/>
      <c r="G153" s="979"/>
      <c r="H153" s="980"/>
      <c r="I153" s="975"/>
      <c r="J153" s="975"/>
      <c r="K153" s="975"/>
      <c r="L153" s="1099"/>
      <c r="M153" s="1099"/>
      <c r="N153" s="1099"/>
      <c r="O153" s="980"/>
      <c r="P153" s="1099"/>
      <c r="Q153" s="1099"/>
      <c r="R153" s="1099"/>
    </row>
    <row r="154" spans="1:18" s="976" customFormat="1" x14ac:dyDescent="0.2">
      <c r="R154" s="1099"/>
    </row>
    <row r="155" spans="1:18" s="976" customFormat="1" x14ac:dyDescent="0.2"/>
    <row r="156" spans="1:18" s="976" customFormat="1" x14ac:dyDescent="0.2"/>
    <row r="157" spans="1:18" s="976" customFormat="1" x14ac:dyDescent="0.2"/>
    <row r="158" spans="1:18" s="976" customFormat="1" x14ac:dyDescent="0.2"/>
    <row r="159" spans="1:18" s="976" customFormat="1" x14ac:dyDescent="0.2">
      <c r="A159" s="964"/>
      <c r="B159" s="964"/>
      <c r="C159" s="964"/>
      <c r="E159" s="964"/>
      <c r="F159" s="964"/>
      <c r="G159" s="965"/>
      <c r="H159" s="966"/>
      <c r="I159" s="975"/>
      <c r="J159" s="975"/>
      <c r="K159" s="975"/>
      <c r="L159" s="975"/>
      <c r="M159" s="975"/>
      <c r="N159" s="975"/>
      <c r="O159" s="980"/>
      <c r="P159" s="975"/>
      <c r="Q159" s="975"/>
    </row>
    <row r="160" spans="1:18" s="976" customFormat="1" x14ac:dyDescent="0.2">
      <c r="A160" s="964"/>
      <c r="B160" s="964"/>
      <c r="C160" s="964"/>
      <c r="E160" s="964"/>
      <c r="F160" s="964"/>
      <c r="G160" s="965"/>
      <c r="H160" s="966"/>
      <c r="I160" s="975"/>
      <c r="J160" s="975"/>
      <c r="K160" s="975"/>
      <c r="L160" s="975"/>
      <c r="M160" s="975"/>
      <c r="N160" s="975"/>
      <c r="O160" s="980"/>
      <c r="P160" s="975"/>
      <c r="Q160" s="975"/>
    </row>
    <row r="161" spans="1:21" s="976" customFormat="1" x14ac:dyDescent="0.2">
      <c r="A161" s="964"/>
      <c r="B161" s="964"/>
      <c r="C161" s="964"/>
      <c r="E161" s="964"/>
      <c r="F161" s="964"/>
      <c r="G161" s="965"/>
      <c r="H161" s="966"/>
      <c r="I161" s="975"/>
      <c r="J161" s="975"/>
      <c r="K161" s="975"/>
      <c r="L161" s="975"/>
      <c r="M161" s="975"/>
      <c r="N161" s="975"/>
      <c r="O161" s="980"/>
      <c r="P161" s="975"/>
      <c r="Q161" s="975"/>
    </row>
    <row r="162" spans="1:21" s="976" customFormat="1" x14ac:dyDescent="0.2">
      <c r="A162" s="964"/>
      <c r="B162" s="964"/>
      <c r="C162" s="964"/>
      <c r="D162" s="964"/>
      <c r="E162" s="964"/>
      <c r="F162" s="964"/>
      <c r="G162" s="965"/>
      <c r="H162" s="966"/>
      <c r="O162" s="980"/>
    </row>
    <row r="163" spans="1:21" s="976" customFormat="1" x14ac:dyDescent="0.2">
      <c r="A163" s="964"/>
      <c r="B163" s="964"/>
      <c r="C163" s="964"/>
      <c r="D163" s="964"/>
      <c r="E163" s="964"/>
      <c r="F163" s="964"/>
      <c r="G163" s="965"/>
      <c r="H163" s="966"/>
      <c r="O163" s="980"/>
    </row>
    <row r="164" spans="1:21" s="976" customFormat="1" x14ac:dyDescent="0.2">
      <c r="A164" s="964"/>
      <c r="B164" s="964"/>
      <c r="C164" s="964"/>
      <c r="D164" s="964"/>
      <c r="E164" s="964"/>
      <c r="F164" s="964"/>
      <c r="G164" s="965"/>
      <c r="H164" s="966"/>
      <c r="O164" s="980"/>
    </row>
    <row r="165" spans="1:21" s="976" customFormat="1" x14ac:dyDescent="0.2">
      <c r="A165" s="964"/>
      <c r="B165" s="964"/>
      <c r="C165" s="964"/>
      <c r="D165" s="964"/>
      <c r="E165" s="964"/>
      <c r="F165" s="964"/>
      <c r="G165" s="965"/>
      <c r="H165" s="966"/>
      <c r="O165" s="980"/>
      <c r="T165" s="975"/>
      <c r="U165" s="975"/>
    </row>
    <row r="166" spans="1:21" s="976" customFormat="1" x14ac:dyDescent="0.2">
      <c r="A166" s="964"/>
      <c r="B166" s="964"/>
      <c r="C166" s="964"/>
      <c r="D166" s="964"/>
      <c r="E166" s="964"/>
      <c r="F166" s="964"/>
      <c r="G166" s="965"/>
      <c r="H166" s="966"/>
      <c r="O166" s="980"/>
      <c r="T166" s="975"/>
      <c r="U166" s="975"/>
    </row>
    <row r="167" spans="1:21" s="976" customFormat="1" x14ac:dyDescent="0.2">
      <c r="A167" s="964"/>
      <c r="B167" s="964"/>
      <c r="C167" s="964"/>
      <c r="D167" s="964"/>
      <c r="E167" s="964"/>
      <c r="F167" s="964"/>
      <c r="G167" s="965"/>
      <c r="H167" s="966"/>
      <c r="O167" s="980"/>
      <c r="T167" s="975"/>
      <c r="U167" s="975"/>
    </row>
    <row r="168" spans="1:21" s="976" customFormat="1" x14ac:dyDescent="0.2">
      <c r="A168" s="964"/>
      <c r="B168" s="964"/>
      <c r="C168" s="964"/>
      <c r="D168" s="964"/>
      <c r="E168" s="964"/>
      <c r="F168" s="964"/>
      <c r="G168" s="965"/>
      <c r="H168" s="966"/>
      <c r="O168" s="980"/>
      <c r="T168" s="975"/>
      <c r="U168" s="975"/>
    </row>
    <row r="169" spans="1:21" s="976" customFormat="1" x14ac:dyDescent="0.2">
      <c r="A169" s="964"/>
      <c r="B169" s="964"/>
      <c r="C169" s="964"/>
      <c r="D169" s="964"/>
      <c r="E169" s="964"/>
      <c r="F169" s="964"/>
      <c r="G169" s="965"/>
      <c r="H169" s="966"/>
      <c r="O169" s="980"/>
      <c r="T169" s="975"/>
      <c r="U169" s="975"/>
    </row>
    <row r="170" spans="1:21" s="976" customFormat="1" x14ac:dyDescent="0.2">
      <c r="A170" s="964"/>
      <c r="B170" s="964"/>
      <c r="C170" s="964"/>
      <c r="D170" s="964"/>
      <c r="E170" s="964"/>
      <c r="F170" s="964"/>
      <c r="G170" s="965"/>
      <c r="H170" s="966"/>
      <c r="O170" s="980"/>
      <c r="T170" s="975"/>
      <c r="U170" s="975"/>
    </row>
    <row r="171" spans="1:21" s="976" customFormat="1" x14ac:dyDescent="0.2">
      <c r="A171" s="964"/>
      <c r="B171" s="964"/>
      <c r="C171" s="964"/>
      <c r="D171" s="964"/>
      <c r="E171" s="964"/>
      <c r="F171" s="964"/>
      <c r="G171" s="965"/>
      <c r="H171" s="966"/>
      <c r="O171" s="980"/>
      <c r="T171" s="975"/>
      <c r="U171" s="975"/>
    </row>
    <row r="172" spans="1:21" s="976" customFormat="1" x14ac:dyDescent="0.2">
      <c r="A172" s="964"/>
      <c r="B172" s="964"/>
      <c r="C172" s="964"/>
      <c r="D172" s="964"/>
      <c r="E172" s="964"/>
      <c r="F172" s="964"/>
      <c r="G172" s="965"/>
      <c r="H172" s="966"/>
      <c r="O172" s="980"/>
      <c r="R172" s="964"/>
      <c r="T172" s="975"/>
      <c r="U172" s="975"/>
    </row>
    <row r="173" spans="1:21" s="976" customFormat="1" x14ac:dyDescent="0.2">
      <c r="A173" s="964"/>
      <c r="B173" s="964"/>
      <c r="C173" s="964"/>
      <c r="D173" s="964"/>
      <c r="E173" s="964"/>
      <c r="F173" s="964"/>
      <c r="G173" s="965"/>
      <c r="H173" s="966"/>
      <c r="O173" s="980"/>
      <c r="R173" s="964"/>
      <c r="S173" s="964"/>
      <c r="T173" s="975"/>
      <c r="U173" s="975"/>
    </row>
    <row r="174" spans="1:21" s="976" customFormat="1" x14ac:dyDescent="0.2">
      <c r="A174" s="964"/>
      <c r="B174" s="964"/>
      <c r="C174" s="964"/>
      <c r="D174" s="964"/>
      <c r="E174" s="964"/>
      <c r="F174" s="964"/>
      <c r="G174" s="965"/>
      <c r="H174" s="966"/>
      <c r="O174" s="980"/>
      <c r="R174" s="964"/>
      <c r="S174" s="964"/>
      <c r="T174" s="975"/>
      <c r="U174" s="975"/>
    </row>
    <row r="175" spans="1:21" s="976" customFormat="1" x14ac:dyDescent="0.2">
      <c r="A175" s="964"/>
      <c r="B175" s="964"/>
      <c r="C175" s="964"/>
      <c r="D175" s="964"/>
      <c r="E175" s="964"/>
      <c r="F175" s="964"/>
      <c r="G175" s="965"/>
      <c r="H175" s="966"/>
      <c r="O175" s="980"/>
      <c r="R175" s="964"/>
      <c r="S175" s="964"/>
      <c r="T175" s="975"/>
      <c r="U175" s="975"/>
    </row>
    <row r="176" spans="1:21" s="976" customFormat="1" x14ac:dyDescent="0.2">
      <c r="A176" s="964"/>
      <c r="B176" s="964"/>
      <c r="C176" s="964"/>
      <c r="D176" s="964"/>
      <c r="E176" s="964"/>
      <c r="F176" s="964"/>
      <c r="G176" s="965"/>
      <c r="H176" s="966"/>
      <c r="O176" s="980"/>
      <c r="R176" s="964"/>
      <c r="S176" s="964"/>
      <c r="T176" s="975"/>
      <c r="U176" s="975"/>
    </row>
    <row r="177" spans="1:21" s="976" customFormat="1" x14ac:dyDescent="0.2">
      <c r="A177" s="964"/>
      <c r="B177" s="964"/>
      <c r="C177" s="964"/>
      <c r="D177" s="964"/>
      <c r="E177" s="964"/>
      <c r="F177" s="964"/>
      <c r="G177" s="965"/>
      <c r="H177" s="966"/>
      <c r="O177" s="980"/>
      <c r="R177" s="964"/>
      <c r="S177" s="964"/>
      <c r="T177" s="975"/>
      <c r="U177" s="975"/>
    </row>
    <row r="178" spans="1:21" s="976" customFormat="1" x14ac:dyDescent="0.2">
      <c r="A178" s="964"/>
      <c r="B178" s="964"/>
      <c r="C178" s="964"/>
      <c r="D178" s="964"/>
      <c r="E178" s="964"/>
      <c r="F178" s="964"/>
      <c r="G178" s="965"/>
      <c r="H178" s="966"/>
      <c r="O178" s="980"/>
      <c r="R178" s="964"/>
      <c r="S178" s="964"/>
      <c r="T178" s="975"/>
      <c r="U178" s="975"/>
    </row>
    <row r="179" spans="1:21" s="976" customFormat="1" x14ac:dyDescent="0.2">
      <c r="A179" s="964"/>
      <c r="B179" s="964"/>
      <c r="C179" s="964"/>
      <c r="D179" s="964"/>
      <c r="E179" s="964"/>
      <c r="F179" s="964"/>
      <c r="G179" s="965"/>
      <c r="H179" s="966"/>
      <c r="O179" s="980"/>
      <c r="R179" s="964"/>
      <c r="S179" s="964"/>
      <c r="T179" s="975"/>
      <c r="U179" s="975"/>
    </row>
    <row r="180" spans="1:21" s="976" customFormat="1" x14ac:dyDescent="0.2">
      <c r="A180" s="964"/>
      <c r="B180" s="964"/>
      <c r="C180" s="964"/>
      <c r="D180" s="964"/>
      <c r="E180" s="964"/>
      <c r="F180" s="964"/>
      <c r="G180" s="965"/>
      <c r="H180" s="966"/>
      <c r="O180" s="980"/>
      <c r="R180" s="964"/>
      <c r="S180" s="964"/>
      <c r="T180" s="975"/>
      <c r="U180" s="975"/>
    </row>
    <row r="181" spans="1:21" s="976" customFormat="1" x14ac:dyDescent="0.2">
      <c r="A181" s="964"/>
      <c r="B181" s="964"/>
      <c r="C181" s="964"/>
      <c r="D181" s="964"/>
      <c r="E181" s="964"/>
      <c r="F181" s="964"/>
      <c r="G181" s="965"/>
      <c r="H181" s="966"/>
      <c r="O181" s="980"/>
      <c r="R181" s="964"/>
      <c r="S181" s="964"/>
      <c r="T181" s="975"/>
      <c r="U181" s="975"/>
    </row>
    <row r="182" spans="1:21" s="976" customFormat="1" x14ac:dyDescent="0.2">
      <c r="A182" s="964"/>
      <c r="B182" s="964"/>
      <c r="C182" s="964"/>
      <c r="D182" s="964"/>
      <c r="E182" s="964"/>
      <c r="F182" s="964"/>
      <c r="G182" s="965"/>
      <c r="H182" s="966"/>
      <c r="O182" s="980"/>
      <c r="R182" s="964"/>
      <c r="S182" s="964"/>
      <c r="T182" s="975"/>
      <c r="U182" s="975"/>
    </row>
    <row r="183" spans="1:21" s="976" customFormat="1" x14ac:dyDescent="0.2">
      <c r="A183" s="964"/>
      <c r="B183" s="964"/>
      <c r="C183" s="964"/>
      <c r="D183" s="964"/>
      <c r="E183" s="964"/>
      <c r="F183" s="964"/>
      <c r="G183" s="965"/>
      <c r="H183" s="966"/>
      <c r="I183" s="964"/>
      <c r="J183" s="964"/>
      <c r="K183" s="964"/>
      <c r="L183" s="964"/>
      <c r="M183" s="964"/>
      <c r="N183" s="964"/>
      <c r="O183" s="966"/>
      <c r="P183" s="964"/>
      <c r="Q183" s="964"/>
      <c r="R183" s="964"/>
      <c r="S183" s="964"/>
      <c r="T183" s="975"/>
      <c r="U183" s="975"/>
    </row>
    <row r="184" spans="1:21" s="976" customFormat="1" x14ac:dyDescent="0.2">
      <c r="A184" s="964"/>
      <c r="B184" s="964"/>
      <c r="C184" s="964"/>
      <c r="D184" s="964"/>
      <c r="E184" s="964"/>
      <c r="F184" s="964"/>
      <c r="G184" s="965"/>
      <c r="H184" s="966"/>
      <c r="I184" s="964"/>
      <c r="J184" s="964"/>
      <c r="K184" s="964"/>
      <c r="L184" s="964"/>
      <c r="M184" s="964"/>
      <c r="N184" s="964"/>
      <c r="O184" s="966"/>
      <c r="P184" s="964"/>
      <c r="Q184" s="964"/>
      <c r="R184" s="964"/>
      <c r="S184" s="964"/>
      <c r="T184" s="975"/>
      <c r="U184" s="975"/>
    </row>
    <row r="185" spans="1:21" s="976" customFormat="1" x14ac:dyDescent="0.2">
      <c r="A185" s="964"/>
      <c r="B185" s="964"/>
      <c r="C185" s="964"/>
      <c r="D185" s="964"/>
      <c r="E185" s="964"/>
      <c r="F185" s="964"/>
      <c r="G185" s="965"/>
      <c r="H185" s="966"/>
      <c r="I185" s="964"/>
      <c r="J185" s="964"/>
      <c r="K185" s="964"/>
      <c r="L185" s="964"/>
      <c r="M185" s="964"/>
      <c r="N185" s="964"/>
      <c r="O185" s="966"/>
      <c r="P185" s="964"/>
      <c r="Q185" s="964"/>
      <c r="R185" s="964"/>
      <c r="S185" s="964"/>
      <c r="T185" s="975"/>
      <c r="U185" s="975"/>
    </row>
    <row r="186" spans="1:21" s="976" customFormat="1" x14ac:dyDescent="0.2">
      <c r="A186" s="964"/>
      <c r="B186" s="964"/>
      <c r="C186" s="964"/>
      <c r="D186" s="964"/>
      <c r="E186" s="964"/>
      <c r="F186" s="964"/>
      <c r="G186" s="965"/>
      <c r="H186" s="966"/>
      <c r="I186" s="964"/>
      <c r="J186" s="964"/>
      <c r="K186" s="964"/>
      <c r="L186" s="964"/>
      <c r="M186" s="964"/>
      <c r="N186" s="964"/>
      <c r="O186" s="966"/>
      <c r="P186" s="964"/>
      <c r="Q186" s="964"/>
      <c r="R186" s="964"/>
      <c r="S186" s="964"/>
      <c r="T186" s="975"/>
      <c r="U186" s="975"/>
    </row>
    <row r="187" spans="1:21" s="976" customFormat="1" x14ac:dyDescent="0.2">
      <c r="A187" s="964"/>
      <c r="B187" s="964"/>
      <c r="C187" s="964"/>
      <c r="D187" s="964"/>
      <c r="E187" s="964"/>
      <c r="F187" s="964"/>
      <c r="G187" s="965"/>
      <c r="H187" s="966"/>
      <c r="I187" s="964"/>
      <c r="J187" s="964"/>
      <c r="K187" s="964"/>
      <c r="L187" s="964"/>
      <c r="M187" s="964"/>
      <c r="N187" s="964"/>
      <c r="O187" s="966"/>
      <c r="P187" s="964"/>
      <c r="Q187" s="964"/>
      <c r="R187" s="964"/>
      <c r="S187" s="964"/>
      <c r="T187" s="975"/>
      <c r="U187" s="975"/>
    </row>
    <row r="188" spans="1:21" s="976" customFormat="1" x14ac:dyDescent="0.2">
      <c r="A188" s="964"/>
      <c r="B188" s="964"/>
      <c r="C188" s="964"/>
      <c r="D188" s="964"/>
      <c r="E188" s="964"/>
      <c r="F188" s="964"/>
      <c r="G188" s="965"/>
      <c r="H188" s="966"/>
      <c r="I188" s="964"/>
      <c r="J188" s="964"/>
      <c r="K188" s="964"/>
      <c r="L188" s="964"/>
      <c r="M188" s="964"/>
      <c r="N188" s="964"/>
      <c r="O188" s="966"/>
      <c r="P188" s="964"/>
      <c r="Q188" s="964"/>
      <c r="R188" s="964"/>
      <c r="S188" s="964"/>
      <c r="T188" s="975"/>
      <c r="U188" s="975"/>
    </row>
    <row r="189" spans="1:21" s="976" customFormat="1" x14ac:dyDescent="0.2">
      <c r="A189" s="964"/>
      <c r="B189" s="964"/>
      <c r="C189" s="964"/>
      <c r="D189" s="964"/>
      <c r="E189" s="964"/>
      <c r="F189" s="964"/>
      <c r="G189" s="965"/>
      <c r="H189" s="966"/>
      <c r="I189" s="964"/>
      <c r="J189" s="964"/>
      <c r="K189" s="964"/>
      <c r="L189" s="964"/>
      <c r="M189" s="964"/>
      <c r="N189" s="964"/>
      <c r="O189" s="966"/>
      <c r="P189" s="964"/>
      <c r="Q189" s="964"/>
      <c r="R189" s="964"/>
      <c r="S189" s="964"/>
      <c r="T189" s="975"/>
      <c r="U189" s="975"/>
    </row>
    <row r="190" spans="1:21" s="976" customFormat="1" x14ac:dyDescent="0.2">
      <c r="A190" s="964"/>
      <c r="B190" s="964"/>
      <c r="C190" s="964"/>
      <c r="D190" s="964"/>
      <c r="E190" s="964"/>
      <c r="F190" s="964"/>
      <c r="G190" s="965"/>
      <c r="H190" s="966"/>
      <c r="I190" s="964"/>
      <c r="J190" s="964"/>
      <c r="K190" s="964"/>
      <c r="L190" s="964"/>
      <c r="M190" s="964"/>
      <c r="N190" s="964"/>
      <c r="O190" s="966"/>
      <c r="P190" s="964"/>
      <c r="Q190" s="964"/>
      <c r="R190" s="964"/>
      <c r="S190" s="964"/>
      <c r="T190" s="975"/>
      <c r="U190" s="975"/>
    </row>
    <row r="191" spans="1:21" s="976" customFormat="1" x14ac:dyDescent="0.2">
      <c r="A191" s="964"/>
      <c r="B191" s="964"/>
      <c r="C191" s="964"/>
      <c r="D191" s="964"/>
      <c r="E191" s="964"/>
      <c r="F191" s="964"/>
      <c r="G191" s="965"/>
      <c r="H191" s="966"/>
      <c r="I191" s="964"/>
      <c r="J191" s="964"/>
      <c r="K191" s="964"/>
      <c r="L191" s="964"/>
      <c r="M191" s="964"/>
      <c r="N191" s="964"/>
      <c r="O191" s="966"/>
      <c r="P191" s="964"/>
      <c r="Q191" s="964"/>
      <c r="R191" s="964"/>
      <c r="S191" s="964"/>
      <c r="T191" s="975"/>
      <c r="U191" s="975"/>
    </row>
    <row r="192" spans="1:21" s="976" customFormat="1" x14ac:dyDescent="0.2">
      <c r="A192" s="964"/>
      <c r="B192" s="964"/>
      <c r="C192" s="964"/>
      <c r="D192" s="964"/>
      <c r="E192" s="964"/>
      <c r="F192" s="964"/>
      <c r="G192" s="965"/>
      <c r="H192" s="966"/>
      <c r="I192" s="964"/>
      <c r="J192" s="964"/>
      <c r="K192" s="964"/>
      <c r="L192" s="964"/>
      <c r="M192" s="964"/>
      <c r="N192" s="964"/>
      <c r="O192" s="966"/>
      <c r="P192" s="964"/>
      <c r="Q192" s="964"/>
      <c r="R192" s="964"/>
      <c r="S192" s="964"/>
      <c r="T192" s="975"/>
      <c r="U192" s="975"/>
    </row>
    <row r="193" spans="1:21" s="976" customFormat="1" x14ac:dyDescent="0.2">
      <c r="A193" s="964"/>
      <c r="B193" s="964"/>
      <c r="C193" s="964"/>
      <c r="D193" s="964"/>
      <c r="E193" s="964"/>
      <c r="F193" s="964"/>
      <c r="G193" s="965"/>
      <c r="H193" s="966"/>
      <c r="I193" s="964"/>
      <c r="J193" s="964"/>
      <c r="K193" s="964"/>
      <c r="L193" s="964"/>
      <c r="M193" s="964"/>
      <c r="N193" s="964"/>
      <c r="O193" s="966"/>
      <c r="P193" s="964"/>
      <c r="Q193" s="964"/>
      <c r="R193" s="964"/>
      <c r="S193" s="964"/>
      <c r="T193" s="975"/>
      <c r="U193" s="975"/>
    </row>
    <row r="194" spans="1:21" s="976" customFormat="1" x14ac:dyDescent="0.2">
      <c r="A194" s="964"/>
      <c r="B194" s="964"/>
      <c r="C194" s="964"/>
      <c r="D194" s="964"/>
      <c r="E194" s="964"/>
      <c r="F194" s="964"/>
      <c r="G194" s="965"/>
      <c r="H194" s="966"/>
      <c r="I194" s="964"/>
      <c r="J194" s="964"/>
      <c r="K194" s="964"/>
      <c r="L194" s="964"/>
      <c r="M194" s="964"/>
      <c r="N194" s="964"/>
      <c r="O194" s="966"/>
      <c r="P194" s="964"/>
      <c r="Q194" s="964"/>
      <c r="R194" s="964"/>
      <c r="S194" s="964"/>
      <c r="T194" s="975"/>
      <c r="U194" s="975"/>
    </row>
    <row r="195" spans="1:21" s="976" customFormat="1" x14ac:dyDescent="0.2">
      <c r="A195" s="964"/>
      <c r="B195" s="964"/>
      <c r="C195" s="964"/>
      <c r="D195" s="964"/>
      <c r="E195" s="964"/>
      <c r="F195" s="964"/>
      <c r="G195" s="965"/>
      <c r="H195" s="966"/>
      <c r="I195" s="964"/>
      <c r="J195" s="964"/>
      <c r="K195" s="964"/>
      <c r="L195" s="964"/>
      <c r="M195" s="964"/>
      <c r="N195" s="964"/>
      <c r="O195" s="966"/>
      <c r="P195" s="964"/>
      <c r="Q195" s="964"/>
      <c r="R195" s="964"/>
      <c r="S195" s="964"/>
    </row>
    <row r="196" spans="1:21" s="976" customFormat="1" x14ac:dyDescent="0.2">
      <c r="A196" s="964"/>
      <c r="B196" s="964"/>
      <c r="C196" s="964"/>
      <c r="D196" s="964"/>
      <c r="E196" s="964"/>
      <c r="F196" s="964"/>
      <c r="G196" s="965"/>
      <c r="H196" s="966"/>
      <c r="I196" s="964"/>
      <c r="J196" s="964"/>
      <c r="K196" s="964"/>
      <c r="L196" s="964"/>
      <c r="M196" s="964"/>
      <c r="N196" s="964"/>
      <c r="O196" s="966"/>
      <c r="P196" s="964"/>
      <c r="Q196" s="964"/>
      <c r="R196" s="964"/>
      <c r="S196" s="964"/>
    </row>
    <row r="197" spans="1:21" s="976" customFormat="1" x14ac:dyDescent="0.2">
      <c r="A197" s="964"/>
      <c r="B197" s="964"/>
      <c r="C197" s="964"/>
      <c r="D197" s="964"/>
      <c r="E197" s="964"/>
      <c r="F197" s="964"/>
      <c r="G197" s="965"/>
      <c r="H197" s="966"/>
      <c r="I197" s="964"/>
      <c r="J197" s="964"/>
      <c r="K197" s="964"/>
      <c r="L197" s="964"/>
      <c r="M197" s="964"/>
      <c r="N197" s="964"/>
      <c r="O197" s="966"/>
      <c r="P197" s="964"/>
      <c r="Q197" s="964"/>
      <c r="R197" s="964"/>
      <c r="S197" s="964"/>
    </row>
    <row r="198" spans="1:21" s="976" customFormat="1" x14ac:dyDescent="0.2">
      <c r="A198" s="964"/>
      <c r="B198" s="964"/>
      <c r="C198" s="964"/>
      <c r="D198" s="964"/>
      <c r="E198" s="964"/>
      <c r="F198" s="964"/>
      <c r="G198" s="965"/>
      <c r="H198" s="966"/>
      <c r="I198" s="964"/>
      <c r="J198" s="964"/>
      <c r="K198" s="964"/>
      <c r="L198" s="964"/>
      <c r="M198" s="964"/>
      <c r="N198" s="964"/>
      <c r="O198" s="966"/>
      <c r="P198" s="964"/>
      <c r="Q198" s="964"/>
      <c r="R198" s="964"/>
      <c r="S198" s="964"/>
      <c r="T198" s="1137"/>
      <c r="U198" s="1137"/>
    </row>
    <row r="199" spans="1:21" s="976" customFormat="1" x14ac:dyDescent="0.2">
      <c r="A199" s="964"/>
      <c r="B199" s="964"/>
      <c r="C199" s="964"/>
      <c r="D199" s="964"/>
      <c r="E199" s="964"/>
      <c r="F199" s="964"/>
      <c r="G199" s="965"/>
      <c r="H199" s="966"/>
      <c r="I199" s="964"/>
      <c r="J199" s="964"/>
      <c r="K199" s="964"/>
      <c r="L199" s="964"/>
      <c r="M199" s="964"/>
      <c r="N199" s="964"/>
      <c r="O199" s="966"/>
      <c r="P199" s="964"/>
      <c r="Q199" s="964"/>
      <c r="R199" s="964"/>
      <c r="S199" s="964"/>
      <c r="T199" s="1137"/>
      <c r="U199" s="1137"/>
    </row>
    <row r="200" spans="1:21" s="976" customFormat="1" x14ac:dyDescent="0.2">
      <c r="A200" s="964"/>
      <c r="B200" s="964"/>
      <c r="C200" s="964"/>
      <c r="D200" s="964"/>
      <c r="E200" s="964"/>
      <c r="F200" s="964"/>
      <c r="G200" s="965"/>
      <c r="H200" s="966"/>
      <c r="I200" s="964"/>
      <c r="J200" s="964"/>
      <c r="K200" s="964"/>
      <c r="L200" s="964"/>
      <c r="M200" s="964"/>
      <c r="N200" s="964"/>
      <c r="O200" s="966"/>
      <c r="P200" s="964"/>
      <c r="Q200" s="964"/>
      <c r="R200" s="964"/>
      <c r="S200" s="964"/>
      <c r="T200" s="1137"/>
      <c r="U200" s="1137"/>
    </row>
    <row r="201" spans="1:21" s="976" customFormat="1" x14ac:dyDescent="0.2">
      <c r="A201" s="964"/>
      <c r="B201" s="964"/>
      <c r="C201" s="964"/>
      <c r="D201" s="964"/>
      <c r="E201" s="964"/>
      <c r="F201" s="964"/>
      <c r="G201" s="965"/>
      <c r="H201" s="966"/>
      <c r="I201" s="964"/>
      <c r="J201" s="964"/>
      <c r="K201" s="964"/>
      <c r="L201" s="964"/>
      <c r="M201" s="964"/>
      <c r="N201" s="964"/>
      <c r="O201" s="966"/>
      <c r="P201" s="964"/>
      <c r="Q201" s="964"/>
      <c r="R201" s="964"/>
      <c r="S201" s="964"/>
    </row>
    <row r="202" spans="1:21" s="976" customFormat="1" x14ac:dyDescent="0.2">
      <c r="A202" s="964"/>
      <c r="B202" s="964"/>
      <c r="C202" s="964"/>
      <c r="D202" s="964"/>
      <c r="E202" s="964"/>
      <c r="F202" s="964"/>
      <c r="G202" s="965"/>
      <c r="H202" s="966"/>
      <c r="I202" s="964"/>
      <c r="J202" s="964"/>
      <c r="K202" s="964"/>
      <c r="L202" s="964"/>
      <c r="M202" s="964"/>
      <c r="N202" s="964"/>
      <c r="O202" s="966"/>
      <c r="P202" s="964"/>
      <c r="Q202" s="964"/>
      <c r="R202" s="964"/>
      <c r="S202" s="964"/>
    </row>
    <row r="203" spans="1:21" s="976" customFormat="1" x14ac:dyDescent="0.2">
      <c r="A203" s="964"/>
      <c r="B203" s="964"/>
      <c r="C203" s="964"/>
      <c r="D203" s="964"/>
      <c r="E203" s="964"/>
      <c r="F203" s="964"/>
      <c r="G203" s="965"/>
      <c r="H203" s="966"/>
      <c r="I203" s="964"/>
      <c r="J203" s="964"/>
      <c r="K203" s="964"/>
      <c r="L203" s="964"/>
      <c r="M203" s="964"/>
      <c r="N203" s="964"/>
      <c r="O203" s="966"/>
      <c r="P203" s="964"/>
      <c r="Q203" s="964"/>
      <c r="R203" s="964"/>
      <c r="S203" s="964"/>
    </row>
    <row r="204" spans="1:21" s="976" customFormat="1" x14ac:dyDescent="0.2">
      <c r="A204" s="964"/>
      <c r="B204" s="964"/>
      <c r="C204" s="964"/>
      <c r="D204" s="964"/>
      <c r="E204" s="964"/>
      <c r="F204" s="964"/>
      <c r="G204" s="965"/>
      <c r="H204" s="966"/>
      <c r="I204" s="964"/>
      <c r="J204" s="964"/>
      <c r="K204" s="964"/>
      <c r="L204" s="964"/>
      <c r="M204" s="964"/>
      <c r="N204" s="964"/>
      <c r="O204" s="966"/>
      <c r="P204" s="964"/>
      <c r="Q204" s="964"/>
      <c r="R204" s="964"/>
      <c r="S204" s="964"/>
    </row>
    <row r="205" spans="1:21" s="976" customFormat="1" x14ac:dyDescent="0.2">
      <c r="A205" s="964"/>
      <c r="B205" s="964"/>
      <c r="C205" s="964"/>
      <c r="D205" s="964"/>
      <c r="E205" s="964"/>
      <c r="F205" s="964"/>
      <c r="G205" s="965"/>
      <c r="H205" s="966"/>
      <c r="I205" s="964"/>
      <c r="J205" s="964"/>
      <c r="K205" s="964"/>
      <c r="L205" s="964"/>
      <c r="M205" s="964"/>
      <c r="N205" s="964"/>
      <c r="O205" s="966"/>
      <c r="P205" s="964"/>
      <c r="Q205" s="964"/>
      <c r="R205" s="964"/>
      <c r="S205" s="964"/>
    </row>
    <row r="206" spans="1:21" s="976" customFormat="1" x14ac:dyDescent="0.2">
      <c r="A206" s="964"/>
      <c r="B206" s="964"/>
      <c r="C206" s="964"/>
      <c r="D206" s="964"/>
      <c r="E206" s="964"/>
      <c r="F206" s="964"/>
      <c r="G206" s="965"/>
      <c r="H206" s="966"/>
      <c r="I206" s="964"/>
      <c r="J206" s="964"/>
      <c r="K206" s="964"/>
      <c r="L206" s="964"/>
      <c r="M206" s="964"/>
      <c r="N206" s="964"/>
      <c r="O206" s="966"/>
      <c r="P206" s="964"/>
      <c r="Q206" s="964"/>
      <c r="R206" s="964"/>
      <c r="S206" s="964"/>
    </row>
    <row r="207" spans="1:21" s="976" customFormat="1" x14ac:dyDescent="0.2">
      <c r="A207" s="964"/>
      <c r="B207" s="964"/>
      <c r="C207" s="964"/>
      <c r="D207" s="964"/>
      <c r="E207" s="964"/>
      <c r="F207" s="964"/>
      <c r="G207" s="965"/>
      <c r="H207" s="966"/>
      <c r="I207" s="964"/>
      <c r="J207" s="964"/>
      <c r="K207" s="964"/>
      <c r="L207" s="964"/>
      <c r="M207" s="964"/>
      <c r="N207" s="964"/>
      <c r="O207" s="966"/>
      <c r="P207" s="964"/>
      <c r="Q207" s="964"/>
      <c r="R207" s="964"/>
      <c r="S207" s="964"/>
    </row>
    <row r="208" spans="1:21" s="976" customFormat="1" x14ac:dyDescent="0.2">
      <c r="A208" s="964"/>
      <c r="B208" s="964"/>
      <c r="C208" s="964"/>
      <c r="D208" s="964"/>
      <c r="E208" s="964"/>
      <c r="F208" s="964"/>
      <c r="G208" s="965"/>
      <c r="H208" s="966"/>
      <c r="I208" s="964"/>
      <c r="J208" s="964"/>
      <c r="K208" s="964"/>
      <c r="L208" s="964"/>
      <c r="M208" s="964"/>
      <c r="N208" s="964"/>
      <c r="O208" s="966"/>
      <c r="P208" s="964"/>
      <c r="Q208" s="964"/>
      <c r="R208" s="964"/>
      <c r="S208" s="964"/>
    </row>
    <row r="209" spans="1:19" s="976" customFormat="1" x14ac:dyDescent="0.2">
      <c r="A209" s="964"/>
      <c r="B209" s="964"/>
      <c r="C209" s="964"/>
      <c r="D209" s="964"/>
      <c r="E209" s="964"/>
      <c r="F209" s="964"/>
      <c r="G209" s="965"/>
      <c r="H209" s="966"/>
      <c r="I209" s="964"/>
      <c r="J209" s="964"/>
      <c r="K209" s="964"/>
      <c r="L209" s="964"/>
      <c r="M209" s="964"/>
      <c r="N209" s="964"/>
      <c r="O209" s="966"/>
      <c r="P209" s="964"/>
      <c r="Q209" s="964"/>
      <c r="R209" s="964"/>
      <c r="S209" s="964"/>
    </row>
    <row r="210" spans="1:19" s="976" customFormat="1" x14ac:dyDescent="0.2">
      <c r="A210" s="964"/>
      <c r="B210" s="964"/>
      <c r="C210" s="964"/>
      <c r="D210" s="964"/>
      <c r="E210" s="964"/>
      <c r="F210" s="964"/>
      <c r="G210" s="965"/>
      <c r="H210" s="966"/>
      <c r="I210" s="964"/>
      <c r="J210" s="964"/>
      <c r="K210" s="964"/>
      <c r="L210" s="964"/>
      <c r="M210" s="964"/>
      <c r="N210" s="964"/>
      <c r="O210" s="966"/>
      <c r="P210" s="964"/>
      <c r="Q210" s="964"/>
      <c r="R210" s="964"/>
      <c r="S210" s="964"/>
    </row>
    <row r="211" spans="1:19" s="976" customFormat="1" x14ac:dyDescent="0.2">
      <c r="A211" s="964"/>
      <c r="B211" s="964"/>
      <c r="C211" s="964"/>
      <c r="D211" s="964"/>
      <c r="E211" s="964"/>
      <c r="F211" s="964"/>
      <c r="G211" s="965"/>
      <c r="H211" s="966"/>
      <c r="I211" s="964"/>
      <c r="J211" s="964"/>
      <c r="K211" s="964"/>
      <c r="L211" s="964"/>
      <c r="M211" s="964"/>
      <c r="N211" s="964"/>
      <c r="O211" s="966"/>
      <c r="P211" s="964"/>
      <c r="Q211" s="964"/>
      <c r="R211" s="964"/>
      <c r="S211" s="964"/>
    </row>
    <row r="212" spans="1:19" s="976" customFormat="1" x14ac:dyDescent="0.2">
      <c r="A212" s="964"/>
      <c r="B212" s="964"/>
      <c r="C212" s="964"/>
      <c r="D212" s="964"/>
      <c r="E212" s="964"/>
      <c r="F212" s="964"/>
      <c r="G212" s="965"/>
      <c r="H212" s="966"/>
      <c r="I212" s="964"/>
      <c r="J212" s="964"/>
      <c r="K212" s="964"/>
      <c r="L212" s="964"/>
      <c r="M212" s="964"/>
      <c r="N212" s="964"/>
      <c r="O212" s="966"/>
      <c r="P212" s="964"/>
      <c r="Q212" s="964"/>
      <c r="R212" s="964"/>
      <c r="S212" s="964"/>
    </row>
    <row r="213" spans="1:19" s="976" customFormat="1" x14ac:dyDescent="0.2">
      <c r="A213" s="964"/>
      <c r="B213" s="964"/>
      <c r="C213" s="964"/>
      <c r="D213" s="964"/>
      <c r="E213" s="964"/>
      <c r="F213" s="964"/>
      <c r="G213" s="965"/>
      <c r="H213" s="966"/>
      <c r="I213" s="964"/>
      <c r="J213" s="964"/>
      <c r="K213" s="964"/>
      <c r="L213" s="964"/>
      <c r="M213" s="964"/>
      <c r="N213" s="964"/>
      <c r="O213" s="966"/>
      <c r="P213" s="964"/>
      <c r="Q213" s="964"/>
      <c r="R213" s="964"/>
      <c r="S213" s="964"/>
    </row>
    <row r="214" spans="1:19" s="976" customFormat="1" x14ac:dyDescent="0.2">
      <c r="A214" s="964"/>
      <c r="B214" s="964"/>
      <c r="C214" s="964"/>
      <c r="D214" s="964"/>
      <c r="E214" s="964"/>
      <c r="F214" s="964"/>
      <c r="G214" s="965"/>
      <c r="H214" s="966"/>
      <c r="I214" s="964"/>
      <c r="J214" s="964"/>
      <c r="K214" s="964"/>
      <c r="L214" s="964"/>
      <c r="M214" s="964"/>
      <c r="N214" s="964"/>
      <c r="O214" s="966"/>
      <c r="P214" s="964"/>
      <c r="Q214" s="964"/>
      <c r="R214" s="964"/>
      <c r="S214" s="964"/>
    </row>
    <row r="215" spans="1:19" s="976" customFormat="1" x14ac:dyDescent="0.2">
      <c r="A215" s="964"/>
      <c r="B215" s="964"/>
      <c r="C215" s="964"/>
      <c r="D215" s="964"/>
      <c r="E215" s="964"/>
      <c r="F215" s="964"/>
      <c r="G215" s="965"/>
      <c r="H215" s="966"/>
      <c r="I215" s="964"/>
      <c r="J215" s="964"/>
      <c r="K215" s="964"/>
      <c r="L215" s="964"/>
      <c r="M215" s="964"/>
      <c r="N215" s="964"/>
      <c r="O215" s="966"/>
      <c r="P215" s="964"/>
      <c r="Q215" s="964"/>
      <c r="R215" s="964"/>
      <c r="S215" s="964"/>
    </row>
    <row r="216" spans="1:19" s="976" customFormat="1" x14ac:dyDescent="0.2">
      <c r="A216" s="964"/>
      <c r="B216" s="964"/>
      <c r="C216" s="964"/>
      <c r="D216" s="964"/>
      <c r="E216" s="964"/>
      <c r="F216" s="964"/>
      <c r="G216" s="965"/>
      <c r="H216" s="966"/>
      <c r="I216" s="964"/>
      <c r="J216" s="964"/>
      <c r="K216" s="964"/>
      <c r="L216" s="964"/>
      <c r="M216" s="964"/>
      <c r="N216" s="964"/>
      <c r="O216" s="966"/>
      <c r="P216" s="964"/>
      <c r="Q216" s="964"/>
      <c r="R216" s="964"/>
      <c r="S216" s="964"/>
    </row>
    <row r="217" spans="1:19" s="976" customFormat="1" x14ac:dyDescent="0.2">
      <c r="A217" s="964"/>
      <c r="B217" s="964"/>
      <c r="C217" s="964"/>
      <c r="D217" s="964"/>
      <c r="E217" s="964"/>
      <c r="F217" s="964"/>
      <c r="G217" s="965"/>
      <c r="H217" s="966"/>
      <c r="I217" s="964"/>
      <c r="J217" s="964"/>
      <c r="K217" s="964"/>
      <c r="L217" s="964"/>
      <c r="M217" s="964"/>
      <c r="N217" s="964"/>
      <c r="O217" s="966"/>
      <c r="P217" s="964"/>
      <c r="Q217" s="964"/>
      <c r="R217" s="964"/>
      <c r="S217" s="964"/>
    </row>
    <row r="218" spans="1:19" s="976" customFormat="1" x14ac:dyDescent="0.2">
      <c r="A218" s="964"/>
      <c r="B218" s="964"/>
      <c r="C218" s="964"/>
      <c r="D218" s="964"/>
      <c r="E218" s="964"/>
      <c r="F218" s="964"/>
      <c r="G218" s="965"/>
      <c r="H218" s="966"/>
      <c r="I218" s="964"/>
      <c r="J218" s="964"/>
      <c r="K218" s="964"/>
      <c r="L218" s="964"/>
      <c r="M218" s="964"/>
      <c r="N218" s="964"/>
      <c r="O218" s="966"/>
      <c r="P218" s="964"/>
      <c r="Q218" s="964"/>
      <c r="R218" s="964"/>
      <c r="S218" s="964"/>
    </row>
    <row r="219" spans="1:19" s="976" customFormat="1" x14ac:dyDescent="0.2">
      <c r="A219" s="964"/>
      <c r="B219" s="964"/>
      <c r="C219" s="964"/>
      <c r="D219" s="964"/>
      <c r="E219" s="964"/>
      <c r="F219" s="964"/>
      <c r="G219" s="965"/>
      <c r="H219" s="966"/>
      <c r="I219" s="964"/>
      <c r="J219" s="964"/>
      <c r="K219" s="964"/>
      <c r="L219" s="964"/>
      <c r="M219" s="964"/>
      <c r="N219" s="964"/>
      <c r="O219" s="966"/>
      <c r="P219" s="964"/>
      <c r="Q219" s="964"/>
      <c r="R219" s="964"/>
      <c r="S219" s="964"/>
    </row>
    <row r="220" spans="1:19" s="976" customFormat="1" x14ac:dyDescent="0.2">
      <c r="A220" s="964"/>
      <c r="B220" s="964"/>
      <c r="C220" s="964"/>
      <c r="D220" s="964"/>
      <c r="E220" s="964"/>
      <c r="F220" s="964"/>
      <c r="G220" s="965"/>
      <c r="H220" s="966"/>
      <c r="I220" s="964"/>
      <c r="J220" s="964"/>
      <c r="K220" s="964"/>
      <c r="L220" s="964"/>
      <c r="M220" s="964"/>
      <c r="N220" s="964"/>
      <c r="O220" s="966"/>
      <c r="P220" s="964"/>
      <c r="Q220" s="964"/>
      <c r="R220" s="964"/>
      <c r="S220" s="964"/>
    </row>
    <row r="221" spans="1:19" s="976" customFormat="1" x14ac:dyDescent="0.2">
      <c r="A221" s="964"/>
      <c r="B221" s="964"/>
      <c r="C221" s="964"/>
      <c r="D221" s="964"/>
      <c r="E221" s="964"/>
      <c r="F221" s="964"/>
      <c r="G221" s="965"/>
      <c r="H221" s="966"/>
      <c r="I221" s="964"/>
      <c r="J221" s="964"/>
      <c r="K221" s="964"/>
      <c r="L221" s="964"/>
      <c r="M221" s="964"/>
      <c r="N221" s="964"/>
      <c r="O221" s="966"/>
      <c r="P221" s="964"/>
      <c r="Q221" s="964"/>
      <c r="R221" s="964"/>
      <c r="S221" s="964"/>
    </row>
    <row r="222" spans="1:19" s="976" customFormat="1" x14ac:dyDescent="0.2">
      <c r="A222" s="964"/>
      <c r="B222" s="964"/>
      <c r="C222" s="964"/>
      <c r="D222" s="964"/>
      <c r="E222" s="964"/>
      <c r="F222" s="964"/>
      <c r="G222" s="965"/>
      <c r="H222" s="966"/>
      <c r="I222" s="964"/>
      <c r="J222" s="964"/>
      <c r="K222" s="964"/>
      <c r="L222" s="964"/>
      <c r="M222" s="964"/>
      <c r="N222" s="964"/>
      <c r="O222" s="966"/>
      <c r="P222" s="964"/>
      <c r="Q222" s="964"/>
      <c r="R222" s="964"/>
      <c r="S222" s="964"/>
    </row>
    <row r="223" spans="1:19" s="976" customFormat="1" x14ac:dyDescent="0.2">
      <c r="A223" s="964"/>
      <c r="B223" s="964"/>
      <c r="C223" s="964"/>
      <c r="D223" s="964"/>
      <c r="E223" s="964"/>
      <c r="F223" s="964"/>
      <c r="G223" s="965"/>
      <c r="H223" s="966"/>
      <c r="I223" s="964"/>
      <c r="J223" s="964"/>
      <c r="K223" s="964"/>
      <c r="L223" s="964"/>
      <c r="M223" s="964"/>
      <c r="N223" s="964"/>
      <c r="O223" s="966"/>
      <c r="P223" s="964"/>
      <c r="Q223" s="964"/>
      <c r="R223" s="964"/>
      <c r="S223" s="964"/>
    </row>
    <row r="224" spans="1:19" s="976" customFormat="1" x14ac:dyDescent="0.2">
      <c r="A224" s="964"/>
      <c r="B224" s="964"/>
      <c r="C224" s="964"/>
      <c r="D224" s="964"/>
      <c r="E224" s="964"/>
      <c r="F224" s="964"/>
      <c r="G224" s="965"/>
      <c r="H224" s="966"/>
      <c r="I224" s="964"/>
      <c r="J224" s="964"/>
      <c r="K224" s="964"/>
      <c r="L224" s="964"/>
      <c r="M224" s="964"/>
      <c r="N224" s="964"/>
      <c r="O224" s="966"/>
      <c r="P224" s="964"/>
      <c r="Q224" s="964"/>
      <c r="R224" s="964"/>
      <c r="S224" s="964"/>
    </row>
    <row r="225" spans="1:21" s="976" customFormat="1" x14ac:dyDescent="0.2">
      <c r="A225" s="964"/>
      <c r="B225" s="964"/>
      <c r="C225" s="964"/>
      <c r="D225" s="964"/>
      <c r="E225" s="964"/>
      <c r="F225" s="964"/>
      <c r="G225" s="965"/>
      <c r="H225" s="966"/>
      <c r="I225" s="964"/>
      <c r="J225" s="964"/>
      <c r="K225" s="964"/>
      <c r="L225" s="964"/>
      <c r="M225" s="964"/>
      <c r="N225" s="964"/>
      <c r="O225" s="966"/>
      <c r="P225" s="964"/>
      <c r="Q225" s="964"/>
      <c r="R225" s="964"/>
      <c r="S225" s="964"/>
    </row>
    <row r="226" spans="1:21" s="976" customFormat="1" x14ac:dyDescent="0.2">
      <c r="A226" s="964"/>
      <c r="B226" s="964"/>
      <c r="C226" s="964"/>
      <c r="D226" s="964"/>
      <c r="E226" s="964"/>
      <c r="F226" s="964"/>
      <c r="G226" s="965"/>
      <c r="H226" s="966"/>
      <c r="I226" s="964"/>
      <c r="J226" s="964"/>
      <c r="K226" s="964"/>
      <c r="L226" s="964"/>
      <c r="M226" s="964"/>
      <c r="N226" s="964"/>
      <c r="O226" s="966"/>
      <c r="P226" s="964"/>
      <c r="Q226" s="964"/>
      <c r="R226" s="964"/>
      <c r="S226" s="964"/>
    </row>
    <row r="227" spans="1:21" s="976" customFormat="1" x14ac:dyDescent="0.2">
      <c r="A227" s="964"/>
      <c r="B227" s="964"/>
      <c r="C227" s="964"/>
      <c r="D227" s="964"/>
      <c r="E227" s="964"/>
      <c r="F227" s="964"/>
      <c r="G227" s="965"/>
      <c r="H227" s="966"/>
      <c r="I227" s="964"/>
      <c r="J227" s="964"/>
      <c r="K227" s="964"/>
      <c r="L227" s="964"/>
      <c r="M227" s="964"/>
      <c r="N227" s="964"/>
      <c r="O227" s="966"/>
      <c r="P227" s="964"/>
      <c r="Q227" s="964"/>
      <c r="R227" s="964"/>
      <c r="S227" s="964"/>
    </row>
    <row r="228" spans="1:21" s="976" customFormat="1" x14ac:dyDescent="0.2">
      <c r="A228" s="964"/>
      <c r="B228" s="964"/>
      <c r="C228" s="964"/>
      <c r="D228" s="964"/>
      <c r="E228" s="964"/>
      <c r="F228" s="964"/>
      <c r="G228" s="965"/>
      <c r="H228" s="966"/>
      <c r="I228" s="964"/>
      <c r="J228" s="964"/>
      <c r="K228" s="964"/>
      <c r="L228" s="964"/>
      <c r="M228" s="964"/>
      <c r="N228" s="964"/>
      <c r="O228" s="966"/>
      <c r="P228" s="964"/>
      <c r="Q228" s="964"/>
      <c r="R228" s="964"/>
      <c r="S228" s="964"/>
    </row>
    <row r="229" spans="1:21" s="976" customFormat="1" x14ac:dyDescent="0.2">
      <c r="A229" s="964"/>
      <c r="B229" s="964"/>
      <c r="C229" s="964"/>
      <c r="D229" s="964"/>
      <c r="E229" s="964"/>
      <c r="F229" s="964"/>
      <c r="G229" s="965"/>
      <c r="H229" s="966"/>
      <c r="I229" s="964"/>
      <c r="J229" s="964"/>
      <c r="K229" s="964"/>
      <c r="L229" s="964"/>
      <c r="M229" s="964"/>
      <c r="N229" s="964"/>
      <c r="O229" s="966"/>
      <c r="P229" s="964"/>
      <c r="Q229" s="964"/>
      <c r="R229" s="964"/>
      <c r="S229" s="964"/>
      <c r="T229" s="1137"/>
      <c r="U229" s="1137"/>
    </row>
    <row r="230" spans="1:21" s="976" customFormat="1" x14ac:dyDescent="0.2">
      <c r="A230" s="964"/>
      <c r="B230" s="964"/>
      <c r="C230" s="964"/>
      <c r="D230" s="964"/>
      <c r="E230" s="964"/>
      <c r="F230" s="964"/>
      <c r="G230" s="965"/>
      <c r="H230" s="966"/>
      <c r="I230" s="964"/>
      <c r="J230" s="964"/>
      <c r="K230" s="964"/>
      <c r="L230" s="964"/>
      <c r="M230" s="964"/>
      <c r="N230" s="964"/>
      <c r="O230" s="966"/>
      <c r="P230" s="964"/>
      <c r="Q230" s="964"/>
      <c r="R230" s="964"/>
      <c r="S230" s="964"/>
      <c r="T230" s="1137"/>
      <c r="U230" s="1137"/>
    </row>
    <row r="231" spans="1:21" s="976" customFormat="1" x14ac:dyDescent="0.2">
      <c r="A231" s="964"/>
      <c r="B231" s="964"/>
      <c r="C231" s="964"/>
      <c r="D231" s="964"/>
      <c r="E231" s="964"/>
      <c r="F231" s="964"/>
      <c r="G231" s="965"/>
      <c r="H231" s="966"/>
      <c r="I231" s="964"/>
      <c r="J231" s="964"/>
      <c r="K231" s="964"/>
      <c r="L231" s="964"/>
      <c r="M231" s="964"/>
      <c r="N231" s="964"/>
      <c r="O231" s="966"/>
      <c r="P231" s="964"/>
      <c r="Q231" s="964"/>
      <c r="R231" s="964"/>
      <c r="S231" s="964"/>
      <c r="T231" s="1137"/>
      <c r="U231" s="1137"/>
    </row>
    <row r="232" spans="1:21" s="976" customFormat="1" x14ac:dyDescent="0.2">
      <c r="A232" s="964"/>
      <c r="B232" s="964"/>
      <c r="C232" s="964"/>
      <c r="D232" s="964"/>
      <c r="E232" s="964"/>
      <c r="F232" s="964"/>
      <c r="G232" s="965"/>
      <c r="H232" s="966"/>
      <c r="I232" s="964"/>
      <c r="J232" s="964"/>
      <c r="K232" s="964"/>
      <c r="L232" s="964"/>
      <c r="M232" s="964"/>
      <c r="N232" s="964"/>
      <c r="O232" s="966"/>
      <c r="P232" s="964"/>
      <c r="Q232" s="964"/>
      <c r="R232" s="964"/>
      <c r="S232" s="964"/>
      <c r="T232" s="1137"/>
      <c r="U232" s="1137"/>
    </row>
    <row r="233" spans="1:21" s="976" customFormat="1" x14ac:dyDescent="0.2">
      <c r="A233" s="964"/>
      <c r="B233" s="964"/>
      <c r="C233" s="964"/>
      <c r="D233" s="964"/>
      <c r="E233" s="964"/>
      <c r="F233" s="964"/>
      <c r="G233" s="965"/>
      <c r="H233" s="966"/>
      <c r="I233" s="964"/>
      <c r="J233" s="964"/>
      <c r="K233" s="964"/>
      <c r="L233" s="964"/>
      <c r="M233" s="964"/>
      <c r="N233" s="964"/>
      <c r="O233" s="966"/>
      <c r="P233" s="964"/>
      <c r="Q233" s="964"/>
      <c r="R233" s="964"/>
      <c r="S233" s="964"/>
      <c r="T233" s="975"/>
      <c r="U233" s="975"/>
    </row>
    <row r="234" spans="1:21" s="976" customFormat="1" x14ac:dyDescent="0.2">
      <c r="A234" s="964"/>
      <c r="B234" s="964"/>
      <c r="C234" s="964"/>
      <c r="D234" s="964"/>
      <c r="E234" s="964"/>
      <c r="F234" s="964"/>
      <c r="G234" s="965"/>
      <c r="H234" s="966"/>
      <c r="I234" s="964"/>
      <c r="J234" s="964"/>
      <c r="K234" s="964"/>
      <c r="L234" s="964"/>
      <c r="M234" s="964"/>
      <c r="N234" s="964"/>
      <c r="O234" s="966"/>
      <c r="P234" s="964"/>
      <c r="Q234" s="964"/>
      <c r="R234" s="964"/>
      <c r="S234" s="964"/>
      <c r="T234" s="975"/>
      <c r="U234" s="975"/>
    </row>
    <row r="235" spans="1:21" s="976" customFormat="1" x14ac:dyDescent="0.2">
      <c r="A235" s="964"/>
      <c r="B235" s="964"/>
      <c r="C235" s="964"/>
      <c r="D235" s="964"/>
      <c r="E235" s="964"/>
      <c r="F235" s="964"/>
      <c r="G235" s="965"/>
      <c r="H235" s="966"/>
      <c r="I235" s="964"/>
      <c r="J235" s="964"/>
      <c r="K235" s="964"/>
      <c r="L235" s="964"/>
      <c r="M235" s="964"/>
      <c r="N235" s="964"/>
      <c r="O235" s="966"/>
      <c r="P235" s="964"/>
      <c r="Q235" s="964"/>
      <c r="R235" s="964"/>
      <c r="S235" s="964"/>
      <c r="T235" s="975"/>
      <c r="U235" s="975"/>
    </row>
    <row r="236" spans="1:21" s="976" customFormat="1" x14ac:dyDescent="0.2">
      <c r="A236" s="964"/>
      <c r="B236" s="964"/>
      <c r="C236" s="964"/>
      <c r="D236" s="964"/>
      <c r="E236" s="964"/>
      <c r="F236" s="964"/>
      <c r="G236" s="965"/>
      <c r="H236" s="966"/>
      <c r="I236" s="964"/>
      <c r="J236" s="964"/>
      <c r="K236" s="964"/>
      <c r="L236" s="964"/>
      <c r="M236" s="964"/>
      <c r="N236" s="964"/>
      <c r="O236" s="966"/>
      <c r="P236" s="964"/>
      <c r="Q236" s="964"/>
      <c r="R236" s="964"/>
      <c r="S236" s="964"/>
      <c r="T236" s="975"/>
      <c r="U236" s="975"/>
    </row>
    <row r="237" spans="1:21" s="976" customFormat="1" x14ac:dyDescent="0.2">
      <c r="A237" s="964"/>
      <c r="B237" s="964"/>
      <c r="C237" s="964"/>
      <c r="D237" s="964"/>
      <c r="E237" s="964"/>
      <c r="F237" s="964"/>
      <c r="G237" s="965"/>
      <c r="H237" s="966"/>
      <c r="I237" s="964"/>
      <c r="J237" s="964"/>
      <c r="K237" s="964"/>
      <c r="L237" s="964"/>
      <c r="M237" s="964"/>
      <c r="N237" s="964"/>
      <c r="O237" s="966"/>
      <c r="P237" s="964"/>
      <c r="Q237" s="964"/>
      <c r="R237" s="964"/>
      <c r="S237" s="964"/>
      <c r="T237" s="975"/>
      <c r="U237" s="975"/>
    </row>
    <row r="238" spans="1:21" s="976" customFormat="1" x14ac:dyDescent="0.2">
      <c r="A238" s="964"/>
      <c r="B238" s="964"/>
      <c r="C238" s="964"/>
      <c r="D238" s="964"/>
      <c r="E238" s="964"/>
      <c r="F238" s="964"/>
      <c r="G238" s="965"/>
      <c r="H238" s="966"/>
      <c r="I238" s="964"/>
      <c r="J238" s="964"/>
      <c r="K238" s="964"/>
      <c r="L238" s="964"/>
      <c r="M238" s="964"/>
      <c r="N238" s="964"/>
      <c r="O238" s="966"/>
      <c r="P238" s="964"/>
      <c r="Q238" s="964"/>
      <c r="R238" s="964"/>
      <c r="S238" s="964"/>
      <c r="T238" s="975"/>
      <c r="U238" s="975"/>
    </row>
    <row r="239" spans="1:21" s="976" customFormat="1" x14ac:dyDescent="0.2">
      <c r="A239" s="964"/>
      <c r="B239" s="964"/>
      <c r="C239" s="964"/>
      <c r="D239" s="964"/>
      <c r="E239" s="964"/>
      <c r="F239" s="964"/>
      <c r="G239" s="965"/>
      <c r="H239" s="966"/>
      <c r="I239" s="964"/>
      <c r="J239" s="964"/>
      <c r="K239" s="964"/>
      <c r="L239" s="964"/>
      <c r="M239" s="964"/>
      <c r="N239" s="964"/>
      <c r="O239" s="966"/>
      <c r="P239" s="964"/>
      <c r="Q239" s="964"/>
      <c r="R239" s="964"/>
      <c r="S239" s="964"/>
      <c r="T239" s="975"/>
      <c r="U239" s="975"/>
    </row>
    <row r="240" spans="1:21" s="976" customFormat="1" x14ac:dyDescent="0.2">
      <c r="A240" s="964"/>
      <c r="B240" s="964"/>
      <c r="C240" s="964"/>
      <c r="D240" s="964"/>
      <c r="E240" s="964"/>
      <c r="F240" s="964"/>
      <c r="G240" s="965"/>
      <c r="H240" s="966"/>
      <c r="I240" s="964"/>
      <c r="J240" s="964"/>
      <c r="K240" s="964"/>
      <c r="L240" s="964"/>
      <c r="M240" s="964"/>
      <c r="N240" s="964"/>
      <c r="O240" s="966"/>
      <c r="P240" s="964"/>
      <c r="Q240" s="964"/>
      <c r="R240" s="964"/>
      <c r="S240" s="964"/>
      <c r="T240" s="975"/>
      <c r="U240" s="975"/>
    </row>
    <row r="241" spans="1:21" s="976" customFormat="1" x14ac:dyDescent="0.2">
      <c r="A241" s="964"/>
      <c r="B241" s="964"/>
      <c r="C241" s="964"/>
      <c r="D241" s="964"/>
      <c r="E241" s="964"/>
      <c r="F241" s="964"/>
      <c r="G241" s="965"/>
      <c r="H241" s="966"/>
      <c r="I241" s="964"/>
      <c r="J241" s="964"/>
      <c r="K241" s="964"/>
      <c r="L241" s="964"/>
      <c r="M241" s="964"/>
      <c r="N241" s="964"/>
      <c r="O241" s="966"/>
      <c r="P241" s="964"/>
      <c r="Q241" s="964"/>
      <c r="R241" s="964"/>
      <c r="S241" s="964"/>
      <c r="T241" s="975"/>
      <c r="U241" s="975"/>
    </row>
    <row r="242" spans="1:21" s="976" customFormat="1" x14ac:dyDescent="0.2">
      <c r="A242" s="964"/>
      <c r="B242" s="964"/>
      <c r="C242" s="964"/>
      <c r="D242" s="964"/>
      <c r="E242" s="964"/>
      <c r="F242" s="964"/>
      <c r="G242" s="965"/>
      <c r="H242" s="966"/>
      <c r="I242" s="964"/>
      <c r="J242" s="964"/>
      <c r="K242" s="964"/>
      <c r="L242" s="964"/>
      <c r="M242" s="964"/>
      <c r="N242" s="964"/>
      <c r="O242" s="966"/>
      <c r="P242" s="964"/>
      <c r="Q242" s="964"/>
      <c r="R242" s="964"/>
      <c r="S242" s="964"/>
      <c r="T242" s="975"/>
      <c r="U242" s="975"/>
    </row>
    <row r="243" spans="1:21" s="976" customFormat="1" x14ac:dyDescent="0.2">
      <c r="A243" s="964"/>
      <c r="B243" s="964"/>
      <c r="C243" s="964"/>
      <c r="D243" s="964"/>
      <c r="E243" s="964"/>
      <c r="F243" s="964"/>
      <c r="G243" s="965"/>
      <c r="H243" s="966"/>
      <c r="I243" s="964"/>
      <c r="J243" s="964"/>
      <c r="K243" s="964"/>
      <c r="L243" s="964"/>
      <c r="M243" s="964"/>
      <c r="N243" s="964"/>
      <c r="O243" s="966"/>
      <c r="P243" s="964"/>
      <c r="Q243" s="964"/>
      <c r="R243" s="964"/>
      <c r="S243" s="964"/>
      <c r="T243" s="975"/>
      <c r="U243" s="975"/>
    </row>
    <row r="244" spans="1:21" s="976" customFormat="1" x14ac:dyDescent="0.2">
      <c r="A244" s="964"/>
      <c r="B244" s="964"/>
      <c r="C244" s="964"/>
      <c r="D244" s="964"/>
      <c r="E244" s="964"/>
      <c r="F244" s="964"/>
      <c r="G244" s="965"/>
      <c r="H244" s="966"/>
      <c r="I244" s="964"/>
      <c r="J244" s="964"/>
      <c r="K244" s="964"/>
      <c r="L244" s="964"/>
      <c r="M244" s="964"/>
      <c r="N244" s="964"/>
      <c r="O244" s="966"/>
      <c r="P244" s="964"/>
      <c r="Q244" s="964"/>
      <c r="R244" s="964"/>
      <c r="S244" s="964"/>
      <c r="T244" s="975"/>
      <c r="U244" s="975"/>
    </row>
    <row r="245" spans="1:21" x14ac:dyDescent="0.2">
      <c r="T245" s="975"/>
      <c r="U245" s="975"/>
    </row>
    <row r="246" spans="1:21" x14ac:dyDescent="0.2">
      <c r="T246" s="975"/>
      <c r="U246" s="975"/>
    </row>
    <row r="247" spans="1:21" x14ac:dyDescent="0.2">
      <c r="T247" s="975"/>
      <c r="U247" s="975"/>
    </row>
    <row r="248" spans="1:21" x14ac:dyDescent="0.2">
      <c r="T248" s="975"/>
      <c r="U248" s="975"/>
    </row>
    <row r="249" spans="1:21" x14ac:dyDescent="0.2">
      <c r="T249" s="975"/>
      <c r="U249" s="975"/>
    </row>
    <row r="250" spans="1:21" x14ac:dyDescent="0.2">
      <c r="T250" s="976"/>
      <c r="U250" s="976"/>
    </row>
    <row r="251" spans="1:21" x14ac:dyDescent="0.2">
      <c r="T251" s="976"/>
      <c r="U251" s="976"/>
    </row>
    <row r="252" spans="1:21" x14ac:dyDescent="0.2">
      <c r="T252" s="976"/>
      <c r="U252" s="976"/>
    </row>
    <row r="253" spans="1:21" x14ac:dyDescent="0.2">
      <c r="T253" s="976"/>
      <c r="U253" s="976"/>
    </row>
    <row r="254" spans="1:21" x14ac:dyDescent="0.2">
      <c r="T254" s="976"/>
      <c r="U254" s="976"/>
    </row>
    <row r="255" spans="1:21" x14ac:dyDescent="0.2">
      <c r="T255" s="976"/>
      <c r="U255" s="976"/>
    </row>
    <row r="256" spans="1:21" x14ac:dyDescent="0.2">
      <c r="T256" s="976"/>
      <c r="U256" s="976"/>
    </row>
    <row r="257" spans="20:21" x14ac:dyDescent="0.2">
      <c r="T257" s="976"/>
      <c r="U257" s="976"/>
    </row>
    <row r="258" spans="20:21" x14ac:dyDescent="0.2">
      <c r="T258" s="976"/>
      <c r="U258" s="976"/>
    </row>
    <row r="259" spans="20:21" x14ac:dyDescent="0.2">
      <c r="T259" s="976"/>
      <c r="U259" s="976"/>
    </row>
    <row r="260" spans="20:21" x14ac:dyDescent="0.2">
      <c r="T260" s="976"/>
      <c r="U260" s="976"/>
    </row>
    <row r="261" spans="20:21" x14ac:dyDescent="0.2">
      <c r="T261" s="976"/>
      <c r="U261" s="976"/>
    </row>
    <row r="262" spans="20:21" x14ac:dyDescent="0.2">
      <c r="T262" s="976"/>
      <c r="U262" s="976"/>
    </row>
    <row r="263" spans="20:21" x14ac:dyDescent="0.2">
      <c r="T263" s="976"/>
      <c r="U263" s="976"/>
    </row>
    <row r="264" spans="20:21" x14ac:dyDescent="0.2">
      <c r="T264" s="976"/>
      <c r="U264" s="976"/>
    </row>
    <row r="265" spans="20:21" x14ac:dyDescent="0.2">
      <c r="T265" s="976"/>
      <c r="U265" s="976"/>
    </row>
    <row r="266" spans="20:21" x14ac:dyDescent="0.2">
      <c r="T266" s="976"/>
      <c r="U266" s="976"/>
    </row>
    <row r="267" spans="20:21" x14ac:dyDescent="0.2">
      <c r="T267" s="976"/>
      <c r="U267" s="976"/>
    </row>
    <row r="268" spans="20:21" x14ac:dyDescent="0.2">
      <c r="T268" s="976"/>
      <c r="U268" s="976"/>
    </row>
    <row r="269" spans="20:21" x14ac:dyDescent="0.2">
      <c r="T269" s="976"/>
      <c r="U269" s="976"/>
    </row>
    <row r="270" spans="20:21" x14ac:dyDescent="0.2">
      <c r="T270" s="976"/>
      <c r="U270" s="976"/>
    </row>
    <row r="271" spans="20:21" x14ac:dyDescent="0.2">
      <c r="T271" s="976"/>
      <c r="U271" s="976"/>
    </row>
    <row r="272" spans="20:21" x14ac:dyDescent="0.2">
      <c r="T272" s="976"/>
      <c r="U272" s="976"/>
    </row>
    <row r="273" spans="20:21" x14ac:dyDescent="0.2">
      <c r="T273" s="976"/>
      <c r="U273" s="976"/>
    </row>
    <row r="274" spans="20:21" x14ac:dyDescent="0.2">
      <c r="T274" s="976"/>
      <c r="U274" s="976"/>
    </row>
    <row r="275" spans="20:21" x14ac:dyDescent="0.2">
      <c r="T275" s="976"/>
      <c r="U275" s="976"/>
    </row>
    <row r="276" spans="20:21" x14ac:dyDescent="0.2">
      <c r="T276" s="976"/>
      <c r="U276" s="976"/>
    </row>
    <row r="277" spans="20:21" x14ac:dyDescent="0.2">
      <c r="T277" s="976"/>
      <c r="U277" s="976"/>
    </row>
    <row r="278" spans="20:21" x14ac:dyDescent="0.2">
      <c r="T278" s="976"/>
      <c r="U278" s="976"/>
    </row>
    <row r="279" spans="20:21" x14ac:dyDescent="0.2">
      <c r="T279" s="976"/>
      <c r="U279" s="976"/>
    </row>
    <row r="280" spans="20:21" x14ac:dyDescent="0.2">
      <c r="T280" s="976"/>
      <c r="U280" s="976"/>
    </row>
    <row r="281" spans="20:21" x14ac:dyDescent="0.2">
      <c r="T281" s="976"/>
      <c r="U281" s="976"/>
    </row>
    <row r="282" spans="20:21" x14ac:dyDescent="0.2">
      <c r="T282" s="976"/>
      <c r="U282" s="976"/>
    </row>
    <row r="283" spans="20:21" x14ac:dyDescent="0.2">
      <c r="T283" s="976"/>
      <c r="U283" s="976"/>
    </row>
    <row r="284" spans="20:21" x14ac:dyDescent="0.2">
      <c r="T284" s="976"/>
      <c r="U284" s="976"/>
    </row>
  </sheetData>
  <sheetProtection sheet="1" objects="1" scenarios="1"/>
  <mergeCells count="12">
    <mergeCell ref="A2:R2"/>
    <mergeCell ref="A5:R5"/>
    <mergeCell ref="I89:K89"/>
    <mergeCell ref="L89:N89"/>
    <mergeCell ref="O89:Q89"/>
    <mergeCell ref="I25:K25"/>
    <mergeCell ref="L25:N25"/>
    <mergeCell ref="O25:Q25"/>
    <mergeCell ref="A68:A69"/>
    <mergeCell ref="A23:R23"/>
    <mergeCell ref="B16:Q16"/>
    <mergeCell ref="A87:R87"/>
  </mergeCells>
  <phoneticPr fontId="8" type="noConversion"/>
  <pageMargins left="0.23622047244094491" right="0.23622047244094491" top="0.31496062992125984" bottom="0.31496062992125984" header="0.31496062992125984" footer="0.31496062992125984"/>
  <pageSetup paperSize="9" scale="60" orientation="landscape"/>
  <rowBreaks count="1" manualBreakCount="1">
    <brk id="76" max="16383" man="1"/>
  </rowBreaks>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A1:AB166"/>
  <sheetViews>
    <sheetView zoomScale="70" zoomScaleNormal="70" workbookViewId="0">
      <selection activeCell="K32" sqref="K32"/>
    </sheetView>
  </sheetViews>
  <sheetFormatPr baseColWidth="10" defaultRowHeight="12.75" x14ac:dyDescent="0.2"/>
  <cols>
    <col min="1" max="1" width="17.1640625" style="1813" bestFit="1" customWidth="1"/>
    <col min="2" max="2" width="12" style="1813"/>
    <col min="3" max="3" width="15.6640625" style="1813" bestFit="1" customWidth="1"/>
    <col min="4" max="4" width="15.6640625" style="1813" customWidth="1"/>
    <col min="5" max="5" width="13" style="1813" bestFit="1" customWidth="1"/>
    <col min="6" max="6" width="9.6640625" style="1813" customWidth="1"/>
    <col min="7" max="7" width="17.33203125" style="1813" customWidth="1"/>
    <col min="8" max="8" width="14.33203125" style="1813" bestFit="1" customWidth="1"/>
    <col min="9" max="9" width="12" style="1839" customWidth="1"/>
    <col min="10" max="10" width="11.83203125" style="1840" customWidth="1"/>
    <col min="11" max="12" width="10.5" style="1813" customWidth="1"/>
    <col min="13" max="13" width="14" style="1813" customWidth="1"/>
    <col min="14" max="16" width="12.6640625" style="1813" customWidth="1"/>
    <col min="17" max="17" width="12.6640625" style="1840" customWidth="1"/>
    <col min="18" max="19" width="12.6640625" style="1813" customWidth="1"/>
    <col min="20" max="20" width="10" style="1813" customWidth="1"/>
    <col min="21" max="21" width="26.5" style="1813" customWidth="1"/>
    <col min="22" max="22" width="17.1640625" style="1813" customWidth="1"/>
    <col min="23" max="216" width="12" style="1813"/>
    <col min="217" max="217" width="17.1640625" style="1813" bestFit="1" customWidth="1"/>
    <col min="218" max="218" width="12" style="1813"/>
    <col min="219" max="219" width="15.6640625" style="1813" bestFit="1" customWidth="1"/>
    <col min="220" max="220" width="13" style="1813" bestFit="1" customWidth="1"/>
    <col min="221" max="221" width="9.6640625" style="1813" customWidth="1"/>
    <col min="222" max="222" width="10.1640625" style="1813" customWidth="1"/>
    <col min="223" max="223" width="12" style="1813"/>
    <col min="224" max="224" width="9.1640625" style="1813" customWidth="1"/>
    <col min="225" max="227" width="10.5" style="1813" customWidth="1"/>
    <col min="228" max="228" width="10.83203125" style="1813" customWidth="1"/>
    <col min="229" max="229" width="11.5" style="1813" bestFit="1" customWidth="1"/>
    <col min="230" max="230" width="10.83203125" style="1813" customWidth="1"/>
    <col min="231" max="231" width="11.1640625" style="1813" customWidth="1"/>
    <col min="232" max="233" width="10.6640625" style="1813" bestFit="1" customWidth="1"/>
    <col min="234" max="234" width="10" style="1813" customWidth="1"/>
    <col min="235" max="472" width="12" style="1813"/>
    <col min="473" max="473" width="17.1640625" style="1813" bestFit="1" customWidth="1"/>
    <col min="474" max="474" width="12" style="1813"/>
    <col min="475" max="475" width="15.6640625" style="1813" bestFit="1" customWidth="1"/>
    <col min="476" max="476" width="13" style="1813" bestFit="1" customWidth="1"/>
    <col min="477" max="477" width="9.6640625" style="1813" customWidth="1"/>
    <col min="478" max="478" width="10.1640625" style="1813" customWidth="1"/>
    <col min="479" max="479" width="12" style="1813"/>
    <col min="480" max="480" width="9.1640625" style="1813" customWidth="1"/>
    <col min="481" max="483" width="10.5" style="1813" customWidth="1"/>
    <col min="484" max="484" width="10.83203125" style="1813" customWidth="1"/>
    <col min="485" max="485" width="11.5" style="1813" bestFit="1" customWidth="1"/>
    <col min="486" max="486" width="10.83203125" style="1813" customWidth="1"/>
    <col min="487" max="487" width="11.1640625" style="1813" customWidth="1"/>
    <col min="488" max="489" width="10.6640625" style="1813" bestFit="1" customWidth="1"/>
    <col min="490" max="490" width="10" style="1813" customWidth="1"/>
    <col min="491" max="728" width="12" style="1813"/>
    <col min="729" max="729" width="17.1640625" style="1813" bestFit="1" customWidth="1"/>
    <col min="730" max="730" width="12" style="1813"/>
    <col min="731" max="731" width="15.6640625" style="1813" bestFit="1" customWidth="1"/>
    <col min="732" max="732" width="13" style="1813" bestFit="1" customWidth="1"/>
    <col min="733" max="733" width="9.6640625" style="1813" customWidth="1"/>
    <col min="734" max="734" width="10.1640625" style="1813" customWidth="1"/>
    <col min="735" max="735" width="12" style="1813"/>
    <col min="736" max="736" width="9.1640625" style="1813" customWidth="1"/>
    <col min="737" max="739" width="10.5" style="1813" customWidth="1"/>
    <col min="740" max="740" width="10.83203125" style="1813" customWidth="1"/>
    <col min="741" max="741" width="11.5" style="1813" bestFit="1" customWidth="1"/>
    <col min="742" max="742" width="10.83203125" style="1813" customWidth="1"/>
    <col min="743" max="743" width="11.1640625" style="1813" customWidth="1"/>
    <col min="744" max="745" width="10.6640625" style="1813" bestFit="1" customWidth="1"/>
    <col min="746" max="746" width="10" style="1813" customWidth="1"/>
    <col min="747" max="984" width="12" style="1813"/>
    <col min="985" max="985" width="17.1640625" style="1813" bestFit="1" customWidth="1"/>
    <col min="986" max="986" width="12" style="1813"/>
    <col min="987" max="987" width="15.6640625" style="1813" bestFit="1" customWidth="1"/>
    <col min="988" max="988" width="13" style="1813" bestFit="1" customWidth="1"/>
    <col min="989" max="989" width="9.6640625" style="1813" customWidth="1"/>
    <col min="990" max="990" width="10.1640625" style="1813" customWidth="1"/>
    <col min="991" max="991" width="12" style="1813"/>
    <col min="992" max="992" width="9.1640625" style="1813" customWidth="1"/>
    <col min="993" max="995" width="10.5" style="1813" customWidth="1"/>
    <col min="996" max="996" width="10.83203125" style="1813" customWidth="1"/>
    <col min="997" max="997" width="11.5" style="1813" bestFit="1" customWidth="1"/>
    <col min="998" max="998" width="10.83203125" style="1813" customWidth="1"/>
    <col min="999" max="999" width="11.1640625" style="1813" customWidth="1"/>
    <col min="1000" max="1001" width="10.6640625" style="1813" bestFit="1" customWidth="1"/>
    <col min="1002" max="1002" width="10" style="1813" customWidth="1"/>
    <col min="1003" max="1240" width="12" style="1813"/>
    <col min="1241" max="1241" width="17.1640625" style="1813" bestFit="1" customWidth="1"/>
    <col min="1242" max="1242" width="12" style="1813"/>
    <col min="1243" max="1243" width="15.6640625" style="1813" bestFit="1" customWidth="1"/>
    <col min="1244" max="1244" width="13" style="1813" bestFit="1" customWidth="1"/>
    <col min="1245" max="1245" width="9.6640625" style="1813" customWidth="1"/>
    <col min="1246" max="1246" width="10.1640625" style="1813" customWidth="1"/>
    <col min="1247" max="1247" width="12" style="1813"/>
    <col min="1248" max="1248" width="9.1640625" style="1813" customWidth="1"/>
    <col min="1249" max="1251" width="10.5" style="1813" customWidth="1"/>
    <col min="1252" max="1252" width="10.83203125" style="1813" customWidth="1"/>
    <col min="1253" max="1253" width="11.5" style="1813" bestFit="1" customWidth="1"/>
    <col min="1254" max="1254" width="10.83203125" style="1813" customWidth="1"/>
    <col min="1255" max="1255" width="11.1640625" style="1813" customWidth="1"/>
    <col min="1256" max="1257" width="10.6640625" style="1813" bestFit="1" customWidth="1"/>
    <col min="1258" max="1258" width="10" style="1813" customWidth="1"/>
    <col min="1259" max="1496" width="12" style="1813"/>
    <col min="1497" max="1497" width="17.1640625" style="1813" bestFit="1" customWidth="1"/>
    <col min="1498" max="1498" width="12" style="1813"/>
    <col min="1499" max="1499" width="15.6640625" style="1813" bestFit="1" customWidth="1"/>
    <col min="1500" max="1500" width="13" style="1813" bestFit="1" customWidth="1"/>
    <col min="1501" max="1501" width="9.6640625" style="1813" customWidth="1"/>
    <col min="1502" max="1502" width="10.1640625" style="1813" customWidth="1"/>
    <col min="1503" max="1503" width="12" style="1813"/>
    <col min="1504" max="1504" width="9.1640625" style="1813" customWidth="1"/>
    <col min="1505" max="1507" width="10.5" style="1813" customWidth="1"/>
    <col min="1508" max="1508" width="10.83203125" style="1813" customWidth="1"/>
    <col min="1509" max="1509" width="11.5" style="1813" bestFit="1" customWidth="1"/>
    <col min="1510" max="1510" width="10.83203125" style="1813" customWidth="1"/>
    <col min="1511" max="1511" width="11.1640625" style="1813" customWidth="1"/>
    <col min="1512" max="1513" width="10.6640625" style="1813" bestFit="1" customWidth="1"/>
    <col min="1514" max="1514" width="10" style="1813" customWidth="1"/>
    <col min="1515" max="1752" width="12" style="1813"/>
    <col min="1753" max="1753" width="17.1640625" style="1813" bestFit="1" customWidth="1"/>
    <col min="1754" max="1754" width="12" style="1813"/>
    <col min="1755" max="1755" width="15.6640625" style="1813" bestFit="1" customWidth="1"/>
    <col min="1756" max="1756" width="13" style="1813" bestFit="1" customWidth="1"/>
    <col min="1757" max="1757" width="9.6640625" style="1813" customWidth="1"/>
    <col min="1758" max="1758" width="10.1640625" style="1813" customWidth="1"/>
    <col min="1759" max="1759" width="12" style="1813"/>
    <col min="1760" max="1760" width="9.1640625" style="1813" customWidth="1"/>
    <col min="1761" max="1763" width="10.5" style="1813" customWidth="1"/>
    <col min="1764" max="1764" width="10.83203125" style="1813" customWidth="1"/>
    <col min="1765" max="1765" width="11.5" style="1813" bestFit="1" customWidth="1"/>
    <col min="1766" max="1766" width="10.83203125" style="1813" customWidth="1"/>
    <col min="1767" max="1767" width="11.1640625" style="1813" customWidth="1"/>
    <col min="1768" max="1769" width="10.6640625" style="1813" bestFit="1" customWidth="1"/>
    <col min="1770" max="1770" width="10" style="1813" customWidth="1"/>
    <col min="1771" max="2008" width="12" style="1813"/>
    <col min="2009" max="2009" width="17.1640625" style="1813" bestFit="1" customWidth="1"/>
    <col min="2010" max="2010" width="12" style="1813"/>
    <col min="2011" max="2011" width="15.6640625" style="1813" bestFit="1" customWidth="1"/>
    <col min="2012" max="2012" width="13" style="1813" bestFit="1" customWidth="1"/>
    <col min="2013" max="2013" width="9.6640625" style="1813" customWidth="1"/>
    <col min="2014" max="2014" width="10.1640625" style="1813" customWidth="1"/>
    <col min="2015" max="2015" width="12" style="1813"/>
    <col min="2016" max="2016" width="9.1640625" style="1813" customWidth="1"/>
    <col min="2017" max="2019" width="10.5" style="1813" customWidth="1"/>
    <col min="2020" max="2020" width="10.83203125" style="1813" customWidth="1"/>
    <col min="2021" max="2021" width="11.5" style="1813" bestFit="1" customWidth="1"/>
    <col min="2022" max="2022" width="10.83203125" style="1813" customWidth="1"/>
    <col min="2023" max="2023" width="11.1640625" style="1813" customWidth="1"/>
    <col min="2024" max="2025" width="10.6640625" style="1813" bestFit="1" customWidth="1"/>
    <col min="2026" max="2026" width="10" style="1813" customWidth="1"/>
    <col min="2027" max="2264" width="12" style="1813"/>
    <col min="2265" max="2265" width="17.1640625" style="1813" bestFit="1" customWidth="1"/>
    <col min="2266" max="2266" width="12" style="1813"/>
    <col min="2267" max="2267" width="15.6640625" style="1813" bestFit="1" customWidth="1"/>
    <col min="2268" max="2268" width="13" style="1813" bestFit="1" customWidth="1"/>
    <col min="2269" max="2269" width="9.6640625" style="1813" customWidth="1"/>
    <col min="2270" max="2270" width="10.1640625" style="1813" customWidth="1"/>
    <col min="2271" max="2271" width="12" style="1813"/>
    <col min="2272" max="2272" width="9.1640625" style="1813" customWidth="1"/>
    <col min="2273" max="2275" width="10.5" style="1813" customWidth="1"/>
    <col min="2276" max="2276" width="10.83203125" style="1813" customWidth="1"/>
    <col min="2277" max="2277" width="11.5" style="1813" bestFit="1" customWidth="1"/>
    <col min="2278" max="2278" width="10.83203125" style="1813" customWidth="1"/>
    <col min="2279" max="2279" width="11.1640625" style="1813" customWidth="1"/>
    <col min="2280" max="2281" width="10.6640625" style="1813" bestFit="1" customWidth="1"/>
    <col min="2282" max="2282" width="10" style="1813" customWidth="1"/>
    <col min="2283" max="2520" width="12" style="1813"/>
    <col min="2521" max="2521" width="17.1640625" style="1813" bestFit="1" customWidth="1"/>
    <col min="2522" max="2522" width="12" style="1813"/>
    <col min="2523" max="2523" width="15.6640625" style="1813" bestFit="1" customWidth="1"/>
    <col min="2524" max="2524" width="13" style="1813" bestFit="1" customWidth="1"/>
    <col min="2525" max="2525" width="9.6640625" style="1813" customWidth="1"/>
    <col min="2526" max="2526" width="10.1640625" style="1813" customWidth="1"/>
    <col min="2527" max="2527" width="12" style="1813"/>
    <col min="2528" max="2528" width="9.1640625" style="1813" customWidth="1"/>
    <col min="2529" max="2531" width="10.5" style="1813" customWidth="1"/>
    <col min="2532" max="2532" width="10.83203125" style="1813" customWidth="1"/>
    <col min="2533" max="2533" width="11.5" style="1813" bestFit="1" customWidth="1"/>
    <col min="2534" max="2534" width="10.83203125" style="1813" customWidth="1"/>
    <col min="2535" max="2535" width="11.1640625" style="1813" customWidth="1"/>
    <col min="2536" max="2537" width="10.6640625" style="1813" bestFit="1" customWidth="1"/>
    <col min="2538" max="2538" width="10" style="1813" customWidth="1"/>
    <col min="2539" max="2776" width="12" style="1813"/>
    <col min="2777" max="2777" width="17.1640625" style="1813" bestFit="1" customWidth="1"/>
    <col min="2778" max="2778" width="12" style="1813"/>
    <col min="2779" max="2779" width="15.6640625" style="1813" bestFit="1" customWidth="1"/>
    <col min="2780" max="2780" width="13" style="1813" bestFit="1" customWidth="1"/>
    <col min="2781" max="2781" width="9.6640625" style="1813" customWidth="1"/>
    <col min="2782" max="2782" width="10.1640625" style="1813" customWidth="1"/>
    <col min="2783" max="2783" width="12" style="1813"/>
    <col min="2784" max="2784" width="9.1640625" style="1813" customWidth="1"/>
    <col min="2785" max="2787" width="10.5" style="1813" customWidth="1"/>
    <col min="2788" max="2788" width="10.83203125" style="1813" customWidth="1"/>
    <col min="2789" max="2789" width="11.5" style="1813" bestFit="1" customWidth="1"/>
    <col min="2790" max="2790" width="10.83203125" style="1813" customWidth="1"/>
    <col min="2791" max="2791" width="11.1640625" style="1813" customWidth="1"/>
    <col min="2792" max="2793" width="10.6640625" style="1813" bestFit="1" customWidth="1"/>
    <col min="2794" max="2794" width="10" style="1813" customWidth="1"/>
    <col min="2795" max="3032" width="12" style="1813"/>
    <col min="3033" max="3033" width="17.1640625" style="1813" bestFit="1" customWidth="1"/>
    <col min="3034" max="3034" width="12" style="1813"/>
    <col min="3035" max="3035" width="15.6640625" style="1813" bestFit="1" customWidth="1"/>
    <col min="3036" max="3036" width="13" style="1813" bestFit="1" customWidth="1"/>
    <col min="3037" max="3037" width="9.6640625" style="1813" customWidth="1"/>
    <col min="3038" max="3038" width="10.1640625" style="1813" customWidth="1"/>
    <col min="3039" max="3039" width="12" style="1813"/>
    <col min="3040" max="3040" width="9.1640625" style="1813" customWidth="1"/>
    <col min="3041" max="3043" width="10.5" style="1813" customWidth="1"/>
    <col min="3044" max="3044" width="10.83203125" style="1813" customWidth="1"/>
    <col min="3045" max="3045" width="11.5" style="1813" bestFit="1" customWidth="1"/>
    <col min="3046" max="3046" width="10.83203125" style="1813" customWidth="1"/>
    <col min="3047" max="3047" width="11.1640625" style="1813" customWidth="1"/>
    <col min="3048" max="3049" width="10.6640625" style="1813" bestFit="1" customWidth="1"/>
    <col min="3050" max="3050" width="10" style="1813" customWidth="1"/>
    <col min="3051" max="3288" width="12" style="1813"/>
    <col min="3289" max="3289" width="17.1640625" style="1813" bestFit="1" customWidth="1"/>
    <col min="3290" max="3290" width="12" style="1813"/>
    <col min="3291" max="3291" width="15.6640625" style="1813" bestFit="1" customWidth="1"/>
    <col min="3292" max="3292" width="13" style="1813" bestFit="1" customWidth="1"/>
    <col min="3293" max="3293" width="9.6640625" style="1813" customWidth="1"/>
    <col min="3294" max="3294" width="10.1640625" style="1813" customWidth="1"/>
    <col min="3295" max="3295" width="12" style="1813"/>
    <col min="3296" max="3296" width="9.1640625" style="1813" customWidth="1"/>
    <col min="3297" max="3299" width="10.5" style="1813" customWidth="1"/>
    <col min="3300" max="3300" width="10.83203125" style="1813" customWidth="1"/>
    <col min="3301" max="3301" width="11.5" style="1813" bestFit="1" customWidth="1"/>
    <col min="3302" max="3302" width="10.83203125" style="1813" customWidth="1"/>
    <col min="3303" max="3303" width="11.1640625" style="1813" customWidth="1"/>
    <col min="3304" max="3305" width="10.6640625" style="1813" bestFit="1" customWidth="1"/>
    <col min="3306" max="3306" width="10" style="1813" customWidth="1"/>
    <col min="3307" max="3544" width="12" style="1813"/>
    <col min="3545" max="3545" width="17.1640625" style="1813" bestFit="1" customWidth="1"/>
    <col min="3546" max="3546" width="12" style="1813"/>
    <col min="3547" max="3547" width="15.6640625" style="1813" bestFit="1" customWidth="1"/>
    <col min="3548" max="3548" width="13" style="1813" bestFit="1" customWidth="1"/>
    <col min="3549" max="3549" width="9.6640625" style="1813" customWidth="1"/>
    <col min="3550" max="3550" width="10.1640625" style="1813" customWidth="1"/>
    <col min="3551" max="3551" width="12" style="1813"/>
    <col min="3552" max="3552" width="9.1640625" style="1813" customWidth="1"/>
    <col min="3553" max="3555" width="10.5" style="1813" customWidth="1"/>
    <col min="3556" max="3556" width="10.83203125" style="1813" customWidth="1"/>
    <col min="3557" max="3557" width="11.5" style="1813" bestFit="1" customWidth="1"/>
    <col min="3558" max="3558" width="10.83203125" style="1813" customWidth="1"/>
    <col min="3559" max="3559" width="11.1640625" style="1813" customWidth="1"/>
    <col min="3560" max="3561" width="10.6640625" style="1813" bestFit="1" customWidth="1"/>
    <col min="3562" max="3562" width="10" style="1813" customWidth="1"/>
    <col min="3563" max="3800" width="12" style="1813"/>
    <col min="3801" max="3801" width="17.1640625" style="1813" bestFit="1" customWidth="1"/>
    <col min="3802" max="3802" width="12" style="1813"/>
    <col min="3803" max="3803" width="15.6640625" style="1813" bestFit="1" customWidth="1"/>
    <col min="3804" max="3804" width="13" style="1813" bestFit="1" customWidth="1"/>
    <col min="3805" max="3805" width="9.6640625" style="1813" customWidth="1"/>
    <col min="3806" max="3806" width="10.1640625" style="1813" customWidth="1"/>
    <col min="3807" max="3807" width="12" style="1813"/>
    <col min="3808" max="3808" width="9.1640625" style="1813" customWidth="1"/>
    <col min="3809" max="3811" width="10.5" style="1813" customWidth="1"/>
    <col min="3812" max="3812" width="10.83203125" style="1813" customWidth="1"/>
    <col min="3813" max="3813" width="11.5" style="1813" bestFit="1" customWidth="1"/>
    <col min="3814" max="3814" width="10.83203125" style="1813" customWidth="1"/>
    <col min="3815" max="3815" width="11.1640625" style="1813" customWidth="1"/>
    <col min="3816" max="3817" width="10.6640625" style="1813" bestFit="1" customWidth="1"/>
    <col min="3818" max="3818" width="10" style="1813" customWidth="1"/>
    <col min="3819" max="4056" width="12" style="1813"/>
    <col min="4057" max="4057" width="17.1640625" style="1813" bestFit="1" customWidth="1"/>
    <col min="4058" max="4058" width="12" style="1813"/>
    <col min="4059" max="4059" width="15.6640625" style="1813" bestFit="1" customWidth="1"/>
    <col min="4060" max="4060" width="13" style="1813" bestFit="1" customWidth="1"/>
    <col min="4061" max="4061" width="9.6640625" style="1813" customWidth="1"/>
    <col min="4062" max="4062" width="10.1640625" style="1813" customWidth="1"/>
    <col min="4063" max="4063" width="12" style="1813"/>
    <col min="4064" max="4064" width="9.1640625" style="1813" customWidth="1"/>
    <col min="4065" max="4067" width="10.5" style="1813" customWidth="1"/>
    <col min="4068" max="4068" width="10.83203125" style="1813" customWidth="1"/>
    <col min="4069" max="4069" width="11.5" style="1813" bestFit="1" customWidth="1"/>
    <col min="4070" max="4070" width="10.83203125" style="1813" customWidth="1"/>
    <col min="4071" max="4071" width="11.1640625" style="1813" customWidth="1"/>
    <col min="4072" max="4073" width="10.6640625" style="1813" bestFit="1" customWidth="1"/>
    <col min="4074" max="4074" width="10" style="1813" customWidth="1"/>
    <col min="4075" max="4312" width="12" style="1813"/>
    <col min="4313" max="4313" width="17.1640625" style="1813" bestFit="1" customWidth="1"/>
    <col min="4314" max="4314" width="12" style="1813"/>
    <col min="4315" max="4315" width="15.6640625" style="1813" bestFit="1" customWidth="1"/>
    <col min="4316" max="4316" width="13" style="1813" bestFit="1" customWidth="1"/>
    <col min="4317" max="4317" width="9.6640625" style="1813" customWidth="1"/>
    <col min="4318" max="4318" width="10.1640625" style="1813" customWidth="1"/>
    <col min="4319" max="4319" width="12" style="1813"/>
    <col min="4320" max="4320" width="9.1640625" style="1813" customWidth="1"/>
    <col min="4321" max="4323" width="10.5" style="1813" customWidth="1"/>
    <col min="4324" max="4324" width="10.83203125" style="1813" customWidth="1"/>
    <col min="4325" max="4325" width="11.5" style="1813" bestFit="1" customWidth="1"/>
    <col min="4326" max="4326" width="10.83203125" style="1813" customWidth="1"/>
    <col min="4327" max="4327" width="11.1640625" style="1813" customWidth="1"/>
    <col min="4328" max="4329" width="10.6640625" style="1813" bestFit="1" customWidth="1"/>
    <col min="4330" max="4330" width="10" style="1813" customWidth="1"/>
    <col min="4331" max="4568" width="12" style="1813"/>
    <col min="4569" max="4569" width="17.1640625" style="1813" bestFit="1" customWidth="1"/>
    <col min="4570" max="4570" width="12" style="1813"/>
    <col min="4571" max="4571" width="15.6640625" style="1813" bestFit="1" customWidth="1"/>
    <col min="4572" max="4572" width="13" style="1813" bestFit="1" customWidth="1"/>
    <col min="4573" max="4573" width="9.6640625" style="1813" customWidth="1"/>
    <col min="4574" max="4574" width="10.1640625" style="1813" customWidth="1"/>
    <col min="4575" max="4575" width="12" style="1813"/>
    <col min="4576" max="4576" width="9.1640625" style="1813" customWidth="1"/>
    <col min="4577" max="4579" width="10.5" style="1813" customWidth="1"/>
    <col min="4580" max="4580" width="10.83203125" style="1813" customWidth="1"/>
    <col min="4581" max="4581" width="11.5" style="1813" bestFit="1" customWidth="1"/>
    <col min="4582" max="4582" width="10.83203125" style="1813" customWidth="1"/>
    <col min="4583" max="4583" width="11.1640625" style="1813" customWidth="1"/>
    <col min="4584" max="4585" width="10.6640625" style="1813" bestFit="1" customWidth="1"/>
    <col min="4586" max="4586" width="10" style="1813" customWidth="1"/>
    <col min="4587" max="4824" width="12" style="1813"/>
    <col min="4825" max="4825" width="17.1640625" style="1813" bestFit="1" customWidth="1"/>
    <col min="4826" max="4826" width="12" style="1813"/>
    <col min="4827" max="4827" width="15.6640625" style="1813" bestFit="1" customWidth="1"/>
    <col min="4828" max="4828" width="13" style="1813" bestFit="1" customWidth="1"/>
    <col min="4829" max="4829" width="9.6640625" style="1813" customWidth="1"/>
    <col min="4830" max="4830" width="10.1640625" style="1813" customWidth="1"/>
    <col min="4831" max="4831" width="12" style="1813"/>
    <col min="4832" max="4832" width="9.1640625" style="1813" customWidth="1"/>
    <col min="4833" max="4835" width="10.5" style="1813" customWidth="1"/>
    <col min="4836" max="4836" width="10.83203125" style="1813" customWidth="1"/>
    <col min="4837" max="4837" width="11.5" style="1813" bestFit="1" customWidth="1"/>
    <col min="4838" max="4838" width="10.83203125" style="1813" customWidth="1"/>
    <col min="4839" max="4839" width="11.1640625" style="1813" customWidth="1"/>
    <col min="4840" max="4841" width="10.6640625" style="1813" bestFit="1" customWidth="1"/>
    <col min="4842" max="4842" width="10" style="1813" customWidth="1"/>
    <col min="4843" max="5080" width="12" style="1813"/>
    <col min="5081" max="5081" width="17.1640625" style="1813" bestFit="1" customWidth="1"/>
    <col min="5082" max="5082" width="12" style="1813"/>
    <col min="5083" max="5083" width="15.6640625" style="1813" bestFit="1" customWidth="1"/>
    <col min="5084" max="5084" width="13" style="1813" bestFit="1" customWidth="1"/>
    <col min="5085" max="5085" width="9.6640625" style="1813" customWidth="1"/>
    <col min="5086" max="5086" width="10.1640625" style="1813" customWidth="1"/>
    <col min="5087" max="5087" width="12" style="1813"/>
    <col min="5088" max="5088" width="9.1640625" style="1813" customWidth="1"/>
    <col min="5089" max="5091" width="10.5" style="1813" customWidth="1"/>
    <col min="5092" max="5092" width="10.83203125" style="1813" customWidth="1"/>
    <col min="5093" max="5093" width="11.5" style="1813" bestFit="1" customWidth="1"/>
    <col min="5094" max="5094" width="10.83203125" style="1813" customWidth="1"/>
    <col min="5095" max="5095" width="11.1640625" style="1813" customWidth="1"/>
    <col min="5096" max="5097" width="10.6640625" style="1813" bestFit="1" customWidth="1"/>
    <col min="5098" max="5098" width="10" style="1813" customWidth="1"/>
    <col min="5099" max="5336" width="12" style="1813"/>
    <col min="5337" max="5337" width="17.1640625" style="1813" bestFit="1" customWidth="1"/>
    <col min="5338" max="5338" width="12" style="1813"/>
    <col min="5339" max="5339" width="15.6640625" style="1813" bestFit="1" customWidth="1"/>
    <col min="5340" max="5340" width="13" style="1813" bestFit="1" customWidth="1"/>
    <col min="5341" max="5341" width="9.6640625" style="1813" customWidth="1"/>
    <col min="5342" max="5342" width="10.1640625" style="1813" customWidth="1"/>
    <col min="5343" max="5343" width="12" style="1813"/>
    <col min="5344" max="5344" width="9.1640625" style="1813" customWidth="1"/>
    <col min="5345" max="5347" width="10.5" style="1813" customWidth="1"/>
    <col min="5348" max="5348" width="10.83203125" style="1813" customWidth="1"/>
    <col min="5349" max="5349" width="11.5" style="1813" bestFit="1" customWidth="1"/>
    <col min="5350" max="5350" width="10.83203125" style="1813" customWidth="1"/>
    <col min="5351" max="5351" width="11.1640625" style="1813" customWidth="1"/>
    <col min="5352" max="5353" width="10.6640625" style="1813" bestFit="1" customWidth="1"/>
    <col min="5354" max="5354" width="10" style="1813" customWidth="1"/>
    <col min="5355" max="5592" width="12" style="1813"/>
    <col min="5593" max="5593" width="17.1640625" style="1813" bestFit="1" customWidth="1"/>
    <col min="5594" max="5594" width="12" style="1813"/>
    <col min="5595" max="5595" width="15.6640625" style="1813" bestFit="1" customWidth="1"/>
    <col min="5596" max="5596" width="13" style="1813" bestFit="1" customWidth="1"/>
    <col min="5597" max="5597" width="9.6640625" style="1813" customWidth="1"/>
    <col min="5598" max="5598" width="10.1640625" style="1813" customWidth="1"/>
    <col min="5599" max="5599" width="12" style="1813"/>
    <col min="5600" max="5600" width="9.1640625" style="1813" customWidth="1"/>
    <col min="5601" max="5603" width="10.5" style="1813" customWidth="1"/>
    <col min="5604" max="5604" width="10.83203125" style="1813" customWidth="1"/>
    <col min="5605" max="5605" width="11.5" style="1813" bestFit="1" customWidth="1"/>
    <col min="5606" max="5606" width="10.83203125" style="1813" customWidth="1"/>
    <col min="5607" max="5607" width="11.1640625" style="1813" customWidth="1"/>
    <col min="5608" max="5609" width="10.6640625" style="1813" bestFit="1" customWidth="1"/>
    <col min="5610" max="5610" width="10" style="1813" customWidth="1"/>
    <col min="5611" max="5848" width="12" style="1813"/>
    <col min="5849" max="5849" width="17.1640625" style="1813" bestFit="1" customWidth="1"/>
    <col min="5850" max="5850" width="12" style="1813"/>
    <col min="5851" max="5851" width="15.6640625" style="1813" bestFit="1" customWidth="1"/>
    <col min="5852" max="5852" width="13" style="1813" bestFit="1" customWidth="1"/>
    <col min="5853" max="5853" width="9.6640625" style="1813" customWidth="1"/>
    <col min="5854" max="5854" width="10.1640625" style="1813" customWidth="1"/>
    <col min="5855" max="5855" width="12" style="1813"/>
    <col min="5856" max="5856" width="9.1640625" style="1813" customWidth="1"/>
    <col min="5857" max="5859" width="10.5" style="1813" customWidth="1"/>
    <col min="5860" max="5860" width="10.83203125" style="1813" customWidth="1"/>
    <col min="5861" max="5861" width="11.5" style="1813" bestFit="1" customWidth="1"/>
    <col min="5862" max="5862" width="10.83203125" style="1813" customWidth="1"/>
    <col min="5863" max="5863" width="11.1640625" style="1813" customWidth="1"/>
    <col min="5864" max="5865" width="10.6640625" style="1813" bestFit="1" customWidth="1"/>
    <col min="5866" max="5866" width="10" style="1813" customWidth="1"/>
    <col min="5867" max="6104" width="12" style="1813"/>
    <col min="6105" max="6105" width="17.1640625" style="1813" bestFit="1" customWidth="1"/>
    <col min="6106" max="6106" width="12" style="1813"/>
    <col min="6107" max="6107" width="15.6640625" style="1813" bestFit="1" customWidth="1"/>
    <col min="6108" max="6108" width="13" style="1813" bestFit="1" customWidth="1"/>
    <col min="6109" max="6109" width="9.6640625" style="1813" customWidth="1"/>
    <col min="6110" max="6110" width="10.1640625" style="1813" customWidth="1"/>
    <col min="6111" max="6111" width="12" style="1813"/>
    <col min="6112" max="6112" width="9.1640625" style="1813" customWidth="1"/>
    <col min="6113" max="6115" width="10.5" style="1813" customWidth="1"/>
    <col min="6116" max="6116" width="10.83203125" style="1813" customWidth="1"/>
    <col min="6117" max="6117" width="11.5" style="1813" bestFit="1" customWidth="1"/>
    <col min="6118" max="6118" width="10.83203125" style="1813" customWidth="1"/>
    <col min="6119" max="6119" width="11.1640625" style="1813" customWidth="1"/>
    <col min="6120" max="6121" width="10.6640625" style="1813" bestFit="1" customWidth="1"/>
    <col min="6122" max="6122" width="10" style="1813" customWidth="1"/>
    <col min="6123" max="6360" width="12" style="1813"/>
    <col min="6361" max="6361" width="17.1640625" style="1813" bestFit="1" customWidth="1"/>
    <col min="6362" max="6362" width="12" style="1813"/>
    <col min="6363" max="6363" width="15.6640625" style="1813" bestFit="1" customWidth="1"/>
    <col min="6364" max="6364" width="13" style="1813" bestFit="1" customWidth="1"/>
    <col min="6365" max="6365" width="9.6640625" style="1813" customWidth="1"/>
    <col min="6366" max="6366" width="10.1640625" style="1813" customWidth="1"/>
    <col min="6367" max="6367" width="12" style="1813"/>
    <col min="6368" max="6368" width="9.1640625" style="1813" customWidth="1"/>
    <col min="6369" max="6371" width="10.5" style="1813" customWidth="1"/>
    <col min="6372" max="6372" width="10.83203125" style="1813" customWidth="1"/>
    <col min="6373" max="6373" width="11.5" style="1813" bestFit="1" customWidth="1"/>
    <col min="6374" max="6374" width="10.83203125" style="1813" customWidth="1"/>
    <col min="6375" max="6375" width="11.1640625" style="1813" customWidth="1"/>
    <col min="6376" max="6377" width="10.6640625" style="1813" bestFit="1" customWidth="1"/>
    <col min="6378" max="6378" width="10" style="1813" customWidth="1"/>
    <col min="6379" max="6616" width="12" style="1813"/>
    <col min="6617" max="6617" width="17.1640625" style="1813" bestFit="1" customWidth="1"/>
    <col min="6618" max="6618" width="12" style="1813"/>
    <col min="6619" max="6619" width="15.6640625" style="1813" bestFit="1" customWidth="1"/>
    <col min="6620" max="6620" width="13" style="1813" bestFit="1" customWidth="1"/>
    <col min="6621" max="6621" width="9.6640625" style="1813" customWidth="1"/>
    <col min="6622" max="6622" width="10.1640625" style="1813" customWidth="1"/>
    <col min="6623" max="6623" width="12" style="1813"/>
    <col min="6624" max="6624" width="9.1640625" style="1813" customWidth="1"/>
    <col min="6625" max="6627" width="10.5" style="1813" customWidth="1"/>
    <col min="6628" max="6628" width="10.83203125" style="1813" customWidth="1"/>
    <col min="6629" max="6629" width="11.5" style="1813" bestFit="1" customWidth="1"/>
    <col min="6630" max="6630" width="10.83203125" style="1813" customWidth="1"/>
    <col min="6631" max="6631" width="11.1640625" style="1813" customWidth="1"/>
    <col min="6632" max="6633" width="10.6640625" style="1813" bestFit="1" customWidth="1"/>
    <col min="6634" max="6634" width="10" style="1813" customWidth="1"/>
    <col min="6635" max="6872" width="12" style="1813"/>
    <col min="6873" max="6873" width="17.1640625" style="1813" bestFit="1" customWidth="1"/>
    <col min="6874" max="6874" width="12" style="1813"/>
    <col min="6875" max="6875" width="15.6640625" style="1813" bestFit="1" customWidth="1"/>
    <col min="6876" max="6876" width="13" style="1813" bestFit="1" customWidth="1"/>
    <col min="6877" max="6877" width="9.6640625" style="1813" customWidth="1"/>
    <col min="6878" max="6878" width="10.1640625" style="1813" customWidth="1"/>
    <col min="6879" max="6879" width="12" style="1813"/>
    <col min="6880" max="6880" width="9.1640625" style="1813" customWidth="1"/>
    <col min="6881" max="6883" width="10.5" style="1813" customWidth="1"/>
    <col min="6884" max="6884" width="10.83203125" style="1813" customWidth="1"/>
    <col min="6885" max="6885" width="11.5" style="1813" bestFit="1" customWidth="1"/>
    <col min="6886" max="6886" width="10.83203125" style="1813" customWidth="1"/>
    <col min="6887" max="6887" width="11.1640625" style="1813" customWidth="1"/>
    <col min="6888" max="6889" width="10.6640625" style="1813" bestFit="1" customWidth="1"/>
    <col min="6890" max="6890" width="10" style="1813" customWidth="1"/>
    <col min="6891" max="7128" width="12" style="1813"/>
    <col min="7129" max="7129" width="17.1640625" style="1813" bestFit="1" customWidth="1"/>
    <col min="7130" max="7130" width="12" style="1813"/>
    <col min="7131" max="7131" width="15.6640625" style="1813" bestFit="1" customWidth="1"/>
    <col min="7132" max="7132" width="13" style="1813" bestFit="1" customWidth="1"/>
    <col min="7133" max="7133" width="9.6640625" style="1813" customWidth="1"/>
    <col min="7134" max="7134" width="10.1640625" style="1813" customWidth="1"/>
    <col min="7135" max="7135" width="12" style="1813"/>
    <col min="7136" max="7136" width="9.1640625" style="1813" customWidth="1"/>
    <col min="7137" max="7139" width="10.5" style="1813" customWidth="1"/>
    <col min="7140" max="7140" width="10.83203125" style="1813" customWidth="1"/>
    <col min="7141" max="7141" width="11.5" style="1813" bestFit="1" customWidth="1"/>
    <col min="7142" max="7142" width="10.83203125" style="1813" customWidth="1"/>
    <col min="7143" max="7143" width="11.1640625" style="1813" customWidth="1"/>
    <col min="7144" max="7145" width="10.6640625" style="1813" bestFit="1" customWidth="1"/>
    <col min="7146" max="7146" width="10" style="1813" customWidth="1"/>
    <col min="7147" max="7384" width="12" style="1813"/>
    <col min="7385" max="7385" width="17.1640625" style="1813" bestFit="1" customWidth="1"/>
    <col min="7386" max="7386" width="12" style="1813"/>
    <col min="7387" max="7387" width="15.6640625" style="1813" bestFit="1" customWidth="1"/>
    <col min="7388" max="7388" width="13" style="1813" bestFit="1" customWidth="1"/>
    <col min="7389" max="7389" width="9.6640625" style="1813" customWidth="1"/>
    <col min="7390" max="7390" width="10.1640625" style="1813" customWidth="1"/>
    <col min="7391" max="7391" width="12" style="1813"/>
    <col min="7392" max="7392" width="9.1640625" style="1813" customWidth="1"/>
    <col min="7393" max="7395" width="10.5" style="1813" customWidth="1"/>
    <col min="7396" max="7396" width="10.83203125" style="1813" customWidth="1"/>
    <col min="7397" max="7397" width="11.5" style="1813" bestFit="1" customWidth="1"/>
    <col min="7398" max="7398" width="10.83203125" style="1813" customWidth="1"/>
    <col min="7399" max="7399" width="11.1640625" style="1813" customWidth="1"/>
    <col min="7400" max="7401" width="10.6640625" style="1813" bestFit="1" customWidth="1"/>
    <col min="7402" max="7402" width="10" style="1813" customWidth="1"/>
    <col min="7403" max="7640" width="12" style="1813"/>
    <col min="7641" max="7641" width="17.1640625" style="1813" bestFit="1" customWidth="1"/>
    <col min="7642" max="7642" width="12" style="1813"/>
    <col min="7643" max="7643" width="15.6640625" style="1813" bestFit="1" customWidth="1"/>
    <col min="7644" max="7644" width="13" style="1813" bestFit="1" customWidth="1"/>
    <col min="7645" max="7645" width="9.6640625" style="1813" customWidth="1"/>
    <col min="7646" max="7646" width="10.1640625" style="1813" customWidth="1"/>
    <col min="7647" max="7647" width="12" style="1813"/>
    <col min="7648" max="7648" width="9.1640625" style="1813" customWidth="1"/>
    <col min="7649" max="7651" width="10.5" style="1813" customWidth="1"/>
    <col min="7652" max="7652" width="10.83203125" style="1813" customWidth="1"/>
    <col min="7653" max="7653" width="11.5" style="1813" bestFit="1" customWidth="1"/>
    <col min="7654" max="7654" width="10.83203125" style="1813" customWidth="1"/>
    <col min="7655" max="7655" width="11.1640625" style="1813" customWidth="1"/>
    <col min="7656" max="7657" width="10.6640625" style="1813" bestFit="1" customWidth="1"/>
    <col min="7658" max="7658" width="10" style="1813" customWidth="1"/>
    <col min="7659" max="7896" width="12" style="1813"/>
    <col min="7897" max="7897" width="17.1640625" style="1813" bestFit="1" customWidth="1"/>
    <col min="7898" max="7898" width="12" style="1813"/>
    <col min="7899" max="7899" width="15.6640625" style="1813" bestFit="1" customWidth="1"/>
    <col min="7900" max="7900" width="13" style="1813" bestFit="1" customWidth="1"/>
    <col min="7901" max="7901" width="9.6640625" style="1813" customWidth="1"/>
    <col min="7902" max="7902" width="10.1640625" style="1813" customWidth="1"/>
    <col min="7903" max="7903" width="12" style="1813"/>
    <col min="7904" max="7904" width="9.1640625" style="1813" customWidth="1"/>
    <col min="7905" max="7907" width="10.5" style="1813" customWidth="1"/>
    <col min="7908" max="7908" width="10.83203125" style="1813" customWidth="1"/>
    <col min="7909" max="7909" width="11.5" style="1813" bestFit="1" customWidth="1"/>
    <col min="7910" max="7910" width="10.83203125" style="1813" customWidth="1"/>
    <col min="7911" max="7911" width="11.1640625" style="1813" customWidth="1"/>
    <col min="7912" max="7913" width="10.6640625" style="1813" bestFit="1" customWidth="1"/>
    <col min="7914" max="7914" width="10" style="1813" customWidth="1"/>
    <col min="7915" max="8152" width="12" style="1813"/>
    <col min="8153" max="8153" width="17.1640625" style="1813" bestFit="1" customWidth="1"/>
    <col min="8154" max="8154" width="12" style="1813"/>
    <col min="8155" max="8155" width="15.6640625" style="1813" bestFit="1" customWidth="1"/>
    <col min="8156" max="8156" width="13" style="1813" bestFit="1" customWidth="1"/>
    <col min="8157" max="8157" width="9.6640625" style="1813" customWidth="1"/>
    <col min="8158" max="8158" width="10.1640625" style="1813" customWidth="1"/>
    <col min="8159" max="8159" width="12" style="1813"/>
    <col min="8160" max="8160" width="9.1640625" style="1813" customWidth="1"/>
    <col min="8161" max="8163" width="10.5" style="1813" customWidth="1"/>
    <col min="8164" max="8164" width="10.83203125" style="1813" customWidth="1"/>
    <col min="8165" max="8165" width="11.5" style="1813" bestFit="1" customWidth="1"/>
    <col min="8166" max="8166" width="10.83203125" style="1813" customWidth="1"/>
    <col min="8167" max="8167" width="11.1640625" style="1813" customWidth="1"/>
    <col min="8168" max="8169" width="10.6640625" style="1813" bestFit="1" customWidth="1"/>
    <col min="8170" max="8170" width="10" style="1813" customWidth="1"/>
    <col min="8171" max="8408" width="12" style="1813"/>
    <col min="8409" max="8409" width="17.1640625" style="1813" bestFit="1" customWidth="1"/>
    <col min="8410" max="8410" width="12" style="1813"/>
    <col min="8411" max="8411" width="15.6640625" style="1813" bestFit="1" customWidth="1"/>
    <col min="8412" max="8412" width="13" style="1813" bestFit="1" customWidth="1"/>
    <col min="8413" max="8413" width="9.6640625" style="1813" customWidth="1"/>
    <col min="8414" max="8414" width="10.1640625" style="1813" customWidth="1"/>
    <col min="8415" max="8415" width="12" style="1813"/>
    <col min="8416" max="8416" width="9.1640625" style="1813" customWidth="1"/>
    <col min="8417" max="8419" width="10.5" style="1813" customWidth="1"/>
    <col min="8420" max="8420" width="10.83203125" style="1813" customWidth="1"/>
    <col min="8421" max="8421" width="11.5" style="1813" bestFit="1" customWidth="1"/>
    <col min="8422" max="8422" width="10.83203125" style="1813" customWidth="1"/>
    <col min="8423" max="8423" width="11.1640625" style="1813" customWidth="1"/>
    <col min="8424" max="8425" width="10.6640625" style="1813" bestFit="1" customWidth="1"/>
    <col min="8426" max="8426" width="10" style="1813" customWidth="1"/>
    <col min="8427" max="8664" width="12" style="1813"/>
    <col min="8665" max="8665" width="17.1640625" style="1813" bestFit="1" customWidth="1"/>
    <col min="8666" max="8666" width="12" style="1813"/>
    <col min="8667" max="8667" width="15.6640625" style="1813" bestFit="1" customWidth="1"/>
    <col min="8668" max="8668" width="13" style="1813" bestFit="1" customWidth="1"/>
    <col min="8669" max="8669" width="9.6640625" style="1813" customWidth="1"/>
    <col min="8670" max="8670" width="10.1640625" style="1813" customWidth="1"/>
    <col min="8671" max="8671" width="12" style="1813"/>
    <col min="8672" max="8672" width="9.1640625" style="1813" customWidth="1"/>
    <col min="8673" max="8675" width="10.5" style="1813" customWidth="1"/>
    <col min="8676" max="8676" width="10.83203125" style="1813" customWidth="1"/>
    <col min="8677" max="8677" width="11.5" style="1813" bestFit="1" customWidth="1"/>
    <col min="8678" max="8678" width="10.83203125" style="1813" customWidth="1"/>
    <col min="8679" max="8679" width="11.1640625" style="1813" customWidth="1"/>
    <col min="8680" max="8681" width="10.6640625" style="1813" bestFit="1" customWidth="1"/>
    <col min="8682" max="8682" width="10" style="1813" customWidth="1"/>
    <col min="8683" max="8920" width="12" style="1813"/>
    <col min="8921" max="8921" width="17.1640625" style="1813" bestFit="1" customWidth="1"/>
    <col min="8922" max="8922" width="12" style="1813"/>
    <col min="8923" max="8923" width="15.6640625" style="1813" bestFit="1" customWidth="1"/>
    <col min="8924" max="8924" width="13" style="1813" bestFit="1" customWidth="1"/>
    <col min="8925" max="8925" width="9.6640625" style="1813" customWidth="1"/>
    <col min="8926" max="8926" width="10.1640625" style="1813" customWidth="1"/>
    <col min="8927" max="8927" width="12" style="1813"/>
    <col min="8928" max="8928" width="9.1640625" style="1813" customWidth="1"/>
    <col min="8929" max="8931" width="10.5" style="1813" customWidth="1"/>
    <col min="8932" max="8932" width="10.83203125" style="1813" customWidth="1"/>
    <col min="8933" max="8933" width="11.5" style="1813" bestFit="1" customWidth="1"/>
    <col min="8934" max="8934" width="10.83203125" style="1813" customWidth="1"/>
    <col min="8935" max="8935" width="11.1640625" style="1813" customWidth="1"/>
    <col min="8936" max="8937" width="10.6640625" style="1813" bestFit="1" customWidth="1"/>
    <col min="8938" max="8938" width="10" style="1813" customWidth="1"/>
    <col min="8939" max="9176" width="12" style="1813"/>
    <col min="9177" max="9177" width="17.1640625" style="1813" bestFit="1" customWidth="1"/>
    <col min="9178" max="9178" width="12" style="1813"/>
    <col min="9179" max="9179" width="15.6640625" style="1813" bestFit="1" customWidth="1"/>
    <col min="9180" max="9180" width="13" style="1813" bestFit="1" customWidth="1"/>
    <col min="9181" max="9181" width="9.6640625" style="1813" customWidth="1"/>
    <col min="9182" max="9182" width="10.1640625" style="1813" customWidth="1"/>
    <col min="9183" max="9183" width="12" style="1813"/>
    <col min="9184" max="9184" width="9.1640625" style="1813" customWidth="1"/>
    <col min="9185" max="9187" width="10.5" style="1813" customWidth="1"/>
    <col min="9188" max="9188" width="10.83203125" style="1813" customWidth="1"/>
    <col min="9189" max="9189" width="11.5" style="1813" bestFit="1" customWidth="1"/>
    <col min="9190" max="9190" width="10.83203125" style="1813" customWidth="1"/>
    <col min="9191" max="9191" width="11.1640625" style="1813" customWidth="1"/>
    <col min="9192" max="9193" width="10.6640625" style="1813" bestFit="1" customWidth="1"/>
    <col min="9194" max="9194" width="10" style="1813" customWidth="1"/>
    <col min="9195" max="9432" width="12" style="1813"/>
    <col min="9433" max="9433" width="17.1640625" style="1813" bestFit="1" customWidth="1"/>
    <col min="9434" max="9434" width="12" style="1813"/>
    <col min="9435" max="9435" width="15.6640625" style="1813" bestFit="1" customWidth="1"/>
    <col min="9436" max="9436" width="13" style="1813" bestFit="1" customWidth="1"/>
    <col min="9437" max="9437" width="9.6640625" style="1813" customWidth="1"/>
    <col min="9438" max="9438" width="10.1640625" style="1813" customWidth="1"/>
    <col min="9439" max="9439" width="12" style="1813"/>
    <col min="9440" max="9440" width="9.1640625" style="1813" customWidth="1"/>
    <col min="9441" max="9443" width="10.5" style="1813" customWidth="1"/>
    <col min="9444" max="9444" width="10.83203125" style="1813" customWidth="1"/>
    <col min="9445" max="9445" width="11.5" style="1813" bestFit="1" customWidth="1"/>
    <col min="9446" max="9446" width="10.83203125" style="1813" customWidth="1"/>
    <col min="9447" max="9447" width="11.1640625" style="1813" customWidth="1"/>
    <col min="9448" max="9449" width="10.6640625" style="1813" bestFit="1" customWidth="1"/>
    <col min="9450" max="9450" width="10" style="1813" customWidth="1"/>
    <col min="9451" max="9688" width="12" style="1813"/>
    <col min="9689" max="9689" width="17.1640625" style="1813" bestFit="1" customWidth="1"/>
    <col min="9690" max="9690" width="12" style="1813"/>
    <col min="9691" max="9691" width="15.6640625" style="1813" bestFit="1" customWidth="1"/>
    <col min="9692" max="9692" width="13" style="1813" bestFit="1" customWidth="1"/>
    <col min="9693" max="9693" width="9.6640625" style="1813" customWidth="1"/>
    <col min="9694" max="9694" width="10.1640625" style="1813" customWidth="1"/>
    <col min="9695" max="9695" width="12" style="1813"/>
    <col min="9696" max="9696" width="9.1640625" style="1813" customWidth="1"/>
    <col min="9697" max="9699" width="10.5" style="1813" customWidth="1"/>
    <col min="9700" max="9700" width="10.83203125" style="1813" customWidth="1"/>
    <col min="9701" max="9701" width="11.5" style="1813" bestFit="1" customWidth="1"/>
    <col min="9702" max="9702" width="10.83203125" style="1813" customWidth="1"/>
    <col min="9703" max="9703" width="11.1640625" style="1813" customWidth="1"/>
    <col min="9704" max="9705" width="10.6640625" style="1813" bestFit="1" customWidth="1"/>
    <col min="9706" max="9706" width="10" style="1813" customWidth="1"/>
    <col min="9707" max="9944" width="12" style="1813"/>
    <col min="9945" max="9945" width="17.1640625" style="1813" bestFit="1" customWidth="1"/>
    <col min="9946" max="9946" width="12" style="1813"/>
    <col min="9947" max="9947" width="15.6640625" style="1813" bestFit="1" customWidth="1"/>
    <col min="9948" max="9948" width="13" style="1813" bestFit="1" customWidth="1"/>
    <col min="9949" max="9949" width="9.6640625" style="1813" customWidth="1"/>
    <col min="9950" max="9950" width="10.1640625" style="1813" customWidth="1"/>
    <col min="9951" max="9951" width="12" style="1813"/>
    <col min="9952" max="9952" width="9.1640625" style="1813" customWidth="1"/>
    <col min="9953" max="9955" width="10.5" style="1813" customWidth="1"/>
    <col min="9956" max="9956" width="10.83203125" style="1813" customWidth="1"/>
    <col min="9957" max="9957" width="11.5" style="1813" bestFit="1" customWidth="1"/>
    <col min="9958" max="9958" width="10.83203125" style="1813" customWidth="1"/>
    <col min="9959" max="9959" width="11.1640625" style="1813" customWidth="1"/>
    <col min="9960" max="9961" width="10.6640625" style="1813" bestFit="1" customWidth="1"/>
    <col min="9962" max="9962" width="10" style="1813" customWidth="1"/>
    <col min="9963" max="10200" width="12" style="1813"/>
    <col min="10201" max="10201" width="17.1640625" style="1813" bestFit="1" customWidth="1"/>
    <col min="10202" max="10202" width="12" style="1813"/>
    <col min="10203" max="10203" width="15.6640625" style="1813" bestFit="1" customWidth="1"/>
    <col min="10204" max="10204" width="13" style="1813" bestFit="1" customWidth="1"/>
    <col min="10205" max="10205" width="9.6640625" style="1813" customWidth="1"/>
    <col min="10206" max="10206" width="10.1640625" style="1813" customWidth="1"/>
    <col min="10207" max="10207" width="12" style="1813"/>
    <col min="10208" max="10208" width="9.1640625" style="1813" customWidth="1"/>
    <col min="10209" max="10211" width="10.5" style="1813" customWidth="1"/>
    <col min="10212" max="10212" width="10.83203125" style="1813" customWidth="1"/>
    <col min="10213" max="10213" width="11.5" style="1813" bestFit="1" customWidth="1"/>
    <col min="10214" max="10214" width="10.83203125" style="1813" customWidth="1"/>
    <col min="10215" max="10215" width="11.1640625" style="1813" customWidth="1"/>
    <col min="10216" max="10217" width="10.6640625" style="1813" bestFit="1" customWidth="1"/>
    <col min="10218" max="10218" width="10" style="1813" customWidth="1"/>
    <col min="10219" max="10456" width="12" style="1813"/>
    <col min="10457" max="10457" width="17.1640625" style="1813" bestFit="1" customWidth="1"/>
    <col min="10458" max="10458" width="12" style="1813"/>
    <col min="10459" max="10459" width="15.6640625" style="1813" bestFit="1" customWidth="1"/>
    <col min="10460" max="10460" width="13" style="1813" bestFit="1" customWidth="1"/>
    <col min="10461" max="10461" width="9.6640625" style="1813" customWidth="1"/>
    <col min="10462" max="10462" width="10.1640625" style="1813" customWidth="1"/>
    <col min="10463" max="10463" width="12" style="1813"/>
    <col min="10464" max="10464" width="9.1640625" style="1813" customWidth="1"/>
    <col min="10465" max="10467" width="10.5" style="1813" customWidth="1"/>
    <col min="10468" max="10468" width="10.83203125" style="1813" customWidth="1"/>
    <col min="10469" max="10469" width="11.5" style="1813" bestFit="1" customWidth="1"/>
    <col min="10470" max="10470" width="10.83203125" style="1813" customWidth="1"/>
    <col min="10471" max="10471" width="11.1640625" style="1813" customWidth="1"/>
    <col min="10472" max="10473" width="10.6640625" style="1813" bestFit="1" customWidth="1"/>
    <col min="10474" max="10474" width="10" style="1813" customWidth="1"/>
    <col min="10475" max="10712" width="12" style="1813"/>
    <col min="10713" max="10713" width="17.1640625" style="1813" bestFit="1" customWidth="1"/>
    <col min="10714" max="10714" width="12" style="1813"/>
    <col min="10715" max="10715" width="15.6640625" style="1813" bestFit="1" customWidth="1"/>
    <col min="10716" max="10716" width="13" style="1813" bestFit="1" customWidth="1"/>
    <col min="10717" max="10717" width="9.6640625" style="1813" customWidth="1"/>
    <col min="10718" max="10718" width="10.1640625" style="1813" customWidth="1"/>
    <col min="10719" max="10719" width="12" style="1813"/>
    <col min="10720" max="10720" width="9.1640625" style="1813" customWidth="1"/>
    <col min="10721" max="10723" width="10.5" style="1813" customWidth="1"/>
    <col min="10724" max="10724" width="10.83203125" style="1813" customWidth="1"/>
    <col min="10725" max="10725" width="11.5" style="1813" bestFit="1" customWidth="1"/>
    <col min="10726" max="10726" width="10.83203125" style="1813" customWidth="1"/>
    <col min="10727" max="10727" width="11.1640625" style="1813" customWidth="1"/>
    <col min="10728" max="10729" width="10.6640625" style="1813" bestFit="1" customWidth="1"/>
    <col min="10730" max="10730" width="10" style="1813" customWidth="1"/>
    <col min="10731" max="10968" width="12" style="1813"/>
    <col min="10969" max="10969" width="17.1640625" style="1813" bestFit="1" customWidth="1"/>
    <col min="10970" max="10970" width="12" style="1813"/>
    <col min="10971" max="10971" width="15.6640625" style="1813" bestFit="1" customWidth="1"/>
    <col min="10972" max="10972" width="13" style="1813" bestFit="1" customWidth="1"/>
    <col min="10973" max="10973" width="9.6640625" style="1813" customWidth="1"/>
    <col min="10974" max="10974" width="10.1640625" style="1813" customWidth="1"/>
    <col min="10975" max="10975" width="12" style="1813"/>
    <col min="10976" max="10976" width="9.1640625" style="1813" customWidth="1"/>
    <col min="10977" max="10979" width="10.5" style="1813" customWidth="1"/>
    <col min="10980" max="10980" width="10.83203125" style="1813" customWidth="1"/>
    <col min="10981" max="10981" width="11.5" style="1813" bestFit="1" customWidth="1"/>
    <col min="10982" max="10982" width="10.83203125" style="1813" customWidth="1"/>
    <col min="10983" max="10983" width="11.1640625" style="1813" customWidth="1"/>
    <col min="10984" max="10985" width="10.6640625" style="1813" bestFit="1" customWidth="1"/>
    <col min="10986" max="10986" width="10" style="1813" customWidth="1"/>
    <col min="10987" max="11224" width="12" style="1813"/>
    <col min="11225" max="11225" width="17.1640625" style="1813" bestFit="1" customWidth="1"/>
    <col min="11226" max="11226" width="12" style="1813"/>
    <col min="11227" max="11227" width="15.6640625" style="1813" bestFit="1" customWidth="1"/>
    <col min="11228" max="11228" width="13" style="1813" bestFit="1" customWidth="1"/>
    <col min="11229" max="11229" width="9.6640625" style="1813" customWidth="1"/>
    <col min="11230" max="11230" width="10.1640625" style="1813" customWidth="1"/>
    <col min="11231" max="11231" width="12" style="1813"/>
    <col min="11232" max="11232" width="9.1640625" style="1813" customWidth="1"/>
    <col min="11233" max="11235" width="10.5" style="1813" customWidth="1"/>
    <col min="11236" max="11236" width="10.83203125" style="1813" customWidth="1"/>
    <col min="11237" max="11237" width="11.5" style="1813" bestFit="1" customWidth="1"/>
    <col min="11238" max="11238" width="10.83203125" style="1813" customWidth="1"/>
    <col min="11239" max="11239" width="11.1640625" style="1813" customWidth="1"/>
    <col min="11240" max="11241" width="10.6640625" style="1813" bestFit="1" customWidth="1"/>
    <col min="11242" max="11242" width="10" style="1813" customWidth="1"/>
    <col min="11243" max="11480" width="12" style="1813"/>
    <col min="11481" max="11481" width="17.1640625" style="1813" bestFit="1" customWidth="1"/>
    <col min="11482" max="11482" width="12" style="1813"/>
    <col min="11483" max="11483" width="15.6640625" style="1813" bestFit="1" customWidth="1"/>
    <col min="11484" max="11484" width="13" style="1813" bestFit="1" customWidth="1"/>
    <col min="11485" max="11485" width="9.6640625" style="1813" customWidth="1"/>
    <col min="11486" max="11486" width="10.1640625" style="1813" customWidth="1"/>
    <col min="11487" max="11487" width="12" style="1813"/>
    <col min="11488" max="11488" width="9.1640625" style="1813" customWidth="1"/>
    <col min="11489" max="11491" width="10.5" style="1813" customWidth="1"/>
    <col min="11492" max="11492" width="10.83203125" style="1813" customWidth="1"/>
    <col min="11493" max="11493" width="11.5" style="1813" bestFit="1" customWidth="1"/>
    <col min="11494" max="11494" width="10.83203125" style="1813" customWidth="1"/>
    <col min="11495" max="11495" width="11.1640625" style="1813" customWidth="1"/>
    <col min="11496" max="11497" width="10.6640625" style="1813" bestFit="1" customWidth="1"/>
    <col min="11498" max="11498" width="10" style="1813" customWidth="1"/>
    <col min="11499" max="11736" width="12" style="1813"/>
    <col min="11737" max="11737" width="17.1640625" style="1813" bestFit="1" customWidth="1"/>
    <col min="11738" max="11738" width="12" style="1813"/>
    <col min="11739" max="11739" width="15.6640625" style="1813" bestFit="1" customWidth="1"/>
    <col min="11740" max="11740" width="13" style="1813" bestFit="1" customWidth="1"/>
    <col min="11741" max="11741" width="9.6640625" style="1813" customWidth="1"/>
    <col min="11742" max="11742" width="10.1640625" style="1813" customWidth="1"/>
    <col min="11743" max="11743" width="12" style="1813"/>
    <col min="11744" max="11744" width="9.1640625" style="1813" customWidth="1"/>
    <col min="11745" max="11747" width="10.5" style="1813" customWidth="1"/>
    <col min="11748" max="11748" width="10.83203125" style="1813" customWidth="1"/>
    <col min="11749" max="11749" width="11.5" style="1813" bestFit="1" customWidth="1"/>
    <col min="11750" max="11750" width="10.83203125" style="1813" customWidth="1"/>
    <col min="11751" max="11751" width="11.1640625" style="1813" customWidth="1"/>
    <col min="11752" max="11753" width="10.6640625" style="1813" bestFit="1" customWidth="1"/>
    <col min="11754" max="11754" width="10" style="1813" customWidth="1"/>
    <col min="11755" max="11992" width="12" style="1813"/>
    <col min="11993" max="11993" width="17.1640625" style="1813" bestFit="1" customWidth="1"/>
    <col min="11994" max="11994" width="12" style="1813"/>
    <col min="11995" max="11995" width="15.6640625" style="1813" bestFit="1" customWidth="1"/>
    <col min="11996" max="11996" width="13" style="1813" bestFit="1" customWidth="1"/>
    <col min="11997" max="11997" width="9.6640625" style="1813" customWidth="1"/>
    <col min="11998" max="11998" width="10.1640625" style="1813" customWidth="1"/>
    <col min="11999" max="11999" width="12" style="1813"/>
    <col min="12000" max="12000" width="9.1640625" style="1813" customWidth="1"/>
    <col min="12001" max="12003" width="10.5" style="1813" customWidth="1"/>
    <col min="12004" max="12004" width="10.83203125" style="1813" customWidth="1"/>
    <col min="12005" max="12005" width="11.5" style="1813" bestFit="1" customWidth="1"/>
    <col min="12006" max="12006" width="10.83203125" style="1813" customWidth="1"/>
    <col min="12007" max="12007" width="11.1640625" style="1813" customWidth="1"/>
    <col min="12008" max="12009" width="10.6640625" style="1813" bestFit="1" customWidth="1"/>
    <col min="12010" max="12010" width="10" style="1813" customWidth="1"/>
    <col min="12011" max="12248" width="12" style="1813"/>
    <col min="12249" max="12249" width="17.1640625" style="1813" bestFit="1" customWidth="1"/>
    <col min="12250" max="12250" width="12" style="1813"/>
    <col min="12251" max="12251" width="15.6640625" style="1813" bestFit="1" customWidth="1"/>
    <col min="12252" max="12252" width="13" style="1813" bestFit="1" customWidth="1"/>
    <col min="12253" max="12253" width="9.6640625" style="1813" customWidth="1"/>
    <col min="12254" max="12254" width="10.1640625" style="1813" customWidth="1"/>
    <col min="12255" max="12255" width="12" style="1813"/>
    <col min="12256" max="12256" width="9.1640625" style="1813" customWidth="1"/>
    <col min="12257" max="12259" width="10.5" style="1813" customWidth="1"/>
    <col min="12260" max="12260" width="10.83203125" style="1813" customWidth="1"/>
    <col min="12261" max="12261" width="11.5" style="1813" bestFit="1" customWidth="1"/>
    <col min="12262" max="12262" width="10.83203125" style="1813" customWidth="1"/>
    <col min="12263" max="12263" width="11.1640625" style="1813" customWidth="1"/>
    <col min="12264" max="12265" width="10.6640625" style="1813" bestFit="1" customWidth="1"/>
    <col min="12266" max="12266" width="10" style="1813" customWidth="1"/>
    <col min="12267" max="12504" width="12" style="1813"/>
    <col min="12505" max="12505" width="17.1640625" style="1813" bestFit="1" customWidth="1"/>
    <col min="12506" max="12506" width="12" style="1813"/>
    <col min="12507" max="12507" width="15.6640625" style="1813" bestFit="1" customWidth="1"/>
    <col min="12508" max="12508" width="13" style="1813" bestFit="1" customWidth="1"/>
    <col min="12509" max="12509" width="9.6640625" style="1813" customWidth="1"/>
    <col min="12510" max="12510" width="10.1640625" style="1813" customWidth="1"/>
    <col min="12511" max="12511" width="12" style="1813"/>
    <col min="12512" max="12512" width="9.1640625" style="1813" customWidth="1"/>
    <col min="12513" max="12515" width="10.5" style="1813" customWidth="1"/>
    <col min="12516" max="12516" width="10.83203125" style="1813" customWidth="1"/>
    <col min="12517" max="12517" width="11.5" style="1813" bestFit="1" customWidth="1"/>
    <col min="12518" max="12518" width="10.83203125" style="1813" customWidth="1"/>
    <col min="12519" max="12519" width="11.1640625" style="1813" customWidth="1"/>
    <col min="12520" max="12521" width="10.6640625" style="1813" bestFit="1" customWidth="1"/>
    <col min="12522" max="12522" width="10" style="1813" customWidth="1"/>
    <col min="12523" max="12760" width="12" style="1813"/>
    <col min="12761" max="12761" width="17.1640625" style="1813" bestFit="1" customWidth="1"/>
    <col min="12762" max="12762" width="12" style="1813"/>
    <col min="12763" max="12763" width="15.6640625" style="1813" bestFit="1" customWidth="1"/>
    <col min="12764" max="12764" width="13" style="1813" bestFit="1" customWidth="1"/>
    <col min="12765" max="12765" width="9.6640625" style="1813" customWidth="1"/>
    <col min="12766" max="12766" width="10.1640625" style="1813" customWidth="1"/>
    <col min="12767" max="12767" width="12" style="1813"/>
    <col min="12768" max="12768" width="9.1640625" style="1813" customWidth="1"/>
    <col min="12769" max="12771" width="10.5" style="1813" customWidth="1"/>
    <col min="12772" max="12772" width="10.83203125" style="1813" customWidth="1"/>
    <col min="12773" max="12773" width="11.5" style="1813" bestFit="1" customWidth="1"/>
    <col min="12774" max="12774" width="10.83203125" style="1813" customWidth="1"/>
    <col min="12775" max="12775" width="11.1640625" style="1813" customWidth="1"/>
    <col min="12776" max="12777" width="10.6640625" style="1813" bestFit="1" customWidth="1"/>
    <col min="12778" max="12778" width="10" style="1813" customWidth="1"/>
    <col min="12779" max="13016" width="12" style="1813"/>
    <col min="13017" max="13017" width="17.1640625" style="1813" bestFit="1" customWidth="1"/>
    <col min="13018" max="13018" width="12" style="1813"/>
    <col min="13019" max="13019" width="15.6640625" style="1813" bestFit="1" customWidth="1"/>
    <col min="13020" max="13020" width="13" style="1813" bestFit="1" customWidth="1"/>
    <col min="13021" max="13021" width="9.6640625" style="1813" customWidth="1"/>
    <col min="13022" max="13022" width="10.1640625" style="1813" customWidth="1"/>
    <col min="13023" max="13023" width="12" style="1813"/>
    <col min="13024" max="13024" width="9.1640625" style="1813" customWidth="1"/>
    <col min="13025" max="13027" width="10.5" style="1813" customWidth="1"/>
    <col min="13028" max="13028" width="10.83203125" style="1813" customWidth="1"/>
    <col min="13029" max="13029" width="11.5" style="1813" bestFit="1" customWidth="1"/>
    <col min="13030" max="13030" width="10.83203125" style="1813" customWidth="1"/>
    <col min="13031" max="13031" width="11.1640625" style="1813" customWidth="1"/>
    <col min="13032" max="13033" width="10.6640625" style="1813" bestFit="1" customWidth="1"/>
    <col min="13034" max="13034" width="10" style="1813" customWidth="1"/>
    <col min="13035" max="13272" width="12" style="1813"/>
    <col min="13273" max="13273" width="17.1640625" style="1813" bestFit="1" customWidth="1"/>
    <col min="13274" max="13274" width="12" style="1813"/>
    <col min="13275" max="13275" width="15.6640625" style="1813" bestFit="1" customWidth="1"/>
    <col min="13276" max="13276" width="13" style="1813" bestFit="1" customWidth="1"/>
    <col min="13277" max="13277" width="9.6640625" style="1813" customWidth="1"/>
    <col min="13278" max="13278" width="10.1640625" style="1813" customWidth="1"/>
    <col min="13279" max="13279" width="12" style="1813"/>
    <col min="13280" max="13280" width="9.1640625" style="1813" customWidth="1"/>
    <col min="13281" max="13283" width="10.5" style="1813" customWidth="1"/>
    <col min="13284" max="13284" width="10.83203125" style="1813" customWidth="1"/>
    <col min="13285" max="13285" width="11.5" style="1813" bestFit="1" customWidth="1"/>
    <col min="13286" max="13286" width="10.83203125" style="1813" customWidth="1"/>
    <col min="13287" max="13287" width="11.1640625" style="1813" customWidth="1"/>
    <col min="13288" max="13289" width="10.6640625" style="1813" bestFit="1" customWidth="1"/>
    <col min="13290" max="13290" width="10" style="1813" customWidth="1"/>
    <col min="13291" max="13528" width="12" style="1813"/>
    <col min="13529" max="13529" width="17.1640625" style="1813" bestFit="1" customWidth="1"/>
    <col min="13530" max="13530" width="12" style="1813"/>
    <col min="13531" max="13531" width="15.6640625" style="1813" bestFit="1" customWidth="1"/>
    <col min="13532" max="13532" width="13" style="1813" bestFit="1" customWidth="1"/>
    <col min="13533" max="13533" width="9.6640625" style="1813" customWidth="1"/>
    <col min="13534" max="13534" width="10.1640625" style="1813" customWidth="1"/>
    <col min="13535" max="13535" width="12" style="1813"/>
    <col min="13536" max="13536" width="9.1640625" style="1813" customWidth="1"/>
    <col min="13537" max="13539" width="10.5" style="1813" customWidth="1"/>
    <col min="13540" max="13540" width="10.83203125" style="1813" customWidth="1"/>
    <col min="13541" max="13541" width="11.5" style="1813" bestFit="1" customWidth="1"/>
    <col min="13542" max="13542" width="10.83203125" style="1813" customWidth="1"/>
    <col min="13543" max="13543" width="11.1640625" style="1813" customWidth="1"/>
    <col min="13544" max="13545" width="10.6640625" style="1813" bestFit="1" customWidth="1"/>
    <col min="13546" max="13546" width="10" style="1813" customWidth="1"/>
    <col min="13547" max="13784" width="12" style="1813"/>
    <col min="13785" max="13785" width="17.1640625" style="1813" bestFit="1" customWidth="1"/>
    <col min="13786" max="13786" width="12" style="1813"/>
    <col min="13787" max="13787" width="15.6640625" style="1813" bestFit="1" customWidth="1"/>
    <col min="13788" max="13788" width="13" style="1813" bestFit="1" customWidth="1"/>
    <col min="13789" max="13789" width="9.6640625" style="1813" customWidth="1"/>
    <col min="13790" max="13790" width="10.1640625" style="1813" customWidth="1"/>
    <col min="13791" max="13791" width="12" style="1813"/>
    <col min="13792" max="13792" width="9.1640625" style="1813" customWidth="1"/>
    <col min="13793" max="13795" width="10.5" style="1813" customWidth="1"/>
    <col min="13796" max="13796" width="10.83203125" style="1813" customWidth="1"/>
    <col min="13797" max="13797" width="11.5" style="1813" bestFit="1" customWidth="1"/>
    <col min="13798" max="13798" width="10.83203125" style="1813" customWidth="1"/>
    <col min="13799" max="13799" width="11.1640625" style="1813" customWidth="1"/>
    <col min="13800" max="13801" width="10.6640625" style="1813" bestFit="1" customWidth="1"/>
    <col min="13802" max="13802" width="10" style="1813" customWidth="1"/>
    <col min="13803" max="14040" width="12" style="1813"/>
    <col min="14041" max="14041" width="17.1640625" style="1813" bestFit="1" customWidth="1"/>
    <col min="14042" max="14042" width="12" style="1813"/>
    <col min="14043" max="14043" width="15.6640625" style="1813" bestFit="1" customWidth="1"/>
    <col min="14044" max="14044" width="13" style="1813" bestFit="1" customWidth="1"/>
    <col min="14045" max="14045" width="9.6640625" style="1813" customWidth="1"/>
    <col min="14046" max="14046" width="10.1640625" style="1813" customWidth="1"/>
    <col min="14047" max="14047" width="12" style="1813"/>
    <col min="14048" max="14048" width="9.1640625" style="1813" customWidth="1"/>
    <col min="14049" max="14051" width="10.5" style="1813" customWidth="1"/>
    <col min="14052" max="14052" width="10.83203125" style="1813" customWidth="1"/>
    <col min="14053" max="14053" width="11.5" style="1813" bestFit="1" customWidth="1"/>
    <col min="14054" max="14054" width="10.83203125" style="1813" customWidth="1"/>
    <col min="14055" max="14055" width="11.1640625" style="1813" customWidth="1"/>
    <col min="14056" max="14057" width="10.6640625" style="1813" bestFit="1" customWidth="1"/>
    <col min="14058" max="14058" width="10" style="1813" customWidth="1"/>
    <col min="14059" max="14296" width="12" style="1813"/>
    <col min="14297" max="14297" width="17.1640625" style="1813" bestFit="1" customWidth="1"/>
    <col min="14298" max="14298" width="12" style="1813"/>
    <col min="14299" max="14299" width="15.6640625" style="1813" bestFit="1" customWidth="1"/>
    <col min="14300" max="14300" width="13" style="1813" bestFit="1" customWidth="1"/>
    <col min="14301" max="14301" width="9.6640625" style="1813" customWidth="1"/>
    <col min="14302" max="14302" width="10.1640625" style="1813" customWidth="1"/>
    <col min="14303" max="14303" width="12" style="1813"/>
    <col min="14304" max="14304" width="9.1640625" style="1813" customWidth="1"/>
    <col min="14305" max="14307" width="10.5" style="1813" customWidth="1"/>
    <col min="14308" max="14308" width="10.83203125" style="1813" customWidth="1"/>
    <col min="14309" max="14309" width="11.5" style="1813" bestFit="1" customWidth="1"/>
    <col min="14310" max="14310" width="10.83203125" style="1813" customWidth="1"/>
    <col min="14311" max="14311" width="11.1640625" style="1813" customWidth="1"/>
    <col min="14312" max="14313" width="10.6640625" style="1813" bestFit="1" customWidth="1"/>
    <col min="14314" max="14314" width="10" style="1813" customWidth="1"/>
    <col min="14315" max="14552" width="12" style="1813"/>
    <col min="14553" max="14553" width="17.1640625" style="1813" bestFit="1" customWidth="1"/>
    <col min="14554" max="14554" width="12" style="1813"/>
    <col min="14555" max="14555" width="15.6640625" style="1813" bestFit="1" customWidth="1"/>
    <col min="14556" max="14556" width="13" style="1813" bestFit="1" customWidth="1"/>
    <col min="14557" max="14557" width="9.6640625" style="1813" customWidth="1"/>
    <col min="14558" max="14558" width="10.1640625" style="1813" customWidth="1"/>
    <col min="14559" max="14559" width="12" style="1813"/>
    <col min="14560" max="14560" width="9.1640625" style="1813" customWidth="1"/>
    <col min="14561" max="14563" width="10.5" style="1813" customWidth="1"/>
    <col min="14564" max="14564" width="10.83203125" style="1813" customWidth="1"/>
    <col min="14565" max="14565" width="11.5" style="1813" bestFit="1" customWidth="1"/>
    <col min="14566" max="14566" width="10.83203125" style="1813" customWidth="1"/>
    <col min="14567" max="14567" width="11.1640625" style="1813" customWidth="1"/>
    <col min="14568" max="14569" width="10.6640625" style="1813" bestFit="1" customWidth="1"/>
    <col min="14570" max="14570" width="10" style="1813" customWidth="1"/>
    <col min="14571" max="14808" width="12" style="1813"/>
    <col min="14809" max="14809" width="17.1640625" style="1813" bestFit="1" customWidth="1"/>
    <col min="14810" max="14810" width="12" style="1813"/>
    <col min="14811" max="14811" width="15.6640625" style="1813" bestFit="1" customWidth="1"/>
    <col min="14812" max="14812" width="13" style="1813" bestFit="1" customWidth="1"/>
    <col min="14813" max="14813" width="9.6640625" style="1813" customWidth="1"/>
    <col min="14814" max="14814" width="10.1640625" style="1813" customWidth="1"/>
    <col min="14815" max="14815" width="12" style="1813"/>
    <col min="14816" max="14816" width="9.1640625" style="1813" customWidth="1"/>
    <col min="14817" max="14819" width="10.5" style="1813" customWidth="1"/>
    <col min="14820" max="14820" width="10.83203125" style="1813" customWidth="1"/>
    <col min="14821" max="14821" width="11.5" style="1813" bestFit="1" customWidth="1"/>
    <col min="14822" max="14822" width="10.83203125" style="1813" customWidth="1"/>
    <col min="14823" max="14823" width="11.1640625" style="1813" customWidth="1"/>
    <col min="14824" max="14825" width="10.6640625" style="1813" bestFit="1" customWidth="1"/>
    <col min="14826" max="14826" width="10" style="1813" customWidth="1"/>
    <col min="14827" max="15064" width="12" style="1813"/>
    <col min="15065" max="15065" width="17.1640625" style="1813" bestFit="1" customWidth="1"/>
    <col min="15066" max="15066" width="12" style="1813"/>
    <col min="15067" max="15067" width="15.6640625" style="1813" bestFit="1" customWidth="1"/>
    <col min="15068" max="15068" width="13" style="1813" bestFit="1" customWidth="1"/>
    <col min="15069" max="15069" width="9.6640625" style="1813" customWidth="1"/>
    <col min="15070" max="15070" width="10.1640625" style="1813" customWidth="1"/>
    <col min="15071" max="15071" width="12" style="1813"/>
    <col min="15072" max="15072" width="9.1640625" style="1813" customWidth="1"/>
    <col min="15073" max="15075" width="10.5" style="1813" customWidth="1"/>
    <col min="15076" max="15076" width="10.83203125" style="1813" customWidth="1"/>
    <col min="15077" max="15077" width="11.5" style="1813" bestFit="1" customWidth="1"/>
    <col min="15078" max="15078" width="10.83203125" style="1813" customWidth="1"/>
    <col min="15079" max="15079" width="11.1640625" style="1813" customWidth="1"/>
    <col min="15080" max="15081" width="10.6640625" style="1813" bestFit="1" customWidth="1"/>
    <col min="15082" max="15082" width="10" style="1813" customWidth="1"/>
    <col min="15083" max="15320" width="12" style="1813"/>
    <col min="15321" max="15321" width="17.1640625" style="1813" bestFit="1" customWidth="1"/>
    <col min="15322" max="15322" width="12" style="1813"/>
    <col min="15323" max="15323" width="15.6640625" style="1813" bestFit="1" customWidth="1"/>
    <col min="15324" max="15324" width="13" style="1813" bestFit="1" customWidth="1"/>
    <col min="15325" max="15325" width="9.6640625" style="1813" customWidth="1"/>
    <col min="15326" max="15326" width="10.1640625" style="1813" customWidth="1"/>
    <col min="15327" max="15327" width="12" style="1813"/>
    <col min="15328" max="15328" width="9.1640625" style="1813" customWidth="1"/>
    <col min="15329" max="15331" width="10.5" style="1813" customWidth="1"/>
    <col min="15332" max="15332" width="10.83203125" style="1813" customWidth="1"/>
    <col min="15333" max="15333" width="11.5" style="1813" bestFit="1" customWidth="1"/>
    <col min="15334" max="15334" width="10.83203125" style="1813" customWidth="1"/>
    <col min="15335" max="15335" width="11.1640625" style="1813" customWidth="1"/>
    <col min="15336" max="15337" width="10.6640625" style="1813" bestFit="1" customWidth="1"/>
    <col min="15338" max="15338" width="10" style="1813" customWidth="1"/>
    <col min="15339" max="15576" width="12" style="1813"/>
    <col min="15577" max="15577" width="17.1640625" style="1813" bestFit="1" customWidth="1"/>
    <col min="15578" max="15578" width="12" style="1813"/>
    <col min="15579" max="15579" width="15.6640625" style="1813" bestFit="1" customWidth="1"/>
    <col min="15580" max="15580" width="13" style="1813" bestFit="1" customWidth="1"/>
    <col min="15581" max="15581" width="9.6640625" style="1813" customWidth="1"/>
    <col min="15582" max="15582" width="10.1640625" style="1813" customWidth="1"/>
    <col min="15583" max="15583" width="12" style="1813"/>
    <col min="15584" max="15584" width="9.1640625" style="1813" customWidth="1"/>
    <col min="15585" max="15587" width="10.5" style="1813" customWidth="1"/>
    <col min="15588" max="15588" width="10.83203125" style="1813" customWidth="1"/>
    <col min="15589" max="15589" width="11.5" style="1813" bestFit="1" customWidth="1"/>
    <col min="15590" max="15590" width="10.83203125" style="1813" customWidth="1"/>
    <col min="15591" max="15591" width="11.1640625" style="1813" customWidth="1"/>
    <col min="15592" max="15593" width="10.6640625" style="1813" bestFit="1" customWidth="1"/>
    <col min="15594" max="15594" width="10" style="1813" customWidth="1"/>
    <col min="15595" max="15832" width="12" style="1813"/>
    <col min="15833" max="15833" width="17.1640625" style="1813" bestFit="1" customWidth="1"/>
    <col min="15834" max="15834" width="12" style="1813"/>
    <col min="15835" max="15835" width="15.6640625" style="1813" bestFit="1" customWidth="1"/>
    <col min="15836" max="15836" width="13" style="1813" bestFit="1" customWidth="1"/>
    <col min="15837" max="15837" width="9.6640625" style="1813" customWidth="1"/>
    <col min="15838" max="15838" width="10.1640625" style="1813" customWidth="1"/>
    <col min="15839" max="15839" width="12" style="1813"/>
    <col min="15840" max="15840" width="9.1640625" style="1813" customWidth="1"/>
    <col min="15841" max="15843" width="10.5" style="1813" customWidth="1"/>
    <col min="15844" max="15844" width="10.83203125" style="1813" customWidth="1"/>
    <col min="15845" max="15845" width="11.5" style="1813" bestFit="1" customWidth="1"/>
    <col min="15846" max="15846" width="10.83203125" style="1813" customWidth="1"/>
    <col min="15847" max="15847" width="11.1640625" style="1813" customWidth="1"/>
    <col min="15848" max="15849" width="10.6640625" style="1813" bestFit="1" customWidth="1"/>
    <col min="15850" max="15850" width="10" style="1813" customWidth="1"/>
    <col min="15851" max="16088" width="12" style="1813"/>
    <col min="16089" max="16089" width="17.1640625" style="1813" bestFit="1" customWidth="1"/>
    <col min="16090" max="16090" width="12" style="1813"/>
    <col min="16091" max="16091" width="15.6640625" style="1813" bestFit="1" customWidth="1"/>
    <col min="16092" max="16092" width="13" style="1813" bestFit="1" customWidth="1"/>
    <col min="16093" max="16093" width="9.6640625" style="1813" customWidth="1"/>
    <col min="16094" max="16094" width="10.1640625" style="1813" customWidth="1"/>
    <col min="16095" max="16095" width="12" style="1813"/>
    <col min="16096" max="16096" width="9.1640625" style="1813" customWidth="1"/>
    <col min="16097" max="16099" width="10.5" style="1813" customWidth="1"/>
    <col min="16100" max="16100" width="10.83203125" style="1813" customWidth="1"/>
    <col min="16101" max="16101" width="11.5" style="1813" bestFit="1" customWidth="1"/>
    <col min="16102" max="16102" width="10.83203125" style="1813" customWidth="1"/>
    <col min="16103" max="16103" width="11.1640625" style="1813" customWidth="1"/>
    <col min="16104" max="16105" width="10.6640625" style="1813" bestFit="1" customWidth="1"/>
    <col min="16106" max="16106" width="10" style="1813" customWidth="1"/>
    <col min="16107" max="16384" width="12" style="1813"/>
  </cols>
  <sheetData>
    <row r="1" spans="1:20" s="1804" customFormat="1" ht="13.5" thickBot="1" x14ac:dyDescent="0.25">
      <c r="J1" s="1805"/>
      <c r="Q1" s="1805"/>
    </row>
    <row r="2" spans="1:20" s="1804" customFormat="1" ht="16.5" thickBot="1" x14ac:dyDescent="0.3">
      <c r="A2" s="1806" t="s">
        <v>1722</v>
      </c>
      <c r="B2" s="1807"/>
      <c r="C2" s="1807"/>
      <c r="D2" s="1807"/>
      <c r="E2" s="1807"/>
      <c r="F2" s="1807"/>
      <c r="G2" s="1807"/>
      <c r="H2" s="1807"/>
      <c r="I2" s="1807"/>
      <c r="J2" s="1807"/>
      <c r="K2" s="1807"/>
      <c r="L2" s="1807"/>
      <c r="M2" s="1807"/>
      <c r="N2" s="1807"/>
      <c r="O2" s="1807"/>
      <c r="P2" s="1807"/>
      <c r="Q2" s="1807"/>
      <c r="R2" s="1807"/>
      <c r="S2" s="1807"/>
      <c r="T2" s="1808"/>
    </row>
    <row r="3" spans="1:20" s="1804" customFormat="1" x14ac:dyDescent="0.2">
      <c r="J3" s="1805"/>
      <c r="Q3" s="1805"/>
    </row>
    <row r="4" spans="1:20" s="1804" customFormat="1" ht="13.5" thickBot="1" x14ac:dyDescent="0.25">
      <c r="J4" s="1805"/>
      <c r="Q4" s="1805"/>
    </row>
    <row r="5" spans="1:20" s="1804" customFormat="1" ht="16.5" thickBot="1" x14ac:dyDescent="0.3">
      <c r="A5" s="1809" t="s">
        <v>1532</v>
      </c>
      <c r="B5" s="1810"/>
      <c r="C5" s="1810"/>
      <c r="D5" s="1810"/>
      <c r="E5" s="1810"/>
      <c r="F5" s="1810"/>
      <c r="G5" s="1810"/>
      <c r="H5" s="1810"/>
      <c r="I5" s="1810"/>
      <c r="J5" s="1810"/>
      <c r="K5" s="1810"/>
      <c r="L5" s="1810"/>
      <c r="M5" s="1810"/>
      <c r="N5" s="1810"/>
      <c r="O5" s="1810"/>
      <c r="P5" s="1810"/>
      <c r="Q5" s="1810"/>
      <c r="R5" s="1810"/>
      <c r="S5" s="1810"/>
      <c r="T5" s="1811"/>
    </row>
    <row r="6" spans="1:20" s="1804" customFormat="1" x14ac:dyDescent="0.2">
      <c r="B6" s="1812"/>
      <c r="J6" s="1805"/>
      <c r="Q6" s="1805"/>
    </row>
    <row r="7" spans="1:20" s="1804" customFormat="1" x14ac:dyDescent="0.2">
      <c r="B7" s="1812" t="s">
        <v>1723</v>
      </c>
      <c r="J7" s="1805"/>
      <c r="Q7" s="1805"/>
    </row>
    <row r="8" spans="1:20" s="1804" customFormat="1" x14ac:dyDescent="0.2">
      <c r="B8" s="1812"/>
      <c r="J8" s="1805"/>
      <c r="Q8" s="1805"/>
    </row>
    <row r="9" spans="1:20" s="1815" customFormat="1" ht="13.5" thickBot="1" x14ac:dyDescent="0.25">
      <c r="A9" s="1824"/>
      <c r="B9" s="240" t="str">
        <f>'General Data'!B41</f>
        <v>Précisez la source des prix que vous souhaitez prendre en compte (attention, les prix doivent être renseignés dans la feuille correspondante)</v>
      </c>
      <c r="C9"/>
      <c r="D9"/>
      <c r="I9" s="1827"/>
      <c r="J9" s="1828"/>
      <c r="K9" s="1827"/>
      <c r="L9" s="1827"/>
      <c r="M9" s="1827"/>
      <c r="N9" s="1827"/>
      <c r="O9" s="1827"/>
      <c r="P9" s="1827"/>
      <c r="Q9" s="1828"/>
      <c r="R9" s="1827"/>
      <c r="S9" s="1827"/>
      <c r="T9" s="1827"/>
    </row>
    <row r="10" spans="1:20" s="1815" customFormat="1" ht="13.5" thickBot="1" x14ac:dyDescent="0.25">
      <c r="A10" s="1824"/>
      <c r="B10"/>
      <c r="C10"/>
      <c r="D10"/>
      <c r="E10" s="1800" t="str">
        <f>'General Data'!E41</f>
        <v>Prix centrale d'achat nationale</v>
      </c>
      <c r="H10" s="2038">
        <f>'General Data'!F41</f>
        <v>0</v>
      </c>
      <c r="I10"/>
      <c r="L10" s="2039">
        <v>0</v>
      </c>
      <c r="M10" s="1827"/>
      <c r="N10" s="1827"/>
      <c r="O10" s="1827"/>
      <c r="P10" s="1827"/>
      <c r="Q10" s="1828"/>
      <c r="R10" s="1827"/>
      <c r="S10" s="1827"/>
      <c r="T10" s="1827"/>
    </row>
    <row r="11" spans="1:20" s="1815" customFormat="1" ht="13.5" thickBot="1" x14ac:dyDescent="0.25">
      <c r="A11" s="1824"/>
      <c r="B11"/>
      <c r="C11"/>
      <c r="D11"/>
      <c r="E11" s="1800" t="str">
        <f>'General Data'!E42</f>
        <v>Prix VPP</v>
      </c>
      <c r="H11" s="2038">
        <f>'General Data'!F42</f>
        <v>0</v>
      </c>
      <c r="I11" s="1800" t="str">
        <f>'General Data'!G42</f>
        <v>Prix minimum</v>
      </c>
      <c r="L11" s="2040">
        <v>1</v>
      </c>
      <c r="M11" s="1827"/>
      <c r="N11" s="1827"/>
      <c r="O11" s="1827"/>
      <c r="P11" s="1827"/>
      <c r="Q11" s="1828"/>
      <c r="R11" s="1827"/>
      <c r="S11" s="1827"/>
      <c r="T11" s="1827"/>
    </row>
    <row r="12" spans="1:20" s="1815" customFormat="1" ht="13.5" thickBot="1" x14ac:dyDescent="0.25">
      <c r="A12" s="1824"/>
      <c r="B12"/>
      <c r="C12"/>
      <c r="D12"/>
      <c r="E12"/>
      <c r="H12" s="2038">
        <f>'General Data'!F43</f>
        <v>0</v>
      </c>
      <c r="I12" s="1800" t="str">
        <f>'General Data'!G43</f>
        <v>Prix moyen</v>
      </c>
      <c r="L12" s="2040">
        <v>2</v>
      </c>
      <c r="M12" s="1827"/>
      <c r="N12" s="1827"/>
      <c r="O12" s="1827"/>
      <c r="P12" s="1827"/>
      <c r="Q12" s="1828"/>
      <c r="R12" s="1827"/>
      <c r="S12" s="1827"/>
      <c r="T12" s="1827"/>
    </row>
    <row r="13" spans="1:20" s="1815" customFormat="1" ht="13.5" thickBot="1" x14ac:dyDescent="0.25">
      <c r="A13" s="1824"/>
      <c r="B13"/>
      <c r="C13"/>
      <c r="D13"/>
      <c r="E13" s="1800"/>
      <c r="H13" s="2038" t="str">
        <f>'General Data'!F44</f>
        <v>X</v>
      </c>
      <c r="I13" s="1800" t="str">
        <f>'General Data'!G44</f>
        <v>Prix maximum</v>
      </c>
      <c r="L13" s="2040">
        <v>3</v>
      </c>
      <c r="Q13" s="1828"/>
    </row>
    <row r="14" spans="1:20" s="1815" customFormat="1" ht="64.5" thickBot="1" x14ac:dyDescent="0.25">
      <c r="A14" s="1824"/>
      <c r="B14"/>
      <c r="C14"/>
      <c r="D14"/>
      <c r="E14" s="2036" t="str">
        <f>'General Data'!E45</f>
        <v>Guide international des prix de médicaments - MSH</v>
      </c>
      <c r="H14" s="2038">
        <f>'General Data'!F45</f>
        <v>0</v>
      </c>
      <c r="I14" s="1800" t="str">
        <f>'General Data'!G45</f>
        <v>Prix médian Acheteur</v>
      </c>
      <c r="L14" s="2040">
        <v>4</v>
      </c>
      <c r="Q14" s="1828"/>
    </row>
    <row r="15" spans="1:20" s="1815" customFormat="1" ht="13.5" thickBot="1" x14ac:dyDescent="0.25">
      <c r="A15" s="1824"/>
      <c r="B15"/>
      <c r="C15"/>
      <c r="D15"/>
      <c r="E15"/>
      <c r="H15" s="2038">
        <f>'General Data'!F46</f>
        <v>0</v>
      </c>
      <c r="I15" s="1800" t="str">
        <f>'General Data'!G46</f>
        <v>Prix médian Vendeur</v>
      </c>
      <c r="L15" s="2040">
        <v>5</v>
      </c>
      <c r="Q15" s="1828"/>
    </row>
    <row r="16" spans="1:20" s="1815" customFormat="1" ht="13.5" thickBot="1" x14ac:dyDescent="0.25">
      <c r="A16" s="1824"/>
      <c r="B16"/>
      <c r="C16"/>
      <c r="D16"/>
      <c r="E16" s="1800" t="str">
        <f>'General Data'!E47</f>
        <v>Prix CHAI</v>
      </c>
      <c r="H16" s="2038">
        <f>'General Data'!F47</f>
        <v>0</v>
      </c>
      <c r="I16"/>
      <c r="L16" s="2040">
        <v>6</v>
      </c>
      <c r="Q16" s="1828"/>
    </row>
    <row r="17" spans="1:28" s="1815" customFormat="1" ht="13.5" thickBot="1" x14ac:dyDescent="0.25">
      <c r="A17" s="1824"/>
      <c r="B17"/>
      <c r="C17"/>
      <c r="D17"/>
      <c r="E17" s="1800" t="str">
        <f>'General Data'!E48</f>
        <v>Autre source de prix</v>
      </c>
      <c r="H17" s="2038">
        <f>'General Data'!F48</f>
        <v>0</v>
      </c>
      <c r="I17"/>
      <c r="L17" s="2041">
        <v>7</v>
      </c>
      <c r="Q17" s="1828"/>
    </row>
    <row r="18" spans="1:28" s="1815" customFormat="1" ht="13.5" thickBot="1" x14ac:dyDescent="0.25">
      <c r="A18" s="1824"/>
      <c r="B18"/>
      <c r="C18" s="2037" t="str">
        <f>'General Data'!C50</f>
        <v>Vous pouvez également choisir le prix moyen ou maximum de l'ensemble des sources de prix renseignées</v>
      </c>
      <c r="D18"/>
      <c r="E18"/>
      <c r="F18"/>
      <c r="G18"/>
      <c r="H18" s="1826"/>
      <c r="I18" s="1827"/>
      <c r="J18" s="1828"/>
      <c r="Q18" s="1828"/>
    </row>
    <row r="19" spans="1:28" s="1815" customFormat="1" ht="13.5" thickBot="1" x14ac:dyDescent="0.25">
      <c r="A19" s="1824"/>
      <c r="B19"/>
      <c r="C19"/>
      <c r="D19"/>
      <c r="E19"/>
      <c r="H19" s="2038">
        <f>'General Data'!F51</f>
        <v>0</v>
      </c>
      <c r="I19" s="1800" t="str">
        <f>'General Data'!G51</f>
        <v>Prix moyen</v>
      </c>
      <c r="L19" s="2040">
        <v>8</v>
      </c>
      <c r="Q19" s="1828"/>
    </row>
    <row r="20" spans="1:28" s="1815" customFormat="1" ht="13.5" thickBot="1" x14ac:dyDescent="0.25">
      <c r="A20" s="1824"/>
      <c r="B20"/>
      <c r="C20"/>
      <c r="D20"/>
      <c r="E20"/>
      <c r="H20" s="2038">
        <f>'General Data'!F52</f>
        <v>0</v>
      </c>
      <c r="I20" s="1800" t="str">
        <f>'General Data'!G52</f>
        <v>Prix médian</v>
      </c>
      <c r="L20" s="2047">
        <v>9</v>
      </c>
      <c r="Q20" s="1828"/>
    </row>
    <row r="21" spans="1:28" s="1815" customFormat="1" ht="13.5" thickBot="1" x14ac:dyDescent="0.25">
      <c r="A21" s="1824"/>
      <c r="B21"/>
      <c r="C21"/>
      <c r="D21"/>
      <c r="E21"/>
      <c r="H21" s="2038">
        <f>'General Data'!F53</f>
        <v>0</v>
      </c>
      <c r="I21" s="1800" t="str">
        <f>'General Data'!G53</f>
        <v>Prix maximum</v>
      </c>
      <c r="L21" s="2041">
        <v>10</v>
      </c>
      <c r="Q21" s="1828"/>
    </row>
    <row r="22" spans="1:28" s="1815" customFormat="1" ht="13.5" thickBot="1" x14ac:dyDescent="0.25">
      <c r="A22" s="1824"/>
      <c r="B22" s="1824"/>
      <c r="C22" s="1824"/>
      <c r="D22" s="1824"/>
      <c r="E22" s="1824"/>
      <c r="F22" s="1825"/>
      <c r="G22" s="1826"/>
      <c r="H22" s="1826"/>
      <c r="I22" s="1827"/>
      <c r="J22" s="1828"/>
      <c r="Q22" s="1828"/>
    </row>
    <row r="23" spans="1:28" s="1815" customFormat="1" ht="13.5" thickBot="1" x14ac:dyDescent="0.25">
      <c r="A23" s="1824"/>
      <c r="B23" s="1824"/>
      <c r="G23" s="1826"/>
      <c r="H23" s="1826"/>
      <c r="I23" s="2042" t="s">
        <v>1708</v>
      </c>
      <c r="J23" s="2043"/>
      <c r="K23" s="2043"/>
      <c r="L23" s="2044">
        <f>LOOKUP("X", $H$10:$H$21, $L$10:$L$21)</f>
        <v>3</v>
      </c>
      <c r="Q23" s="1828"/>
    </row>
    <row r="24" spans="1:28" s="1815" customFormat="1" x14ac:dyDescent="0.2">
      <c r="A24" s="1824"/>
      <c r="B24" s="1824"/>
      <c r="C24" s="1824"/>
      <c r="D24" s="1824"/>
      <c r="E24" s="1824"/>
      <c r="F24" s="1825"/>
      <c r="G24" s="1826"/>
      <c r="H24" s="1826"/>
      <c r="I24" s="1827"/>
      <c r="J24" s="1828"/>
      <c r="N24" s="1830"/>
      <c r="O24" s="1830"/>
      <c r="Q24" s="1828"/>
    </row>
    <row r="25" spans="1:28" s="1815" customFormat="1" x14ac:dyDescent="0.2">
      <c r="A25" s="1824"/>
      <c r="B25" s="2081" t="s">
        <v>1724</v>
      </c>
      <c r="C25" s="1824"/>
      <c r="D25" s="2078" t="s">
        <v>1727</v>
      </c>
      <c r="E25" s="1824"/>
      <c r="F25" s="1825"/>
      <c r="G25" s="1826"/>
      <c r="H25" s="1826"/>
      <c r="I25" s="1827"/>
      <c r="J25" s="1828"/>
      <c r="Q25" s="1828"/>
    </row>
    <row r="26" spans="1:28" s="1815" customFormat="1" x14ac:dyDescent="0.2">
      <c r="A26" s="1824"/>
      <c r="B26" s="1824"/>
      <c r="C26" s="1827"/>
      <c r="D26" s="2080" t="s">
        <v>1730</v>
      </c>
      <c r="F26" s="1829"/>
      <c r="H26" s="1830"/>
      <c r="I26" s="1830"/>
      <c r="J26" s="1830"/>
      <c r="K26" s="1830"/>
      <c r="L26" s="1830"/>
      <c r="M26" s="1830"/>
      <c r="O26" s="1827"/>
      <c r="P26" s="1827"/>
      <c r="Q26" s="1828"/>
      <c r="R26" s="1827"/>
    </row>
    <row r="27" spans="1:28" s="1815" customFormat="1" x14ac:dyDescent="0.2">
      <c r="A27" s="1824"/>
      <c r="B27" s="1824"/>
      <c r="C27" s="1827"/>
      <c r="D27" s="2080"/>
      <c r="F27" s="1829"/>
      <c r="H27" s="1830"/>
      <c r="I27" s="1830"/>
      <c r="J27" s="1830"/>
      <c r="K27" s="1830"/>
      <c r="L27" s="1830"/>
      <c r="M27" s="1830"/>
      <c r="O27" s="1827"/>
      <c r="P27" s="1827"/>
      <c r="Q27" s="1828"/>
      <c r="R27" s="1827"/>
    </row>
    <row r="28" spans="1:28" s="1815" customFormat="1" x14ac:dyDescent="0.2">
      <c r="A28" s="1824"/>
      <c r="B28" s="2081" t="s">
        <v>242</v>
      </c>
      <c r="C28" s="1827"/>
      <c r="D28" s="2080" t="s">
        <v>1731</v>
      </c>
      <c r="F28" s="1829"/>
      <c r="H28" s="1830"/>
      <c r="I28" s="1830"/>
      <c r="J28" s="1830"/>
      <c r="K28" s="1830"/>
      <c r="L28" s="1830"/>
      <c r="M28" s="1830"/>
      <c r="O28" s="1827"/>
      <c r="P28" s="1827"/>
      <c r="Q28" s="1828"/>
      <c r="R28" s="1827"/>
    </row>
    <row r="29" spans="1:28" s="1815" customFormat="1" ht="13.5" thickBot="1" x14ac:dyDescent="0.25">
      <c r="A29" s="1824"/>
      <c r="B29" s="1824"/>
      <c r="C29" s="1827"/>
      <c r="F29" s="1829"/>
      <c r="H29" s="1830"/>
      <c r="I29" s="1830"/>
      <c r="J29" s="1830"/>
      <c r="K29" s="1830"/>
      <c r="L29" s="1830"/>
      <c r="M29" s="1830"/>
      <c r="O29" s="1827"/>
      <c r="P29" s="1827"/>
      <c r="Q29" s="1828"/>
      <c r="R29" s="1827"/>
    </row>
    <row r="30" spans="1:28" s="1815" customFormat="1" ht="114" customHeight="1" thickBot="1" x14ac:dyDescent="0.25">
      <c r="A30" s="1824"/>
      <c r="B30" s="1989"/>
      <c r="C30" s="1989"/>
      <c r="D30" s="1989"/>
      <c r="E30" s="1989"/>
      <c r="F30" s="1989"/>
      <c r="G30" s="1995" t="s">
        <v>1689</v>
      </c>
      <c r="H30"/>
      <c r="I30" s="1990" t="s">
        <v>1725</v>
      </c>
      <c r="J30" s="1991" t="s">
        <v>1626</v>
      </c>
      <c r="K30" s="1992" t="s">
        <v>1628</v>
      </c>
      <c r="L30" s="1993" t="s">
        <v>1627</v>
      </c>
      <c r="M30" s="1991" t="s">
        <v>1685</v>
      </c>
      <c r="N30" s="1993" t="s">
        <v>1686</v>
      </c>
      <c r="O30" s="1994" t="s">
        <v>1687</v>
      </c>
      <c r="P30" s="1995" t="s">
        <v>1688</v>
      </c>
      <c r="Q30" s="1995" t="s">
        <v>1542</v>
      </c>
      <c r="R30" s="1995" t="s">
        <v>1516</v>
      </c>
      <c r="S30" s="1995" t="s">
        <v>1709</v>
      </c>
      <c r="U30" s="1995" t="s">
        <v>1726</v>
      </c>
    </row>
    <row r="31" spans="1:28" s="1815" customFormat="1" ht="64.5" thickBot="1" x14ac:dyDescent="0.25">
      <c r="A31" s="1824"/>
      <c r="B31" s="1996" t="s">
        <v>0</v>
      </c>
      <c r="C31" s="1997" t="s">
        <v>152</v>
      </c>
      <c r="D31" s="1997" t="s">
        <v>1</v>
      </c>
      <c r="E31" s="1997" t="s">
        <v>2</v>
      </c>
      <c r="F31" s="1998" t="s">
        <v>1629</v>
      </c>
      <c r="G31" s="2035" t="s">
        <v>1630</v>
      </c>
      <c r="H31"/>
      <c r="I31" s="1999" t="s">
        <v>1630</v>
      </c>
      <c r="J31" s="1996" t="s">
        <v>1630</v>
      </c>
      <c r="K31" s="1997" t="s">
        <v>1630</v>
      </c>
      <c r="L31" s="2000" t="s">
        <v>1630</v>
      </c>
      <c r="M31" s="1996" t="s">
        <v>1630</v>
      </c>
      <c r="N31" s="2000" t="s">
        <v>1630</v>
      </c>
      <c r="O31" s="2001" t="s">
        <v>1630</v>
      </c>
      <c r="P31" s="2002" t="s">
        <v>1630</v>
      </c>
      <c r="Q31" s="2002" t="s">
        <v>1630</v>
      </c>
      <c r="R31" s="2002" t="s">
        <v>1630</v>
      </c>
      <c r="S31" s="2002" t="s">
        <v>1630</v>
      </c>
      <c r="T31" s="1827"/>
      <c r="U31" s="2079"/>
      <c r="V31" s="1610" t="s">
        <v>889</v>
      </c>
      <c r="W31" s="1610" t="s">
        <v>152</v>
      </c>
      <c r="X31" s="1610" t="s">
        <v>1</v>
      </c>
      <c r="Y31" s="1610" t="s">
        <v>2</v>
      </c>
      <c r="Z31" s="1610" t="s">
        <v>1281</v>
      </c>
      <c r="AA31" s="1610" t="s">
        <v>1711</v>
      </c>
      <c r="AB31" s="2051" t="s">
        <v>1710</v>
      </c>
    </row>
    <row r="32" spans="1:28" s="1815" customFormat="1" ht="76.5" customHeight="1" x14ac:dyDescent="0.2">
      <c r="A32" s="1824"/>
      <c r="B32" s="2003" t="s">
        <v>25</v>
      </c>
      <c r="C32" s="2003" t="s">
        <v>645</v>
      </c>
      <c r="D32" s="2003" t="s">
        <v>1631</v>
      </c>
      <c r="E32" s="2003" t="s">
        <v>44</v>
      </c>
      <c r="F32" s="2004">
        <v>240</v>
      </c>
      <c r="G32" s="2046">
        <f t="shared" ref="G32:G63" ca="1" si="0">OFFSET(I32,,$L$23,,)</f>
        <v>12.5</v>
      </c>
      <c r="H32"/>
      <c r="I32" s="2005">
        <v>0</v>
      </c>
      <c r="J32" s="2006">
        <v>6.83</v>
      </c>
      <c r="K32" s="2007">
        <v>10.36</v>
      </c>
      <c r="L32" s="2008">
        <v>12.5</v>
      </c>
      <c r="M32" s="2025">
        <v>9.1920000000000002</v>
      </c>
      <c r="N32" s="2026">
        <v>12.311999999999999</v>
      </c>
      <c r="O32" s="2009">
        <v>0</v>
      </c>
      <c r="P32" s="2031"/>
      <c r="Q32" s="2046">
        <f>AVERAGEIF(I32:P32, "&gt;0", I32:P32)</f>
        <v>10.238799999999999</v>
      </c>
      <c r="R32" s="2046">
        <f>MEDIAN(I32:P32)</f>
        <v>9.1920000000000002</v>
      </c>
      <c r="S32" s="2046">
        <f>MAX(I32:P32)</f>
        <v>12.5</v>
      </c>
      <c r="T32" s="2034"/>
      <c r="U32" s="2052" t="s">
        <v>1489</v>
      </c>
      <c r="V32" s="2050" t="s">
        <v>25</v>
      </c>
      <c r="W32" s="2050" t="s">
        <v>645</v>
      </c>
      <c r="X32" s="2050" t="s">
        <v>1486</v>
      </c>
      <c r="Y32" s="2050" t="s">
        <v>44</v>
      </c>
      <c r="Z32" s="2053">
        <v>240</v>
      </c>
      <c r="AA32" s="2054">
        <f ca="1">G32/F32</f>
        <v>5.2083333333333336E-2</v>
      </c>
      <c r="AB32" s="2051">
        <v>42</v>
      </c>
    </row>
    <row r="33" spans="1:28" s="1815" customFormat="1" ht="76.5" customHeight="1" x14ac:dyDescent="0.2">
      <c r="A33" s="1824"/>
      <c r="B33" s="2010" t="s">
        <v>25</v>
      </c>
      <c r="C33" s="2010" t="s">
        <v>645</v>
      </c>
      <c r="D33" s="2010" t="s">
        <v>8</v>
      </c>
      <c r="E33" s="2010" t="s">
        <v>23</v>
      </c>
      <c r="F33" s="2011">
        <v>60</v>
      </c>
      <c r="G33" s="2045">
        <f t="shared" ca="1" si="0"/>
        <v>12.99</v>
      </c>
      <c r="H33"/>
      <c r="I33" s="2012">
        <v>11.348805442811454</v>
      </c>
      <c r="J33" s="2013">
        <v>11.19</v>
      </c>
      <c r="K33" s="2014">
        <v>11.6</v>
      </c>
      <c r="L33" s="2015">
        <v>12.99</v>
      </c>
      <c r="M33" s="2027">
        <v>13.2</v>
      </c>
      <c r="N33" s="2028">
        <v>15.228000000000002</v>
      </c>
      <c r="O33" s="2016">
        <v>14</v>
      </c>
      <c r="P33" s="2032"/>
      <c r="Q33" s="2045">
        <f t="shared" ref="Q33:Q97" si="1">AVERAGEIF(I33:P33, "&gt;0", I33:P33)</f>
        <v>12.793829348973064</v>
      </c>
      <c r="R33" s="2045">
        <f t="shared" ref="R33:R97" si="2">MEDIAN(I33:P33)</f>
        <v>12.99</v>
      </c>
      <c r="S33" s="2045">
        <f t="shared" ref="S33:S97" si="3">MAX(I33:P33)</f>
        <v>15.228000000000002</v>
      </c>
      <c r="T33" s="1827"/>
      <c r="U33" s="2055" t="s">
        <v>1490</v>
      </c>
      <c r="V33" s="2056" t="s">
        <v>25</v>
      </c>
      <c r="W33" s="2057" t="s">
        <v>645</v>
      </c>
      <c r="X33" s="2058" t="s">
        <v>8</v>
      </c>
      <c r="Y33" s="2058" t="s">
        <v>23</v>
      </c>
      <c r="Z33" s="2059">
        <v>60</v>
      </c>
      <c r="AA33" s="2054">
        <f t="shared" ref="AA33:AA96" ca="1" si="4">G33/F33</f>
        <v>0.2165</v>
      </c>
      <c r="AB33" s="2051">
        <v>25</v>
      </c>
    </row>
    <row r="34" spans="1:28" s="1815" customFormat="1" ht="76.5" customHeight="1" x14ac:dyDescent="0.2">
      <c r="A34" s="1824"/>
      <c r="B34" s="2010" t="s">
        <v>25</v>
      </c>
      <c r="C34" s="2010" t="s">
        <v>645</v>
      </c>
      <c r="D34" s="2010" t="s">
        <v>1632</v>
      </c>
      <c r="E34" s="2010" t="s">
        <v>639</v>
      </c>
      <c r="F34" s="2011">
        <v>60</v>
      </c>
      <c r="G34" s="2045">
        <f t="shared" ca="1" si="0"/>
        <v>6.2</v>
      </c>
      <c r="H34"/>
      <c r="I34" s="2012">
        <v>0</v>
      </c>
      <c r="J34" s="2013">
        <v>5</v>
      </c>
      <c r="K34" s="2014">
        <v>5.07</v>
      </c>
      <c r="L34" s="2015">
        <v>6.2</v>
      </c>
      <c r="M34" s="2027">
        <v>0</v>
      </c>
      <c r="N34" s="2028">
        <v>5.58</v>
      </c>
      <c r="O34" s="2016">
        <v>5.2</v>
      </c>
      <c r="P34" s="2032"/>
      <c r="Q34" s="2045">
        <f t="shared" si="1"/>
        <v>5.41</v>
      </c>
      <c r="R34" s="2045">
        <f t="shared" si="2"/>
        <v>5.07</v>
      </c>
      <c r="S34" s="2045">
        <f t="shared" si="3"/>
        <v>6.2</v>
      </c>
      <c r="T34" s="1827"/>
      <c r="U34" s="2055" t="s">
        <v>1490</v>
      </c>
      <c r="V34" s="2056" t="s">
        <v>25</v>
      </c>
      <c r="W34" s="2057" t="s">
        <v>645</v>
      </c>
      <c r="X34" s="2058" t="s">
        <v>8</v>
      </c>
      <c r="Y34" s="2058" t="s">
        <v>639</v>
      </c>
      <c r="Z34" s="2059">
        <v>60</v>
      </c>
      <c r="AA34" s="2054">
        <f t="shared" ca="1" si="4"/>
        <v>0.10333333333333333</v>
      </c>
      <c r="AB34" s="2051">
        <v>26</v>
      </c>
    </row>
    <row r="35" spans="1:28" s="1815" customFormat="1" ht="63.75" customHeight="1" x14ac:dyDescent="0.2">
      <c r="A35" s="1824"/>
      <c r="B35" s="2010" t="s">
        <v>193</v>
      </c>
      <c r="C35" s="2010" t="s">
        <v>1633</v>
      </c>
      <c r="D35" s="2010" t="s">
        <v>1480</v>
      </c>
      <c r="E35" s="2010" t="s">
        <v>89</v>
      </c>
      <c r="F35" s="2011">
        <v>60</v>
      </c>
      <c r="G35" s="2045">
        <f t="shared" ca="1" si="0"/>
        <v>0</v>
      </c>
      <c r="H35"/>
      <c r="I35" s="2012">
        <v>0</v>
      </c>
      <c r="J35" s="2013">
        <v>0</v>
      </c>
      <c r="K35" s="2014">
        <v>0</v>
      </c>
      <c r="L35" s="2015">
        <v>0</v>
      </c>
      <c r="M35" s="2027">
        <v>0</v>
      </c>
      <c r="N35" s="2028">
        <v>0</v>
      </c>
      <c r="O35" s="2016">
        <v>0</v>
      </c>
      <c r="P35" s="2032"/>
      <c r="Q35" s="2045" t="e">
        <f t="shared" si="1"/>
        <v>#DIV/0!</v>
      </c>
      <c r="R35" s="2045">
        <f t="shared" si="2"/>
        <v>0</v>
      </c>
      <c r="S35" s="2045">
        <f t="shared" si="3"/>
        <v>0</v>
      </c>
      <c r="T35" s="1827"/>
      <c r="U35" s="2051"/>
      <c r="V35" s="2051"/>
      <c r="W35" s="2051"/>
      <c r="X35" s="2051"/>
      <c r="Y35" s="2051"/>
      <c r="Z35" s="2051"/>
      <c r="AA35" s="2054">
        <f t="shared" ca="1" si="4"/>
        <v>0</v>
      </c>
      <c r="AB35" s="2051"/>
    </row>
    <row r="36" spans="1:28" s="1815" customFormat="1" ht="76.5" customHeight="1" x14ac:dyDescent="0.2">
      <c r="A36" s="1824"/>
      <c r="B36" s="2010" t="s">
        <v>193</v>
      </c>
      <c r="C36" s="2010" t="s">
        <v>1633</v>
      </c>
      <c r="D36" s="2010" t="s">
        <v>1480</v>
      </c>
      <c r="E36" s="2010" t="s">
        <v>16</v>
      </c>
      <c r="F36" s="2011">
        <v>60</v>
      </c>
      <c r="G36" s="2045">
        <f t="shared" ca="1" si="0"/>
        <v>22</v>
      </c>
      <c r="H36"/>
      <c r="I36" s="2012">
        <v>0</v>
      </c>
      <c r="J36" s="2013">
        <v>20</v>
      </c>
      <c r="K36" s="2014">
        <v>21.42</v>
      </c>
      <c r="L36" s="2015">
        <v>22</v>
      </c>
      <c r="M36" s="2027">
        <v>18.72</v>
      </c>
      <c r="N36" s="2028">
        <v>0</v>
      </c>
      <c r="O36" s="2016">
        <v>0</v>
      </c>
      <c r="P36" s="2032"/>
      <c r="Q36" s="2045">
        <f t="shared" si="1"/>
        <v>20.535</v>
      </c>
      <c r="R36" s="2045">
        <f t="shared" si="2"/>
        <v>18.72</v>
      </c>
      <c r="S36" s="2045">
        <f t="shared" si="3"/>
        <v>22</v>
      </c>
      <c r="T36" s="1827"/>
      <c r="U36" s="2051"/>
      <c r="V36" s="2051"/>
      <c r="W36" s="2051"/>
      <c r="X36" s="2051"/>
      <c r="Y36" s="2051"/>
      <c r="Z36" s="2051"/>
      <c r="AA36" s="2054">
        <f t="shared" ca="1" si="4"/>
        <v>0.36666666666666664</v>
      </c>
      <c r="AB36" s="2051"/>
    </row>
    <row r="37" spans="1:28" s="1815" customFormat="1" ht="63.75" customHeight="1" x14ac:dyDescent="0.2">
      <c r="A37" s="1824"/>
      <c r="B37" s="2010" t="s">
        <v>193</v>
      </c>
      <c r="C37" s="2010" t="s">
        <v>1633</v>
      </c>
      <c r="D37" s="2010" t="s">
        <v>1480</v>
      </c>
      <c r="E37" s="2010" t="s">
        <v>20</v>
      </c>
      <c r="F37" s="2011">
        <v>60</v>
      </c>
      <c r="G37" s="2045">
        <f t="shared" ca="1" si="0"/>
        <v>40.619999999999997</v>
      </c>
      <c r="H37"/>
      <c r="I37" s="2012">
        <v>0</v>
      </c>
      <c r="J37" s="2013">
        <v>36</v>
      </c>
      <c r="K37" s="2014">
        <v>39.58</v>
      </c>
      <c r="L37" s="2015">
        <v>40.619999999999997</v>
      </c>
      <c r="M37" s="2027">
        <v>0</v>
      </c>
      <c r="N37" s="2028">
        <v>0</v>
      </c>
      <c r="O37" s="2016">
        <v>0</v>
      </c>
      <c r="P37" s="2032"/>
      <c r="Q37" s="2045">
        <f t="shared" si="1"/>
        <v>38.733333333333327</v>
      </c>
      <c r="R37" s="2045">
        <f t="shared" si="2"/>
        <v>0</v>
      </c>
      <c r="S37" s="2045">
        <f t="shared" si="3"/>
        <v>40.619999999999997</v>
      </c>
      <c r="T37" s="1827"/>
      <c r="U37" s="2051"/>
      <c r="V37" s="2051"/>
      <c r="W37" s="2051"/>
      <c r="X37" s="2051"/>
      <c r="Y37" s="2051"/>
      <c r="Z37" s="2051"/>
      <c r="AA37" s="2054">
        <f t="shared" ca="1" si="4"/>
        <v>0.67699999999999994</v>
      </c>
      <c r="AB37" s="2051"/>
    </row>
    <row r="38" spans="1:28" s="1815" customFormat="1" ht="51" customHeight="1" x14ac:dyDescent="0.2">
      <c r="A38" s="1824"/>
      <c r="B38" s="2010" t="s">
        <v>193</v>
      </c>
      <c r="C38" s="2010" t="s">
        <v>1633</v>
      </c>
      <c r="D38" s="2010" t="s">
        <v>1480</v>
      </c>
      <c r="E38" s="2010" t="s">
        <v>23</v>
      </c>
      <c r="F38" s="2011">
        <v>30</v>
      </c>
      <c r="G38" s="2045">
        <f t="shared" ca="1" si="0"/>
        <v>22</v>
      </c>
      <c r="H38"/>
      <c r="I38" s="2012">
        <v>0</v>
      </c>
      <c r="J38" s="2013">
        <v>20</v>
      </c>
      <c r="K38" s="2014">
        <v>20.309999999999999</v>
      </c>
      <c r="L38" s="2015">
        <v>22</v>
      </c>
      <c r="M38" s="2027">
        <v>0</v>
      </c>
      <c r="N38" s="2028">
        <v>0</v>
      </c>
      <c r="O38" s="2016">
        <v>0</v>
      </c>
      <c r="P38" s="2032"/>
      <c r="Q38" s="2045">
        <f t="shared" si="1"/>
        <v>20.77</v>
      </c>
      <c r="R38" s="2045">
        <f t="shared" si="2"/>
        <v>0</v>
      </c>
      <c r="S38" s="2045">
        <f t="shared" si="3"/>
        <v>22</v>
      </c>
      <c r="T38" s="1827"/>
      <c r="U38" s="2051"/>
      <c r="V38" s="2051"/>
      <c r="W38" s="2051"/>
      <c r="X38" s="2051"/>
      <c r="Y38" s="2051"/>
      <c r="Z38" s="2051"/>
      <c r="AA38" s="2054">
        <f t="shared" ca="1" si="4"/>
        <v>0.73333333333333328</v>
      </c>
      <c r="AB38" s="2051"/>
    </row>
    <row r="39" spans="1:28" s="1815" customFormat="1" ht="51" customHeight="1" x14ac:dyDescent="0.2">
      <c r="A39" s="1824"/>
      <c r="B39" s="2010" t="s">
        <v>193</v>
      </c>
      <c r="C39" s="2010" t="s">
        <v>1633</v>
      </c>
      <c r="D39" s="2010" t="s">
        <v>1634</v>
      </c>
      <c r="E39" s="2010" t="s">
        <v>1635</v>
      </c>
      <c r="F39" s="2011">
        <v>180</v>
      </c>
      <c r="G39" s="2045">
        <f t="shared" ca="1" si="0"/>
        <v>0</v>
      </c>
      <c r="H39"/>
      <c r="I39" s="2012">
        <v>0</v>
      </c>
      <c r="J39" s="2013">
        <v>0</v>
      </c>
      <c r="K39" s="2014">
        <v>0</v>
      </c>
      <c r="L39" s="2015">
        <v>0</v>
      </c>
      <c r="M39" s="2027">
        <v>0</v>
      </c>
      <c r="N39" s="2028">
        <v>0</v>
      </c>
      <c r="O39" s="2016">
        <v>0</v>
      </c>
      <c r="P39" s="2032"/>
      <c r="Q39" s="2045" t="e">
        <f t="shared" si="1"/>
        <v>#DIV/0!</v>
      </c>
      <c r="R39" s="2045">
        <f t="shared" si="2"/>
        <v>0</v>
      </c>
      <c r="S39" s="2045">
        <f t="shared" si="3"/>
        <v>0</v>
      </c>
      <c r="T39" s="1827"/>
      <c r="U39" s="2051"/>
      <c r="V39" s="2051"/>
      <c r="W39" s="2051"/>
      <c r="X39" s="2051"/>
      <c r="Y39" s="2051"/>
      <c r="Z39" s="2051"/>
      <c r="AA39" s="2054">
        <f t="shared" ca="1" si="4"/>
        <v>0</v>
      </c>
      <c r="AB39" s="2051"/>
    </row>
    <row r="40" spans="1:28" s="1815" customFormat="1" ht="76.5" customHeight="1" x14ac:dyDescent="0.2">
      <c r="A40" s="1824"/>
      <c r="B40" s="2010" t="s">
        <v>576</v>
      </c>
      <c r="C40" s="2010" t="s">
        <v>1636</v>
      </c>
      <c r="D40" s="2010" t="s">
        <v>8</v>
      </c>
      <c r="E40" s="2010" t="s">
        <v>577</v>
      </c>
      <c r="F40" s="2011">
        <v>30</v>
      </c>
      <c r="G40" s="2045">
        <f t="shared" ca="1" si="0"/>
        <v>22.5</v>
      </c>
      <c r="H40"/>
      <c r="I40" s="2012">
        <v>0</v>
      </c>
      <c r="J40" s="2013">
        <v>22.5</v>
      </c>
      <c r="K40" s="2014">
        <v>22.5</v>
      </c>
      <c r="L40" s="2015">
        <v>22.5</v>
      </c>
      <c r="M40" s="2027">
        <v>26.001000000000001</v>
      </c>
      <c r="N40" s="2028">
        <v>0</v>
      </c>
      <c r="O40" s="2016">
        <v>20</v>
      </c>
      <c r="P40" s="2032"/>
      <c r="Q40" s="2045">
        <f t="shared" si="1"/>
        <v>22.700200000000002</v>
      </c>
      <c r="R40" s="2045">
        <f t="shared" si="2"/>
        <v>22.5</v>
      </c>
      <c r="S40" s="2045">
        <f t="shared" si="3"/>
        <v>26.001000000000001</v>
      </c>
      <c r="T40" s="1827"/>
      <c r="U40" s="2055" t="s">
        <v>87</v>
      </c>
      <c r="V40" s="2056" t="s">
        <v>576</v>
      </c>
      <c r="W40" s="2057" t="s">
        <v>694</v>
      </c>
      <c r="X40" s="2058" t="s">
        <v>8</v>
      </c>
      <c r="Y40" s="2058" t="s">
        <v>577</v>
      </c>
      <c r="Z40" s="2059">
        <v>30</v>
      </c>
      <c r="AA40" s="2054">
        <f t="shared" ca="1" si="4"/>
        <v>0.75</v>
      </c>
      <c r="AB40" s="2051">
        <v>35</v>
      </c>
    </row>
    <row r="41" spans="1:28" s="1815" customFormat="1" ht="76.5" customHeight="1" x14ac:dyDescent="0.2">
      <c r="A41" s="1824"/>
      <c r="B41" s="2010" t="s">
        <v>328</v>
      </c>
      <c r="C41" s="2010" t="s">
        <v>695</v>
      </c>
      <c r="D41" s="2010" t="s">
        <v>8</v>
      </c>
      <c r="E41" s="2010" t="s">
        <v>16</v>
      </c>
      <c r="F41" s="2011">
        <v>60</v>
      </c>
      <c r="G41" s="2045">
        <f t="shared" ca="1" si="0"/>
        <v>0</v>
      </c>
      <c r="H41"/>
      <c r="I41" s="2012">
        <v>0</v>
      </c>
      <c r="J41" s="2013">
        <v>0</v>
      </c>
      <c r="K41" s="2014">
        <v>0</v>
      </c>
      <c r="L41" s="2015">
        <v>0</v>
      </c>
      <c r="M41" s="2027">
        <v>0</v>
      </c>
      <c r="N41" s="2028">
        <v>0</v>
      </c>
      <c r="O41" s="2016">
        <v>0</v>
      </c>
      <c r="P41" s="2032"/>
      <c r="Q41" s="2045" t="e">
        <f t="shared" si="1"/>
        <v>#DIV/0!</v>
      </c>
      <c r="R41" s="2045">
        <f t="shared" si="2"/>
        <v>0</v>
      </c>
      <c r="S41" s="2045">
        <f t="shared" si="3"/>
        <v>0</v>
      </c>
      <c r="T41" s="1827"/>
      <c r="U41" s="2051"/>
      <c r="V41" s="2051"/>
      <c r="W41" s="2051"/>
      <c r="X41" s="2051"/>
      <c r="Y41" s="2051"/>
      <c r="Z41" s="2051"/>
      <c r="AA41" s="2054">
        <f t="shared" ca="1" si="4"/>
        <v>0</v>
      </c>
      <c r="AB41" s="2051"/>
    </row>
    <row r="42" spans="1:28" s="1815" customFormat="1" ht="51" customHeight="1" x14ac:dyDescent="0.2">
      <c r="A42" s="1824"/>
      <c r="B42" s="2010" t="s">
        <v>328</v>
      </c>
      <c r="C42" s="2010" t="s">
        <v>695</v>
      </c>
      <c r="D42" s="2010" t="s">
        <v>8</v>
      </c>
      <c r="E42" s="2010" t="s">
        <v>23</v>
      </c>
      <c r="F42" s="2011">
        <v>120</v>
      </c>
      <c r="G42" s="2045">
        <f t="shared" ca="1" si="0"/>
        <v>76.86</v>
      </c>
      <c r="H42"/>
      <c r="I42" s="2012">
        <v>61.625799573560762</v>
      </c>
      <c r="J42" s="2013">
        <v>66.599999999999994</v>
      </c>
      <c r="K42" s="2014">
        <v>69.569999999999993</v>
      </c>
      <c r="L42" s="2015">
        <v>76.86</v>
      </c>
      <c r="M42" s="2027">
        <v>321.33600000000001</v>
      </c>
      <c r="N42" s="2028">
        <v>0</v>
      </c>
      <c r="O42" s="2016"/>
      <c r="P42" s="2032"/>
      <c r="Q42" s="2045">
        <f t="shared" si="1"/>
        <v>119.19835991471214</v>
      </c>
      <c r="R42" s="2045">
        <f t="shared" si="2"/>
        <v>68.084999999999994</v>
      </c>
      <c r="S42" s="2045">
        <f t="shared" si="3"/>
        <v>321.33600000000001</v>
      </c>
      <c r="T42" s="1827"/>
      <c r="U42" s="2051"/>
      <c r="V42" s="2051"/>
      <c r="W42" s="2051"/>
      <c r="X42" s="2051"/>
      <c r="Y42" s="2051"/>
      <c r="Z42" s="2051"/>
      <c r="AA42" s="2054">
        <f t="shared" ca="1" si="4"/>
        <v>0.64049999999999996</v>
      </c>
      <c r="AB42" s="2051"/>
    </row>
    <row r="43" spans="1:28" s="1815" customFormat="1" ht="51" customHeight="1" x14ac:dyDescent="0.2">
      <c r="A43" s="1824"/>
      <c r="B43" s="2010" t="s">
        <v>328</v>
      </c>
      <c r="C43" s="2010" t="s">
        <v>695</v>
      </c>
      <c r="D43" s="2010" t="s">
        <v>8</v>
      </c>
      <c r="E43" s="2010" t="s">
        <v>32</v>
      </c>
      <c r="F43" s="2011">
        <v>60</v>
      </c>
      <c r="G43" s="2045">
        <f t="shared" ca="1" si="0"/>
        <v>0</v>
      </c>
      <c r="H43"/>
      <c r="I43" s="2012">
        <v>0</v>
      </c>
      <c r="J43" s="2013">
        <v>0</v>
      </c>
      <c r="K43" s="2014">
        <v>0</v>
      </c>
      <c r="L43" s="2015">
        <v>0</v>
      </c>
      <c r="M43" s="2027">
        <v>0</v>
      </c>
      <c r="N43" s="2028">
        <v>0</v>
      </c>
      <c r="O43" s="2016">
        <v>0</v>
      </c>
      <c r="P43" s="2032"/>
      <c r="Q43" s="2045" t="e">
        <f t="shared" si="1"/>
        <v>#DIV/0!</v>
      </c>
      <c r="R43" s="2045">
        <f t="shared" si="2"/>
        <v>0</v>
      </c>
      <c r="S43" s="2045">
        <f t="shared" si="3"/>
        <v>0</v>
      </c>
      <c r="T43" s="1827"/>
      <c r="U43" s="2051"/>
      <c r="V43" s="2051"/>
      <c r="W43" s="2051"/>
      <c r="X43" s="2051"/>
      <c r="Y43" s="2051"/>
      <c r="Z43" s="2051"/>
      <c r="AA43" s="2054">
        <f t="shared" ca="1" si="4"/>
        <v>0</v>
      </c>
      <c r="AB43" s="2051"/>
    </row>
    <row r="44" spans="1:28" s="1815" customFormat="1" ht="38.25" customHeight="1" x14ac:dyDescent="0.2">
      <c r="A44" s="1824"/>
      <c r="B44" s="2010" t="s">
        <v>328</v>
      </c>
      <c r="C44" s="2010" t="s">
        <v>695</v>
      </c>
      <c r="D44" s="2010" t="s">
        <v>8</v>
      </c>
      <c r="E44" s="2010" t="s">
        <v>18</v>
      </c>
      <c r="F44" s="2011">
        <v>60</v>
      </c>
      <c r="G44" s="2045">
        <f t="shared" ca="1" si="0"/>
        <v>0</v>
      </c>
      <c r="H44"/>
      <c r="I44" s="2012">
        <v>0</v>
      </c>
      <c r="J44" s="2013">
        <v>0</v>
      </c>
      <c r="K44" s="2014">
        <v>0</v>
      </c>
      <c r="L44" s="2015">
        <v>0</v>
      </c>
      <c r="M44" s="2027">
        <v>0</v>
      </c>
      <c r="N44" s="2028">
        <v>0</v>
      </c>
      <c r="O44" s="2016">
        <v>0</v>
      </c>
      <c r="P44" s="2032"/>
      <c r="Q44" s="2045" t="e">
        <f t="shared" si="1"/>
        <v>#DIV/0!</v>
      </c>
      <c r="R44" s="2045">
        <f t="shared" si="2"/>
        <v>0</v>
      </c>
      <c r="S44" s="2045">
        <f t="shared" si="3"/>
        <v>0</v>
      </c>
      <c r="T44" s="1827"/>
      <c r="U44" s="2055" t="s">
        <v>87</v>
      </c>
      <c r="V44" s="2056" t="s">
        <v>328</v>
      </c>
      <c r="W44" s="2057" t="s">
        <v>695</v>
      </c>
      <c r="X44" s="2058" t="s">
        <v>8</v>
      </c>
      <c r="Y44" s="2058" t="s">
        <v>18</v>
      </c>
      <c r="Z44" s="2059">
        <v>60</v>
      </c>
      <c r="AA44" s="2054">
        <f t="shared" ca="1" si="4"/>
        <v>0</v>
      </c>
      <c r="AB44" s="2051">
        <v>36</v>
      </c>
    </row>
    <row r="45" spans="1:28" s="1815" customFormat="1" ht="38.25" customHeight="1" x14ac:dyDescent="0.2">
      <c r="A45" s="1824"/>
      <c r="B45" s="2010" t="s">
        <v>328</v>
      </c>
      <c r="C45" s="2010" t="s">
        <v>695</v>
      </c>
      <c r="D45" s="2010" t="s">
        <v>8</v>
      </c>
      <c r="E45" s="2010" t="s">
        <v>1637</v>
      </c>
      <c r="F45" s="2011">
        <v>60</v>
      </c>
      <c r="G45" s="2045">
        <f t="shared" ca="1" si="0"/>
        <v>0</v>
      </c>
      <c r="H45"/>
      <c r="I45" s="2012">
        <v>0</v>
      </c>
      <c r="J45" s="2013">
        <v>0</v>
      </c>
      <c r="K45" s="2014">
        <v>0</v>
      </c>
      <c r="L45" s="2015">
        <v>0</v>
      </c>
      <c r="M45" s="2027">
        <v>0</v>
      </c>
      <c r="N45" s="2028">
        <v>0</v>
      </c>
      <c r="O45" s="2016">
        <v>0</v>
      </c>
      <c r="P45" s="2032"/>
      <c r="Q45" s="2045" t="e">
        <f t="shared" si="1"/>
        <v>#DIV/0!</v>
      </c>
      <c r="R45" s="2045">
        <f t="shared" si="2"/>
        <v>0</v>
      </c>
      <c r="S45" s="2045">
        <f t="shared" si="3"/>
        <v>0</v>
      </c>
      <c r="T45" s="1827"/>
      <c r="U45" s="2051"/>
      <c r="V45" s="2051"/>
      <c r="W45" s="2051"/>
      <c r="X45" s="2051"/>
      <c r="Y45" s="2051"/>
      <c r="Z45" s="2051"/>
      <c r="AA45" s="2054">
        <f t="shared" ca="1" si="4"/>
        <v>0</v>
      </c>
      <c r="AB45" s="2051"/>
    </row>
    <row r="46" spans="1:28" s="1815" customFormat="1" ht="76.5" customHeight="1" x14ac:dyDescent="0.2">
      <c r="A46" s="1824"/>
      <c r="B46" s="2010" t="s">
        <v>28</v>
      </c>
      <c r="C46" s="2010" t="s">
        <v>688</v>
      </c>
      <c r="D46" s="2010" t="s">
        <v>8</v>
      </c>
      <c r="E46" s="2010" t="s">
        <v>89</v>
      </c>
      <c r="F46" s="2011">
        <v>60</v>
      </c>
      <c r="G46" s="2045">
        <f t="shared" ca="1" si="0"/>
        <v>12.75</v>
      </c>
      <c r="H46"/>
      <c r="I46" s="2012">
        <v>0</v>
      </c>
      <c r="J46" s="2013">
        <v>12.75</v>
      </c>
      <c r="K46" s="2014">
        <v>12.75</v>
      </c>
      <c r="L46" s="2015">
        <v>12.75</v>
      </c>
      <c r="M46" s="2027">
        <v>8.088000000000001</v>
      </c>
      <c r="N46" s="2028">
        <v>7.9620000000000006</v>
      </c>
      <c r="O46" s="2016">
        <v>0</v>
      </c>
      <c r="P46" s="2032"/>
      <c r="Q46" s="2045">
        <f t="shared" si="1"/>
        <v>10.860000000000001</v>
      </c>
      <c r="R46" s="2045">
        <f t="shared" si="2"/>
        <v>8.088000000000001</v>
      </c>
      <c r="S46" s="2045">
        <f t="shared" si="3"/>
        <v>12.75</v>
      </c>
      <c r="T46" s="1827"/>
      <c r="U46" s="2051"/>
      <c r="V46" s="2051"/>
      <c r="W46" s="2051"/>
      <c r="X46" s="2051"/>
      <c r="Y46" s="2051"/>
      <c r="Z46" s="2051"/>
      <c r="AA46" s="2054">
        <f t="shared" ca="1" si="4"/>
        <v>0.21249999999999999</v>
      </c>
      <c r="AB46" s="2051"/>
    </row>
    <row r="47" spans="1:28" s="1815" customFormat="1" ht="51" customHeight="1" x14ac:dyDescent="0.2">
      <c r="A47" s="1824"/>
      <c r="B47" s="2010" t="s">
        <v>28</v>
      </c>
      <c r="C47" s="2010" t="s">
        <v>688</v>
      </c>
      <c r="D47" s="2010" t="s">
        <v>8</v>
      </c>
      <c r="E47" s="2010" t="s">
        <v>1638</v>
      </c>
      <c r="F47" s="2011">
        <v>30</v>
      </c>
      <c r="G47" s="2045">
        <f t="shared" ca="1" si="0"/>
        <v>8.5</v>
      </c>
      <c r="H47"/>
      <c r="I47" s="2012">
        <v>0</v>
      </c>
      <c r="J47" s="2013">
        <v>8.5</v>
      </c>
      <c r="K47" s="2014">
        <v>8.5</v>
      </c>
      <c r="L47" s="2015">
        <v>8.5</v>
      </c>
      <c r="M47" s="2027">
        <v>9.18</v>
      </c>
      <c r="N47" s="2028">
        <v>8.9249999999999989</v>
      </c>
      <c r="O47" s="2016">
        <v>0</v>
      </c>
      <c r="P47" s="2032"/>
      <c r="Q47" s="2045">
        <f t="shared" si="1"/>
        <v>8.7210000000000001</v>
      </c>
      <c r="R47" s="2045">
        <f t="shared" si="2"/>
        <v>8.5</v>
      </c>
      <c r="S47" s="2045">
        <f t="shared" si="3"/>
        <v>9.18</v>
      </c>
      <c r="T47" s="1827"/>
      <c r="U47" s="2051"/>
      <c r="V47" s="2051"/>
      <c r="W47" s="2051"/>
      <c r="X47" s="2051"/>
      <c r="Y47" s="2051"/>
      <c r="Z47" s="2051"/>
      <c r="AA47" s="2054">
        <f t="shared" ca="1" si="4"/>
        <v>0.28333333333333333</v>
      </c>
      <c r="AB47" s="2051"/>
    </row>
    <row r="48" spans="1:28" s="1815" customFormat="1" ht="76.5" customHeight="1" x14ac:dyDescent="0.2">
      <c r="A48" s="1824"/>
      <c r="B48" s="2010" t="s">
        <v>28</v>
      </c>
      <c r="C48" s="2010" t="s">
        <v>688</v>
      </c>
      <c r="D48" s="2010" t="s">
        <v>8</v>
      </c>
      <c r="E48" s="2010" t="s">
        <v>16</v>
      </c>
      <c r="F48" s="2011">
        <v>30</v>
      </c>
      <c r="G48" s="2045">
        <f t="shared" ca="1" si="0"/>
        <v>11</v>
      </c>
      <c r="H48"/>
      <c r="I48" s="2012">
        <v>0</v>
      </c>
      <c r="J48" s="2013">
        <v>11</v>
      </c>
      <c r="K48" s="2014">
        <v>11</v>
      </c>
      <c r="L48" s="2015">
        <v>11</v>
      </c>
      <c r="M48" s="2027">
        <v>0</v>
      </c>
      <c r="N48" s="2028">
        <v>0</v>
      </c>
      <c r="O48" s="2016">
        <v>0</v>
      </c>
      <c r="P48" s="2032"/>
      <c r="Q48" s="2045">
        <f t="shared" si="1"/>
        <v>11</v>
      </c>
      <c r="R48" s="2045">
        <f t="shared" si="2"/>
        <v>0</v>
      </c>
      <c r="S48" s="2045">
        <f t="shared" si="3"/>
        <v>11</v>
      </c>
      <c r="T48" s="1827"/>
      <c r="U48" s="2051"/>
      <c r="V48" s="2051"/>
      <c r="W48" s="2051"/>
      <c r="X48" s="2051"/>
      <c r="Y48" s="2051"/>
      <c r="Z48" s="2051"/>
      <c r="AA48" s="2054">
        <f t="shared" ca="1" si="4"/>
        <v>0.36666666666666664</v>
      </c>
      <c r="AB48" s="2051"/>
    </row>
    <row r="49" spans="1:28" s="1815" customFormat="1" ht="51" customHeight="1" x14ac:dyDescent="0.2">
      <c r="A49" s="1824"/>
      <c r="B49" s="2010" t="s">
        <v>28</v>
      </c>
      <c r="C49" s="2010" t="s">
        <v>688</v>
      </c>
      <c r="D49" s="2010" t="s">
        <v>8</v>
      </c>
      <c r="E49" s="2010" t="s">
        <v>20</v>
      </c>
      <c r="F49" s="2011">
        <v>30</v>
      </c>
      <c r="G49" s="2045">
        <f t="shared" ca="1" si="0"/>
        <v>0</v>
      </c>
      <c r="H49"/>
      <c r="I49" s="2012">
        <v>0</v>
      </c>
      <c r="J49" s="2013">
        <v>0</v>
      </c>
      <c r="K49" s="2014">
        <v>0</v>
      </c>
      <c r="L49" s="2015">
        <v>0</v>
      </c>
      <c r="M49" s="2027">
        <v>0</v>
      </c>
      <c r="N49" s="2028">
        <v>13.218</v>
      </c>
      <c r="O49" s="2016"/>
      <c r="P49" s="2032"/>
      <c r="Q49" s="2045">
        <f t="shared" si="1"/>
        <v>13.218</v>
      </c>
      <c r="R49" s="2045">
        <f t="shared" si="2"/>
        <v>0</v>
      </c>
      <c r="S49" s="2045">
        <f t="shared" si="3"/>
        <v>13.218</v>
      </c>
      <c r="T49" s="1827"/>
      <c r="U49" s="2051"/>
      <c r="V49" s="2051"/>
      <c r="W49" s="2051"/>
      <c r="X49" s="2051"/>
      <c r="Y49" s="2051"/>
      <c r="Z49" s="2051"/>
      <c r="AA49" s="2054">
        <f t="shared" ca="1" si="4"/>
        <v>0</v>
      </c>
      <c r="AB49" s="2051"/>
    </row>
    <row r="50" spans="1:28" s="1815" customFormat="1" ht="25.5" x14ac:dyDescent="0.2">
      <c r="A50" s="1824"/>
      <c r="B50" s="2010" t="s">
        <v>28</v>
      </c>
      <c r="C50" s="2010" t="s">
        <v>688</v>
      </c>
      <c r="D50" s="2010" t="s">
        <v>1634</v>
      </c>
      <c r="E50" s="2010" t="s">
        <v>46</v>
      </c>
      <c r="F50" s="2011">
        <v>200</v>
      </c>
      <c r="G50" s="2045">
        <f t="shared" ca="1" si="0"/>
        <v>0</v>
      </c>
      <c r="H50"/>
      <c r="I50" s="2012">
        <v>0</v>
      </c>
      <c r="J50" s="2013">
        <v>0</v>
      </c>
      <c r="K50" s="2014">
        <v>0</v>
      </c>
      <c r="L50" s="2015">
        <v>0</v>
      </c>
      <c r="M50" s="2027">
        <v>0</v>
      </c>
      <c r="N50" s="2028">
        <v>1321.96</v>
      </c>
      <c r="O50" s="2016">
        <v>0</v>
      </c>
      <c r="P50" s="2032"/>
      <c r="Q50" s="2045">
        <f t="shared" si="1"/>
        <v>1321.96</v>
      </c>
      <c r="R50" s="2045">
        <f t="shared" si="2"/>
        <v>0</v>
      </c>
      <c r="S50" s="2045">
        <f t="shared" si="3"/>
        <v>1321.96</v>
      </c>
      <c r="T50" s="1827"/>
      <c r="U50" s="2052" t="s">
        <v>1489</v>
      </c>
      <c r="V50" s="2050" t="s">
        <v>28</v>
      </c>
      <c r="W50" s="2050" t="s">
        <v>688</v>
      </c>
      <c r="X50" s="2050" t="s">
        <v>1487</v>
      </c>
      <c r="Y50" s="2050" t="s">
        <v>46</v>
      </c>
      <c r="Z50" s="2053">
        <v>200</v>
      </c>
      <c r="AA50" s="2054">
        <f t="shared" ca="1" si="4"/>
        <v>0</v>
      </c>
      <c r="AB50" s="2051">
        <v>43</v>
      </c>
    </row>
    <row r="51" spans="1:28" s="1815" customFormat="1" ht="25.5" customHeight="1" x14ac:dyDescent="0.2">
      <c r="A51" s="1824"/>
      <c r="B51" s="2010" t="s">
        <v>28</v>
      </c>
      <c r="C51" s="2010" t="s">
        <v>688</v>
      </c>
      <c r="D51" s="2010" t="s">
        <v>8</v>
      </c>
      <c r="E51" s="2010" t="s">
        <v>1639</v>
      </c>
      <c r="F51" s="2011">
        <v>60</v>
      </c>
      <c r="G51" s="2045">
        <f t="shared" ca="1" si="0"/>
        <v>7</v>
      </c>
      <c r="H51"/>
      <c r="I51" s="2012">
        <v>0</v>
      </c>
      <c r="J51" s="2013">
        <v>7</v>
      </c>
      <c r="K51" s="2014">
        <v>7</v>
      </c>
      <c r="L51" s="2015">
        <v>7</v>
      </c>
      <c r="M51" s="2027">
        <v>5.31</v>
      </c>
      <c r="N51" s="2028">
        <v>7.35</v>
      </c>
      <c r="O51" s="2016">
        <v>0</v>
      </c>
      <c r="P51" s="2032"/>
      <c r="Q51" s="2045">
        <f t="shared" si="1"/>
        <v>6.7319999999999993</v>
      </c>
      <c r="R51" s="2045">
        <f t="shared" si="2"/>
        <v>7</v>
      </c>
      <c r="S51" s="2045">
        <f t="shared" si="3"/>
        <v>7.35</v>
      </c>
      <c r="T51" s="1827"/>
      <c r="U51" s="2051"/>
      <c r="V51" s="2051"/>
      <c r="W51" s="2051"/>
      <c r="X51" s="2051"/>
      <c r="Y51" s="2051"/>
      <c r="Z51" s="2051"/>
      <c r="AA51" s="2054">
        <f t="shared" ca="1" si="4"/>
        <v>0.11666666666666667</v>
      </c>
      <c r="AB51" s="2051"/>
    </row>
    <row r="52" spans="1:28" s="1815" customFormat="1" ht="25.5" customHeight="1" x14ac:dyDescent="0.2">
      <c r="A52" s="1824"/>
      <c r="B52" s="2010" t="s">
        <v>28</v>
      </c>
      <c r="C52" s="2010" t="s">
        <v>688</v>
      </c>
      <c r="D52" s="2010" t="s">
        <v>1480</v>
      </c>
      <c r="E52" s="2010" t="s">
        <v>29</v>
      </c>
      <c r="F52" s="2011">
        <v>30</v>
      </c>
      <c r="G52" s="2045">
        <f t="shared" ca="1" si="0"/>
        <v>13</v>
      </c>
      <c r="H52"/>
      <c r="I52" s="2012">
        <v>0</v>
      </c>
      <c r="J52" s="2013">
        <v>7.58</v>
      </c>
      <c r="K52" s="2014">
        <v>12.77</v>
      </c>
      <c r="L52" s="2015">
        <v>13</v>
      </c>
      <c r="M52" s="2027">
        <v>7.95</v>
      </c>
      <c r="N52" s="2028">
        <v>0</v>
      </c>
      <c r="O52" s="2016">
        <v>0</v>
      </c>
      <c r="P52" s="2032"/>
      <c r="Q52" s="2045">
        <f t="shared" si="1"/>
        <v>10.325000000000001</v>
      </c>
      <c r="R52" s="2045">
        <f t="shared" si="2"/>
        <v>7.58</v>
      </c>
      <c r="S52" s="2045">
        <f t="shared" si="3"/>
        <v>13</v>
      </c>
      <c r="T52" s="1827"/>
      <c r="U52" s="2055" t="s">
        <v>1489</v>
      </c>
      <c r="V52" s="2056" t="s">
        <v>28</v>
      </c>
      <c r="W52" s="2057" t="s">
        <v>688</v>
      </c>
      <c r="X52" s="2058" t="s">
        <v>1480</v>
      </c>
      <c r="Y52" s="2058" t="s">
        <v>29</v>
      </c>
      <c r="Z52" s="2059">
        <v>30</v>
      </c>
      <c r="AA52" s="2054">
        <f t="shared" ca="1" si="4"/>
        <v>0.43333333333333335</v>
      </c>
      <c r="AB52" s="2051">
        <v>27</v>
      </c>
    </row>
    <row r="53" spans="1:28" s="1815" customFormat="1" ht="25.5" customHeight="1" x14ac:dyDescent="0.2">
      <c r="A53" s="1824"/>
      <c r="B53" s="2010" t="s">
        <v>28</v>
      </c>
      <c r="C53" s="2010" t="s">
        <v>688</v>
      </c>
      <c r="D53" s="2010" t="s">
        <v>1480</v>
      </c>
      <c r="E53" s="2010" t="s">
        <v>32</v>
      </c>
      <c r="F53" s="2011">
        <v>30</v>
      </c>
      <c r="G53" s="2045">
        <f t="shared" ca="1" si="0"/>
        <v>20</v>
      </c>
      <c r="H53"/>
      <c r="I53" s="2012">
        <v>19.427609372677431</v>
      </c>
      <c r="J53" s="2013">
        <v>20</v>
      </c>
      <c r="K53" s="2014">
        <v>20</v>
      </c>
      <c r="L53" s="2015">
        <v>20</v>
      </c>
      <c r="M53" s="2027">
        <v>15.725999999999999</v>
      </c>
      <c r="N53" s="2028">
        <v>22.329000000000001</v>
      </c>
      <c r="O53" s="2016">
        <v>0</v>
      </c>
      <c r="P53" s="2032"/>
      <c r="Q53" s="2045">
        <f t="shared" si="1"/>
        <v>19.580434895446242</v>
      </c>
      <c r="R53" s="2045">
        <f t="shared" si="2"/>
        <v>20</v>
      </c>
      <c r="S53" s="2045">
        <f t="shared" si="3"/>
        <v>22.329000000000001</v>
      </c>
      <c r="T53" s="1827"/>
      <c r="U53" s="2055" t="s">
        <v>1489</v>
      </c>
      <c r="V53" s="2056" t="s">
        <v>28</v>
      </c>
      <c r="W53" s="2057" t="s">
        <v>688</v>
      </c>
      <c r="X53" s="2058" t="s">
        <v>1480</v>
      </c>
      <c r="Y53" s="2058" t="s">
        <v>32</v>
      </c>
      <c r="Z53" s="2059">
        <v>30</v>
      </c>
      <c r="AA53" s="2054">
        <f t="shared" ca="1" si="4"/>
        <v>0.66666666666666663</v>
      </c>
      <c r="AB53" s="2051">
        <v>28</v>
      </c>
    </row>
    <row r="54" spans="1:28" s="1815" customFormat="1" ht="25.5" customHeight="1" x14ac:dyDescent="0.2">
      <c r="A54" s="1824"/>
      <c r="B54" s="2010" t="s">
        <v>28</v>
      </c>
      <c r="C54" s="2010" t="s">
        <v>688</v>
      </c>
      <c r="D54" s="2010" t="s">
        <v>8</v>
      </c>
      <c r="E54" s="2010" t="s">
        <v>248</v>
      </c>
      <c r="F54" s="2011">
        <v>60</v>
      </c>
      <c r="G54" s="2045">
        <f t="shared" ca="1" si="0"/>
        <v>0</v>
      </c>
      <c r="H54"/>
      <c r="I54" s="2012">
        <v>0</v>
      </c>
      <c r="J54" s="2013">
        <v>0</v>
      </c>
      <c r="K54" s="2014">
        <v>0</v>
      </c>
      <c r="L54" s="2015">
        <v>0</v>
      </c>
      <c r="M54" s="2027">
        <v>6.8100000000000005</v>
      </c>
      <c r="N54" s="2028">
        <v>9.9779999999999998</v>
      </c>
      <c r="O54" s="2016">
        <v>0</v>
      </c>
      <c r="P54" s="2032"/>
      <c r="Q54" s="2045">
        <f t="shared" si="1"/>
        <v>8.3940000000000001</v>
      </c>
      <c r="R54" s="2045">
        <f t="shared" si="2"/>
        <v>0</v>
      </c>
      <c r="S54" s="2045">
        <f t="shared" si="3"/>
        <v>9.9779999999999998</v>
      </c>
      <c r="T54" s="1827"/>
      <c r="U54" s="2051"/>
      <c r="V54" s="2051"/>
      <c r="W54" s="2051"/>
      <c r="X54" s="2051"/>
      <c r="Y54" s="2051"/>
      <c r="Z54" s="2051"/>
      <c r="AA54" s="2054">
        <f t="shared" ca="1" si="4"/>
        <v>0</v>
      </c>
      <c r="AB54" s="2051"/>
    </row>
    <row r="55" spans="1:28" s="1815" customFormat="1" ht="25.5" customHeight="1" x14ac:dyDescent="0.2">
      <c r="A55" s="1824"/>
      <c r="B55" s="2010" t="s">
        <v>17</v>
      </c>
      <c r="C55" s="2010" t="s">
        <v>644</v>
      </c>
      <c r="D55" s="2010" t="s">
        <v>1480</v>
      </c>
      <c r="E55" s="2010" t="s">
        <v>89</v>
      </c>
      <c r="F55" s="2011">
        <v>90</v>
      </c>
      <c r="G55" s="2045">
        <f t="shared" ca="1" si="0"/>
        <v>0</v>
      </c>
      <c r="H55"/>
      <c r="I55" s="2012">
        <v>0</v>
      </c>
      <c r="J55" s="2013">
        <v>0</v>
      </c>
      <c r="K55" s="2014">
        <v>0</v>
      </c>
      <c r="L55" s="2015">
        <v>0</v>
      </c>
      <c r="M55" s="2027">
        <v>0</v>
      </c>
      <c r="N55" s="2028">
        <v>18.117000000000001</v>
      </c>
      <c r="O55" s="2016">
        <v>0</v>
      </c>
      <c r="P55" s="2032"/>
      <c r="Q55" s="2045">
        <f t="shared" si="1"/>
        <v>18.117000000000001</v>
      </c>
      <c r="R55" s="2045">
        <f t="shared" si="2"/>
        <v>0</v>
      </c>
      <c r="S55" s="2045">
        <f t="shared" si="3"/>
        <v>18.117000000000001</v>
      </c>
      <c r="T55" s="1827"/>
      <c r="U55" s="2051"/>
      <c r="V55" s="2051"/>
      <c r="W55" s="2051"/>
      <c r="X55" s="2051"/>
      <c r="Y55" s="2051"/>
      <c r="Z55" s="2051"/>
      <c r="AA55" s="2054">
        <f t="shared" ca="1" si="4"/>
        <v>0</v>
      </c>
      <c r="AB55" s="2051"/>
    </row>
    <row r="56" spans="1:28" s="1815" customFormat="1" ht="25.5" customHeight="1" x14ac:dyDescent="0.2">
      <c r="A56" s="1824"/>
      <c r="B56" s="2010" t="s">
        <v>17</v>
      </c>
      <c r="C56" s="2010" t="s">
        <v>644</v>
      </c>
      <c r="D56" s="2010" t="s">
        <v>1480</v>
      </c>
      <c r="E56" s="2010" t="s">
        <v>20</v>
      </c>
      <c r="F56" s="2011">
        <v>90</v>
      </c>
      <c r="G56" s="2045">
        <f t="shared" ca="1" si="0"/>
        <v>6.65</v>
      </c>
      <c r="H56"/>
      <c r="I56" s="2012">
        <v>5.7178108133566861</v>
      </c>
      <c r="J56" s="2013">
        <v>4.29</v>
      </c>
      <c r="K56" s="2014">
        <v>5.14</v>
      </c>
      <c r="L56" s="2015">
        <v>6.65</v>
      </c>
      <c r="M56" s="2027">
        <v>7.4969999999999999</v>
      </c>
      <c r="N56" s="2028">
        <v>7.38</v>
      </c>
      <c r="O56" s="2016">
        <v>9.3000000000000007</v>
      </c>
      <c r="P56" s="2032"/>
      <c r="Q56" s="2045">
        <f t="shared" si="1"/>
        <v>6.5678301161938117</v>
      </c>
      <c r="R56" s="2045">
        <f t="shared" si="2"/>
        <v>6.65</v>
      </c>
      <c r="S56" s="2045">
        <f t="shared" si="3"/>
        <v>9.3000000000000007</v>
      </c>
      <c r="T56" s="1827"/>
      <c r="U56" s="2055" t="s">
        <v>1490</v>
      </c>
      <c r="V56" s="2056" t="s">
        <v>17</v>
      </c>
      <c r="W56" s="2057" t="s">
        <v>644</v>
      </c>
      <c r="X56" s="2058" t="s">
        <v>1480</v>
      </c>
      <c r="Y56" s="2058" t="s">
        <v>20</v>
      </c>
      <c r="Z56" s="2059">
        <v>90</v>
      </c>
      <c r="AA56" s="2054">
        <f t="shared" ca="1" si="4"/>
        <v>7.3888888888888893E-2</v>
      </c>
      <c r="AB56" s="2051">
        <v>19</v>
      </c>
    </row>
    <row r="57" spans="1:28" s="1815" customFormat="1" x14ac:dyDescent="0.2">
      <c r="A57" s="1824"/>
      <c r="B57" s="2010" t="s">
        <v>17</v>
      </c>
      <c r="C57" s="2010" t="s">
        <v>644</v>
      </c>
      <c r="D57" s="2010" t="s">
        <v>1631</v>
      </c>
      <c r="E57" s="2010" t="s">
        <v>259</v>
      </c>
      <c r="F57" s="2011">
        <v>180</v>
      </c>
      <c r="G57" s="2045">
        <f t="shared" ca="1" si="0"/>
        <v>16.96</v>
      </c>
      <c r="H57"/>
      <c r="I57" s="2012">
        <v>0</v>
      </c>
      <c r="J57" s="2013">
        <v>16.96</v>
      </c>
      <c r="K57" s="2014">
        <v>16.96</v>
      </c>
      <c r="L57" s="2015">
        <v>16.96</v>
      </c>
      <c r="M57" s="2027">
        <v>19.638000000000002</v>
      </c>
      <c r="N57" s="2028">
        <v>17.802</v>
      </c>
      <c r="O57" s="2016">
        <v>0</v>
      </c>
      <c r="P57" s="2032"/>
      <c r="Q57" s="2045">
        <f t="shared" si="1"/>
        <v>17.663999999999998</v>
      </c>
      <c r="R57" s="2045">
        <f t="shared" si="2"/>
        <v>16.96</v>
      </c>
      <c r="S57" s="2045">
        <f t="shared" si="3"/>
        <v>19.638000000000002</v>
      </c>
      <c r="T57" s="1827"/>
      <c r="U57" s="2052" t="s">
        <v>1490</v>
      </c>
      <c r="V57" s="2050" t="s">
        <v>17</v>
      </c>
      <c r="W57" s="2050" t="s">
        <v>644</v>
      </c>
      <c r="X57" s="2050" t="s">
        <v>1486</v>
      </c>
      <c r="Y57" s="2050" t="s">
        <v>259</v>
      </c>
      <c r="Z57" s="2053">
        <v>180</v>
      </c>
      <c r="AA57" s="2054">
        <f t="shared" ca="1" si="4"/>
        <v>9.4222222222222221E-2</v>
      </c>
      <c r="AB57" s="2051">
        <v>45</v>
      </c>
    </row>
    <row r="58" spans="1:28" s="1815" customFormat="1" ht="25.5" customHeight="1" x14ac:dyDescent="0.2">
      <c r="A58" s="1824"/>
      <c r="B58" s="2010" t="s">
        <v>17</v>
      </c>
      <c r="C58" s="2010" t="s">
        <v>644</v>
      </c>
      <c r="D58" s="2010" t="s">
        <v>1480</v>
      </c>
      <c r="E58" s="2010" t="s">
        <v>248</v>
      </c>
      <c r="F58" s="2011">
        <v>30</v>
      </c>
      <c r="G58" s="2045">
        <f t="shared" ca="1" si="0"/>
        <v>2.2400000000000002</v>
      </c>
      <c r="H58"/>
      <c r="I58" s="2012">
        <v>0</v>
      </c>
      <c r="J58" s="2013">
        <v>2</v>
      </c>
      <c r="K58" s="2014">
        <v>2.14</v>
      </c>
      <c r="L58" s="2015">
        <v>2.2400000000000002</v>
      </c>
      <c r="M58" s="2027">
        <v>2.0250000000000004</v>
      </c>
      <c r="N58" s="2028">
        <v>2.673</v>
      </c>
      <c r="O58" s="2016">
        <v>2.4</v>
      </c>
      <c r="P58" s="2032"/>
      <c r="Q58" s="2045">
        <f t="shared" si="1"/>
        <v>2.2463333333333337</v>
      </c>
      <c r="R58" s="2045">
        <f t="shared" si="2"/>
        <v>2.14</v>
      </c>
      <c r="S58" s="2045">
        <f t="shared" si="3"/>
        <v>2.673</v>
      </c>
      <c r="T58" s="1827"/>
      <c r="U58" s="2051"/>
      <c r="V58" s="2051"/>
      <c r="W58" s="2051"/>
      <c r="X58" s="2051"/>
      <c r="Y58" s="2051"/>
      <c r="Z58" s="2051"/>
      <c r="AA58" s="2054">
        <f t="shared" ca="1" si="4"/>
        <v>7.4666666666666673E-2</v>
      </c>
      <c r="AB58" s="2051"/>
    </row>
    <row r="59" spans="1:28" s="1815" customFormat="1" ht="25.5" customHeight="1" x14ac:dyDescent="0.2">
      <c r="A59" s="1824"/>
      <c r="B59" s="2010" t="s">
        <v>17</v>
      </c>
      <c r="C59" s="2010" t="s">
        <v>644</v>
      </c>
      <c r="D59" s="2010" t="s">
        <v>8</v>
      </c>
      <c r="E59" s="2010" t="s">
        <v>18</v>
      </c>
      <c r="F59" s="2011">
        <v>30</v>
      </c>
      <c r="G59" s="2045">
        <f t="shared" ca="1" si="0"/>
        <v>3.99</v>
      </c>
      <c r="H59"/>
      <c r="I59" s="2012">
        <v>3.5218735058318895</v>
      </c>
      <c r="J59" s="2013">
        <v>3.23</v>
      </c>
      <c r="K59" s="2014">
        <v>3.33</v>
      </c>
      <c r="L59" s="2015">
        <v>3.99</v>
      </c>
      <c r="M59" s="2027">
        <v>5.1599999999999993</v>
      </c>
      <c r="N59" s="2028">
        <v>4.0590000000000002</v>
      </c>
      <c r="O59" s="2016">
        <v>4</v>
      </c>
      <c r="P59" s="2032"/>
      <c r="Q59" s="2045">
        <f t="shared" si="1"/>
        <v>3.8986962151188416</v>
      </c>
      <c r="R59" s="2045">
        <f t="shared" si="2"/>
        <v>3.99</v>
      </c>
      <c r="S59" s="2045">
        <f t="shared" si="3"/>
        <v>5.1599999999999993</v>
      </c>
      <c r="T59" s="1827"/>
      <c r="U59" s="2055" t="s">
        <v>1490</v>
      </c>
      <c r="V59" s="2056" t="s">
        <v>17</v>
      </c>
      <c r="W59" s="2057" t="s">
        <v>644</v>
      </c>
      <c r="X59" s="2058" t="s">
        <v>8</v>
      </c>
      <c r="Y59" s="2058" t="s">
        <v>18</v>
      </c>
      <c r="Z59" s="2059">
        <v>30</v>
      </c>
      <c r="AA59" s="2054">
        <f t="shared" ca="1" si="4"/>
        <v>0.13300000000000001</v>
      </c>
      <c r="AB59" s="2051">
        <v>18</v>
      </c>
    </row>
    <row r="60" spans="1:28" s="1815" customFormat="1" ht="25.5" customHeight="1" x14ac:dyDescent="0.2">
      <c r="A60" s="1824"/>
      <c r="B60" s="2010" t="s">
        <v>351</v>
      </c>
      <c r="C60" s="2010" t="s">
        <v>687</v>
      </c>
      <c r="D60" s="2010" t="s">
        <v>8</v>
      </c>
      <c r="E60" s="2010" t="s">
        <v>20</v>
      </c>
      <c r="F60" s="2011">
        <v>30</v>
      </c>
      <c r="G60" s="2045">
        <f t="shared" ca="1" si="0"/>
        <v>0</v>
      </c>
      <c r="H60"/>
      <c r="I60" s="2012"/>
      <c r="J60" s="2013"/>
      <c r="K60" s="2014"/>
      <c r="L60" s="2015"/>
      <c r="M60" s="2027"/>
      <c r="N60" s="2028"/>
      <c r="O60" s="2016"/>
      <c r="P60" s="2032"/>
      <c r="Q60" s="2045"/>
      <c r="R60" s="2045"/>
      <c r="S60" s="2045"/>
      <c r="T60" s="1827"/>
      <c r="U60" s="2055" t="s">
        <v>1489</v>
      </c>
      <c r="V60" s="2056" t="s">
        <v>351</v>
      </c>
      <c r="W60" s="2057" t="s">
        <v>687</v>
      </c>
      <c r="X60" s="2058" t="s">
        <v>8</v>
      </c>
      <c r="Y60" s="2058" t="s">
        <v>20</v>
      </c>
      <c r="Z60" s="2059">
        <v>30</v>
      </c>
      <c r="AA60" s="2054">
        <f t="shared" ca="1" si="4"/>
        <v>0</v>
      </c>
      <c r="AB60" s="2051">
        <v>24</v>
      </c>
    </row>
    <row r="61" spans="1:28" s="1815" customFormat="1" ht="25.5" customHeight="1" x14ac:dyDescent="0.2">
      <c r="A61" s="1824"/>
      <c r="B61" s="2010" t="s">
        <v>330</v>
      </c>
      <c r="C61" s="2010" t="s">
        <v>697</v>
      </c>
      <c r="D61" s="2010" t="s">
        <v>8</v>
      </c>
      <c r="E61" s="2010" t="s">
        <v>89</v>
      </c>
      <c r="F61" s="2011">
        <v>120</v>
      </c>
      <c r="G61" s="2045">
        <f t="shared" ca="1" si="0"/>
        <v>86.73</v>
      </c>
      <c r="H61"/>
      <c r="I61" s="2012">
        <v>0</v>
      </c>
      <c r="J61" s="2013">
        <v>86.73</v>
      </c>
      <c r="K61" s="2014">
        <v>86.73</v>
      </c>
      <c r="L61" s="2015">
        <v>86.73</v>
      </c>
      <c r="M61" s="2027">
        <v>41.532000000000004</v>
      </c>
      <c r="N61" s="2028">
        <v>0</v>
      </c>
      <c r="O61" s="2016">
        <v>0</v>
      </c>
      <c r="P61" s="2032"/>
      <c r="Q61" s="2045">
        <f t="shared" si="1"/>
        <v>75.430499999999995</v>
      </c>
      <c r="R61" s="2045">
        <f t="shared" si="2"/>
        <v>41.532000000000004</v>
      </c>
      <c r="S61" s="2045">
        <f t="shared" si="3"/>
        <v>86.73</v>
      </c>
      <c r="T61" s="1827"/>
      <c r="U61" s="2052" t="s">
        <v>1492</v>
      </c>
      <c r="V61" s="2048" t="s">
        <v>330</v>
      </c>
      <c r="W61" s="2057" t="s">
        <v>697</v>
      </c>
      <c r="X61" s="2049" t="s">
        <v>8</v>
      </c>
      <c r="Y61" s="2050" t="s">
        <v>89</v>
      </c>
      <c r="Z61" s="2059">
        <v>120</v>
      </c>
      <c r="AA61" s="2054">
        <f t="shared" ca="1" si="4"/>
        <v>0.72275</v>
      </c>
      <c r="AB61" s="2051">
        <v>38</v>
      </c>
    </row>
    <row r="62" spans="1:28" s="1815" customFormat="1" ht="25.5" x14ac:dyDescent="0.2">
      <c r="A62" s="1824"/>
      <c r="B62" s="2010" t="s">
        <v>588</v>
      </c>
      <c r="C62" s="2010" t="s">
        <v>1640</v>
      </c>
      <c r="D62" s="2010" t="s">
        <v>8</v>
      </c>
      <c r="E62" s="2010" t="s">
        <v>1641</v>
      </c>
      <c r="F62" s="2011">
        <v>60</v>
      </c>
      <c r="G62" s="2045">
        <f t="shared" ca="1" si="0"/>
        <v>0</v>
      </c>
      <c r="H62"/>
      <c r="I62" s="2012">
        <v>0</v>
      </c>
      <c r="J62" s="2013">
        <v>0</v>
      </c>
      <c r="K62" s="2014">
        <v>0</v>
      </c>
      <c r="L62" s="2015">
        <v>0</v>
      </c>
      <c r="M62" s="2027">
        <v>0</v>
      </c>
      <c r="N62" s="2028">
        <v>0</v>
      </c>
      <c r="O62" s="2016">
        <v>0</v>
      </c>
      <c r="P62" s="2032"/>
      <c r="Q62" s="2045" t="e">
        <f t="shared" si="1"/>
        <v>#DIV/0!</v>
      </c>
      <c r="R62" s="2045">
        <f t="shared" si="2"/>
        <v>0</v>
      </c>
      <c r="S62" s="2045">
        <f t="shared" si="3"/>
        <v>0</v>
      </c>
      <c r="T62" s="1827"/>
      <c r="U62" s="2051"/>
      <c r="V62" s="2051"/>
      <c r="W62" s="2051"/>
      <c r="X62" s="2051"/>
      <c r="Y62" s="2051"/>
      <c r="Z62" s="2051"/>
      <c r="AA62" s="2054">
        <f t="shared" ca="1" si="4"/>
        <v>0</v>
      </c>
      <c r="AB62" s="2051"/>
    </row>
    <row r="63" spans="1:28" s="1815" customFormat="1" ht="25.5" customHeight="1" x14ac:dyDescent="0.2">
      <c r="A63" s="1824"/>
      <c r="B63" s="2010" t="s">
        <v>69</v>
      </c>
      <c r="C63" s="2010" t="s">
        <v>691</v>
      </c>
      <c r="D63" s="2010" t="s">
        <v>1480</v>
      </c>
      <c r="E63" s="2010" t="s">
        <v>20</v>
      </c>
      <c r="F63" s="2011">
        <v>360</v>
      </c>
      <c r="G63" s="2045">
        <f t="shared" ca="1" si="0"/>
        <v>0</v>
      </c>
      <c r="H63"/>
      <c r="I63" s="2012">
        <v>0</v>
      </c>
      <c r="J63" s="2013">
        <v>0</v>
      </c>
      <c r="K63" s="2014">
        <v>0</v>
      </c>
      <c r="L63" s="2015">
        <v>0</v>
      </c>
      <c r="M63" s="2027">
        <v>0</v>
      </c>
      <c r="N63" s="2028">
        <v>0</v>
      </c>
      <c r="O63" s="2016">
        <v>0</v>
      </c>
      <c r="P63" s="2032"/>
      <c r="Q63" s="2045" t="e">
        <f t="shared" si="1"/>
        <v>#DIV/0!</v>
      </c>
      <c r="R63" s="2045">
        <f t="shared" si="2"/>
        <v>0</v>
      </c>
      <c r="S63" s="2045">
        <f t="shared" si="3"/>
        <v>0</v>
      </c>
      <c r="T63" s="1827"/>
      <c r="U63" s="2051"/>
      <c r="V63" s="2051"/>
      <c r="W63" s="2051"/>
      <c r="X63" s="2051"/>
      <c r="Y63" s="2051"/>
      <c r="Z63" s="2051"/>
      <c r="AA63" s="2054">
        <f t="shared" ca="1" si="4"/>
        <v>0</v>
      </c>
      <c r="AB63" s="2051"/>
    </row>
    <row r="64" spans="1:28" s="1815" customFormat="1" ht="25.5" customHeight="1" x14ac:dyDescent="0.2">
      <c r="A64" s="1824"/>
      <c r="B64" s="2010" t="s">
        <v>69</v>
      </c>
      <c r="C64" s="2010" t="s">
        <v>691</v>
      </c>
      <c r="D64" s="2010" t="s">
        <v>1480</v>
      </c>
      <c r="E64" s="2010" t="s">
        <v>32</v>
      </c>
      <c r="F64" s="2011">
        <v>180</v>
      </c>
      <c r="G64" s="2045">
        <f t="shared" ref="G64:G95" ca="1" si="5">OFFSET(I64,,$L$23,,)</f>
        <v>50</v>
      </c>
      <c r="H64"/>
      <c r="I64" s="2012">
        <v>0</v>
      </c>
      <c r="J64" s="2013">
        <v>48</v>
      </c>
      <c r="K64" s="2014">
        <v>48.43</v>
      </c>
      <c r="L64" s="2015">
        <v>50</v>
      </c>
      <c r="M64" s="2027">
        <v>72.900000000000006</v>
      </c>
      <c r="N64" s="2028">
        <v>53.802</v>
      </c>
      <c r="O64" s="2016">
        <v>0</v>
      </c>
      <c r="P64" s="2032"/>
      <c r="Q64" s="2045">
        <f t="shared" si="1"/>
        <v>54.626400000000004</v>
      </c>
      <c r="R64" s="2045">
        <f t="shared" si="2"/>
        <v>48.43</v>
      </c>
      <c r="S64" s="2045">
        <f t="shared" si="3"/>
        <v>72.900000000000006</v>
      </c>
      <c r="T64" s="1827"/>
      <c r="U64" s="2055" t="s">
        <v>87</v>
      </c>
      <c r="V64" s="2056" t="s">
        <v>69</v>
      </c>
      <c r="W64" s="2057" t="s">
        <v>691</v>
      </c>
      <c r="X64" s="2058" t="s">
        <v>1480</v>
      </c>
      <c r="Y64" s="2058" t="s">
        <v>32</v>
      </c>
      <c r="Z64" s="2059">
        <v>180</v>
      </c>
      <c r="AA64" s="2054">
        <f t="shared" ca="1" si="4"/>
        <v>0.27777777777777779</v>
      </c>
      <c r="AB64" s="2051">
        <v>32</v>
      </c>
    </row>
    <row r="65" spans="1:28" s="1815" customFormat="1" x14ac:dyDescent="0.2">
      <c r="A65" s="1824"/>
      <c r="B65" s="2010" t="s">
        <v>15</v>
      </c>
      <c r="C65" s="2010" t="s">
        <v>686</v>
      </c>
      <c r="D65" s="2010" t="s">
        <v>1631</v>
      </c>
      <c r="E65" s="2010" t="s">
        <v>41</v>
      </c>
      <c r="F65" s="2011">
        <v>240</v>
      </c>
      <c r="G65" s="2045">
        <f t="shared" ca="1" si="5"/>
        <v>2.1</v>
      </c>
      <c r="H65"/>
      <c r="I65" s="2012">
        <v>0</v>
      </c>
      <c r="J65" s="2013">
        <v>1.43</v>
      </c>
      <c r="K65" s="2014">
        <v>1.74</v>
      </c>
      <c r="L65" s="2015">
        <v>2.1</v>
      </c>
      <c r="M65" s="2027">
        <v>2.2799999999999998</v>
      </c>
      <c r="N65" s="2028">
        <v>2.2799999999999998</v>
      </c>
      <c r="O65" s="2016">
        <v>0</v>
      </c>
      <c r="P65" s="2032"/>
      <c r="Q65" s="2045">
        <f t="shared" si="1"/>
        <v>1.9659999999999997</v>
      </c>
      <c r="R65" s="2045">
        <f t="shared" si="2"/>
        <v>1.74</v>
      </c>
      <c r="S65" s="2045">
        <f t="shared" si="3"/>
        <v>2.2799999999999998</v>
      </c>
      <c r="T65" s="1827"/>
      <c r="U65" s="2052" t="s">
        <v>1489</v>
      </c>
      <c r="V65" s="2050" t="s">
        <v>15</v>
      </c>
      <c r="W65" s="2050" t="s">
        <v>686</v>
      </c>
      <c r="X65" s="2050" t="s">
        <v>1486</v>
      </c>
      <c r="Y65" s="2050" t="s">
        <v>41</v>
      </c>
      <c r="Z65" s="2053">
        <v>240</v>
      </c>
      <c r="AA65" s="2054">
        <f t="shared" ca="1" si="4"/>
        <v>8.7500000000000008E-3</v>
      </c>
      <c r="AB65" s="2051">
        <v>41</v>
      </c>
    </row>
    <row r="66" spans="1:28" s="1815" customFormat="1" ht="25.5" customHeight="1" x14ac:dyDescent="0.2">
      <c r="A66" s="1824"/>
      <c r="B66" s="2010" t="s">
        <v>15</v>
      </c>
      <c r="C66" s="2010" t="s">
        <v>686</v>
      </c>
      <c r="D66" s="2010" t="s">
        <v>8</v>
      </c>
      <c r="E66" s="2010" t="s">
        <v>16</v>
      </c>
      <c r="F66" s="2011">
        <v>60</v>
      </c>
      <c r="G66" s="2045">
        <f t="shared" ca="1" si="5"/>
        <v>2.4</v>
      </c>
      <c r="H66"/>
      <c r="I66" s="2012">
        <v>0</v>
      </c>
      <c r="J66" s="2013">
        <v>1.81</v>
      </c>
      <c r="K66" s="2014">
        <v>1.88</v>
      </c>
      <c r="L66" s="2015">
        <v>2.4</v>
      </c>
      <c r="M66" s="2027">
        <v>2.31</v>
      </c>
      <c r="N66" s="2028">
        <v>3.048</v>
      </c>
      <c r="O66" s="2016">
        <v>2.4</v>
      </c>
      <c r="P66" s="2032"/>
      <c r="Q66" s="2045">
        <f t="shared" si="1"/>
        <v>2.3080000000000003</v>
      </c>
      <c r="R66" s="2045">
        <f t="shared" si="2"/>
        <v>2.31</v>
      </c>
      <c r="S66" s="2045">
        <f t="shared" si="3"/>
        <v>3.048</v>
      </c>
      <c r="T66" s="1827"/>
      <c r="U66" s="2055" t="s">
        <v>1489</v>
      </c>
      <c r="V66" s="2056" t="s">
        <v>15</v>
      </c>
      <c r="W66" s="2057" t="s">
        <v>686</v>
      </c>
      <c r="X66" s="2058" t="s">
        <v>8</v>
      </c>
      <c r="Y66" s="2058" t="s">
        <v>16</v>
      </c>
      <c r="Z66" s="2059">
        <v>60</v>
      </c>
      <c r="AA66" s="2054">
        <f t="shared" ca="1" si="4"/>
        <v>0.04</v>
      </c>
      <c r="AB66" s="2051">
        <v>23</v>
      </c>
    </row>
    <row r="67" spans="1:28" s="1815" customFormat="1" ht="25.5" customHeight="1" x14ac:dyDescent="0.2">
      <c r="A67" s="1824"/>
      <c r="B67" s="2010" t="s">
        <v>15</v>
      </c>
      <c r="C67" s="2010" t="s">
        <v>686</v>
      </c>
      <c r="D67" s="2010" t="s">
        <v>1632</v>
      </c>
      <c r="E67" s="2010" t="s">
        <v>250</v>
      </c>
      <c r="F67" s="2011">
        <v>60</v>
      </c>
      <c r="G67" s="2045">
        <f t="shared" ca="1" si="5"/>
        <v>0</v>
      </c>
      <c r="H67"/>
      <c r="I67" s="2012">
        <v>0</v>
      </c>
      <c r="J67" s="2013">
        <v>0</v>
      </c>
      <c r="K67" s="2014">
        <v>0</v>
      </c>
      <c r="L67" s="2015">
        <v>0</v>
      </c>
      <c r="M67" s="2027">
        <v>0</v>
      </c>
      <c r="N67" s="2028">
        <v>0</v>
      </c>
      <c r="O67" s="2016">
        <v>0</v>
      </c>
      <c r="P67" s="2032"/>
      <c r="Q67" s="2045" t="e">
        <f t="shared" si="1"/>
        <v>#DIV/0!</v>
      </c>
      <c r="R67" s="2045">
        <f t="shared" si="2"/>
        <v>0</v>
      </c>
      <c r="S67" s="2045">
        <f t="shared" si="3"/>
        <v>0</v>
      </c>
      <c r="T67" s="1827"/>
      <c r="U67" s="2051"/>
      <c r="V67" s="2051"/>
      <c r="W67" s="2051"/>
      <c r="X67" s="2051"/>
      <c r="Y67" s="2051"/>
      <c r="Z67" s="2051"/>
      <c r="AA67" s="2054">
        <f t="shared" ca="1" si="4"/>
        <v>0</v>
      </c>
      <c r="AB67" s="2051"/>
    </row>
    <row r="68" spans="1:28" s="1815" customFormat="1" ht="38.25" customHeight="1" x14ac:dyDescent="0.2">
      <c r="A68" s="1824"/>
      <c r="B68" s="2010" t="s">
        <v>15</v>
      </c>
      <c r="C68" s="2010" t="s">
        <v>686</v>
      </c>
      <c r="D68" s="2010" t="s">
        <v>8</v>
      </c>
      <c r="E68" s="2010" t="s">
        <v>23</v>
      </c>
      <c r="F68" s="2011">
        <v>60</v>
      </c>
      <c r="G68" s="2045">
        <f t="shared" ca="1" si="5"/>
        <v>0</v>
      </c>
      <c r="H68"/>
      <c r="I68" s="2012">
        <v>0</v>
      </c>
      <c r="J68" s="2013">
        <v>0</v>
      </c>
      <c r="K68" s="2014">
        <v>0</v>
      </c>
      <c r="L68" s="2015">
        <v>0</v>
      </c>
      <c r="M68" s="2027">
        <v>4.5</v>
      </c>
      <c r="N68" s="2028">
        <v>0</v>
      </c>
      <c r="O68" s="2016">
        <v>0</v>
      </c>
      <c r="P68" s="2032"/>
      <c r="Q68" s="2045">
        <f t="shared" si="1"/>
        <v>4.5</v>
      </c>
      <c r="R68" s="2045">
        <f t="shared" si="2"/>
        <v>0</v>
      </c>
      <c r="S68" s="2045">
        <f t="shared" si="3"/>
        <v>4.5</v>
      </c>
      <c r="T68" s="1827"/>
      <c r="U68" s="2051"/>
      <c r="V68" s="2051"/>
      <c r="W68" s="2051"/>
      <c r="X68" s="2051"/>
      <c r="Y68" s="2051"/>
      <c r="Z68" s="2051"/>
      <c r="AA68" s="2054">
        <f t="shared" ca="1" si="4"/>
        <v>0</v>
      </c>
      <c r="AB68" s="2051"/>
    </row>
    <row r="69" spans="1:28" s="1815" customFormat="1" ht="25.5" x14ac:dyDescent="0.2">
      <c r="A69" s="1824"/>
      <c r="B69" s="2010" t="s">
        <v>1642</v>
      </c>
      <c r="C69" s="2010" t="s">
        <v>1643</v>
      </c>
      <c r="D69" s="2010" t="s">
        <v>1632</v>
      </c>
      <c r="E69" s="2010" t="s">
        <v>643</v>
      </c>
      <c r="F69" s="2011">
        <v>60</v>
      </c>
      <c r="G69" s="2045">
        <f t="shared" ca="1" si="5"/>
        <v>6.25</v>
      </c>
      <c r="H69"/>
      <c r="I69" s="2012">
        <v>5.0011676231343278</v>
      </c>
      <c r="J69" s="2013">
        <v>6.25</v>
      </c>
      <c r="K69" s="2014">
        <v>6.25</v>
      </c>
      <c r="L69" s="2015">
        <v>6.25</v>
      </c>
      <c r="M69" s="2027">
        <v>0</v>
      </c>
      <c r="N69" s="2028">
        <v>0</v>
      </c>
      <c r="O69" s="2016">
        <v>7</v>
      </c>
      <c r="P69" s="2032"/>
      <c r="Q69" s="2045">
        <f t="shared" si="1"/>
        <v>6.1502335246268656</v>
      </c>
      <c r="R69" s="2045">
        <f t="shared" si="2"/>
        <v>6.25</v>
      </c>
      <c r="S69" s="2045">
        <f t="shared" si="3"/>
        <v>7</v>
      </c>
      <c r="T69" s="1827"/>
      <c r="U69" s="2055" t="s">
        <v>75</v>
      </c>
      <c r="V69" s="2056" t="s">
        <v>640</v>
      </c>
      <c r="W69" s="2057" t="s">
        <v>703</v>
      </c>
      <c r="X69" s="2058" t="s">
        <v>8</v>
      </c>
      <c r="Y69" s="2058" t="s">
        <v>643</v>
      </c>
      <c r="Z69" s="2059">
        <v>60</v>
      </c>
      <c r="AA69" s="2054">
        <f t="shared" ca="1" si="4"/>
        <v>0.10416666666666667</v>
      </c>
      <c r="AB69" s="2051">
        <v>13</v>
      </c>
    </row>
    <row r="70" spans="1:28" s="1815" customFormat="1" ht="25.5" x14ac:dyDescent="0.2">
      <c r="A70" s="1824"/>
      <c r="B70" s="2010" t="s">
        <v>1642</v>
      </c>
      <c r="C70" s="2010" t="s">
        <v>1643</v>
      </c>
      <c r="D70" s="2010" t="s">
        <v>8</v>
      </c>
      <c r="E70" s="2010" t="s">
        <v>641</v>
      </c>
      <c r="F70" s="2011">
        <v>30</v>
      </c>
      <c r="G70" s="2045">
        <f t="shared" ca="1" si="5"/>
        <v>17.82</v>
      </c>
      <c r="H70"/>
      <c r="I70" s="2012">
        <v>0</v>
      </c>
      <c r="J70" s="2013">
        <v>13.49</v>
      </c>
      <c r="K70" s="2014">
        <v>15.08</v>
      </c>
      <c r="L70" s="2015">
        <v>17.82</v>
      </c>
      <c r="M70" s="2027">
        <v>0</v>
      </c>
      <c r="N70" s="2028">
        <v>16.896000000000001</v>
      </c>
      <c r="O70" s="2016">
        <v>0</v>
      </c>
      <c r="P70" s="2032"/>
      <c r="Q70" s="2045">
        <f t="shared" si="1"/>
        <v>15.8215</v>
      </c>
      <c r="R70" s="2045">
        <f t="shared" si="2"/>
        <v>13.49</v>
      </c>
      <c r="S70" s="2045">
        <f t="shared" si="3"/>
        <v>17.82</v>
      </c>
      <c r="T70" s="1827"/>
      <c r="U70" s="2055" t="s">
        <v>75</v>
      </c>
      <c r="V70" s="2056" t="s">
        <v>640</v>
      </c>
      <c r="W70" s="2057" t="s">
        <v>703</v>
      </c>
      <c r="X70" s="2058" t="s">
        <v>8</v>
      </c>
      <c r="Y70" s="2058" t="s">
        <v>641</v>
      </c>
      <c r="Z70" s="2059">
        <v>30</v>
      </c>
      <c r="AA70" s="2054">
        <f t="shared" ca="1" si="4"/>
        <v>0.59399999999999997</v>
      </c>
      <c r="AB70" s="2051">
        <v>12</v>
      </c>
    </row>
    <row r="71" spans="1:28" s="1815" customFormat="1" ht="25.5" x14ac:dyDescent="0.2">
      <c r="A71" s="1824"/>
      <c r="B71" s="2010" t="s">
        <v>33</v>
      </c>
      <c r="C71" s="2010" t="s">
        <v>1644</v>
      </c>
      <c r="D71" s="2010" t="s">
        <v>8</v>
      </c>
      <c r="E71" s="2010" t="s">
        <v>637</v>
      </c>
      <c r="F71" s="2011">
        <v>60</v>
      </c>
      <c r="G71" s="2045">
        <f t="shared" ca="1" si="5"/>
        <v>8.0399999999999991</v>
      </c>
      <c r="H71"/>
      <c r="I71" s="2012">
        <v>0</v>
      </c>
      <c r="J71" s="2013">
        <v>5.94</v>
      </c>
      <c r="K71" s="2014">
        <v>6.21</v>
      </c>
      <c r="L71" s="2015">
        <v>8.0399999999999991</v>
      </c>
      <c r="M71" s="2027">
        <v>6.8579999999999997</v>
      </c>
      <c r="N71" s="2028">
        <v>9.15</v>
      </c>
      <c r="O71" s="2016">
        <v>17</v>
      </c>
      <c r="P71" s="2032"/>
      <c r="Q71" s="2045">
        <f t="shared" si="1"/>
        <v>8.8663333333333334</v>
      </c>
      <c r="R71" s="2045">
        <f t="shared" si="2"/>
        <v>6.8579999999999997</v>
      </c>
      <c r="S71" s="2045">
        <f t="shared" si="3"/>
        <v>17</v>
      </c>
      <c r="T71" s="1827"/>
      <c r="U71" s="2055" t="s">
        <v>87</v>
      </c>
      <c r="V71" s="2056" t="s">
        <v>33</v>
      </c>
      <c r="W71" s="2057" t="s">
        <v>690</v>
      </c>
      <c r="X71" s="2058" t="s">
        <v>8</v>
      </c>
      <c r="Y71" s="2058" t="s">
        <v>637</v>
      </c>
      <c r="Z71" s="2059">
        <v>60</v>
      </c>
      <c r="AA71" s="2054">
        <f t="shared" ca="1" si="4"/>
        <v>0.13399999999999998</v>
      </c>
      <c r="AB71" s="2051">
        <v>31</v>
      </c>
    </row>
    <row r="72" spans="1:28" s="1815" customFormat="1" ht="64.5" customHeight="1" x14ac:dyDescent="0.2">
      <c r="A72" s="1824"/>
      <c r="B72" s="2010" t="s">
        <v>33</v>
      </c>
      <c r="C72" s="2010" t="s">
        <v>1644</v>
      </c>
      <c r="D72" s="2010" t="s">
        <v>8</v>
      </c>
      <c r="E72" s="2010" t="s">
        <v>34</v>
      </c>
      <c r="F72" s="2011">
        <v>120</v>
      </c>
      <c r="G72" s="2045">
        <f t="shared" ca="1" si="5"/>
        <v>30.75</v>
      </c>
      <c r="H72"/>
      <c r="I72" s="2012">
        <v>27.506421927238812</v>
      </c>
      <c r="J72" s="2013">
        <v>19.73</v>
      </c>
      <c r="K72" s="2014">
        <v>21.57</v>
      </c>
      <c r="L72" s="2015">
        <v>30.75</v>
      </c>
      <c r="M72" s="2027">
        <v>28.5</v>
      </c>
      <c r="N72" s="2028">
        <v>24.9</v>
      </c>
      <c r="O72" s="2016">
        <v>25</v>
      </c>
      <c r="P72" s="2032"/>
      <c r="Q72" s="2045">
        <f t="shared" si="1"/>
        <v>25.422345989605542</v>
      </c>
      <c r="R72" s="2045">
        <f t="shared" si="2"/>
        <v>25</v>
      </c>
      <c r="S72" s="2045">
        <f t="shared" si="3"/>
        <v>30.75</v>
      </c>
      <c r="T72" s="1827"/>
      <c r="U72" s="2055" t="s">
        <v>87</v>
      </c>
      <c r="V72" s="2056" t="s">
        <v>33</v>
      </c>
      <c r="W72" s="2057" t="s">
        <v>690</v>
      </c>
      <c r="X72" s="2058" t="s">
        <v>8</v>
      </c>
      <c r="Y72" s="2058" t="s">
        <v>34</v>
      </c>
      <c r="Z72" s="2059">
        <v>120</v>
      </c>
      <c r="AA72" s="2054">
        <f t="shared" ca="1" si="4"/>
        <v>0.25624999999999998</v>
      </c>
      <c r="AB72" s="2051">
        <v>30</v>
      </c>
    </row>
    <row r="73" spans="1:28" s="1815" customFormat="1" ht="64.5" customHeight="1" x14ac:dyDescent="0.2">
      <c r="A73" s="1824"/>
      <c r="B73" s="2010" t="s">
        <v>33</v>
      </c>
      <c r="C73" s="2010" t="s">
        <v>1645</v>
      </c>
      <c r="D73" s="2010" t="s">
        <v>1631</v>
      </c>
      <c r="E73" s="2010" t="s">
        <v>47</v>
      </c>
      <c r="F73" s="2011">
        <v>300</v>
      </c>
      <c r="G73" s="2045">
        <f t="shared" ca="1" si="5"/>
        <v>30.82</v>
      </c>
      <c r="H73"/>
      <c r="I73" s="2012">
        <v>31.593687501766681</v>
      </c>
      <c r="J73" s="2013">
        <v>30.82</v>
      </c>
      <c r="K73" s="2014">
        <v>30.82</v>
      </c>
      <c r="L73" s="2015">
        <v>30.82</v>
      </c>
      <c r="M73" s="2027">
        <v>35.49</v>
      </c>
      <c r="N73" s="2028">
        <v>0</v>
      </c>
      <c r="O73" s="2016">
        <v>57.75</v>
      </c>
      <c r="P73" s="2032"/>
      <c r="Q73" s="2045">
        <f t="shared" si="1"/>
        <v>36.215614583627783</v>
      </c>
      <c r="R73" s="2045">
        <f t="shared" si="2"/>
        <v>30.82</v>
      </c>
      <c r="S73" s="2045">
        <f t="shared" si="3"/>
        <v>57.75</v>
      </c>
      <c r="T73" s="1827"/>
      <c r="U73" s="2052" t="s">
        <v>87</v>
      </c>
      <c r="V73" s="2050" t="s">
        <v>33</v>
      </c>
      <c r="W73" s="2050" t="s">
        <v>690</v>
      </c>
      <c r="X73" s="2050" t="s">
        <v>326</v>
      </c>
      <c r="Y73" s="2050" t="s">
        <v>47</v>
      </c>
      <c r="Z73" s="2053">
        <v>60</v>
      </c>
      <c r="AA73" s="2054">
        <f t="shared" ca="1" si="4"/>
        <v>0.10273333333333333</v>
      </c>
      <c r="AB73" s="2051">
        <v>46</v>
      </c>
    </row>
    <row r="74" spans="1:28" s="1815" customFormat="1" ht="25.5" customHeight="1" x14ac:dyDescent="0.2">
      <c r="A74" s="1824"/>
      <c r="B74" s="2010" t="s">
        <v>19</v>
      </c>
      <c r="C74" s="2010" t="s">
        <v>1646</v>
      </c>
      <c r="D74" s="2010" t="s">
        <v>1631</v>
      </c>
      <c r="E74" s="2010" t="s">
        <v>41</v>
      </c>
      <c r="F74" s="2011">
        <v>240</v>
      </c>
      <c r="G74" s="2045">
        <f t="shared" ca="1" si="5"/>
        <v>1.95</v>
      </c>
      <c r="H74"/>
      <c r="I74" s="2012">
        <v>4.6956636626561066</v>
      </c>
      <c r="J74" s="2013">
        <v>1.51</v>
      </c>
      <c r="K74" s="2014">
        <v>1.82</v>
      </c>
      <c r="L74" s="2015">
        <v>1.95</v>
      </c>
      <c r="M74" s="2027">
        <v>2.0640000000000001</v>
      </c>
      <c r="N74" s="2028">
        <v>2.3280000000000003</v>
      </c>
      <c r="O74" s="2016">
        <v>1.8999999999999997</v>
      </c>
      <c r="P74" s="2032"/>
      <c r="Q74" s="2045">
        <f t="shared" si="1"/>
        <v>2.3239519518080152</v>
      </c>
      <c r="R74" s="2045">
        <f t="shared" si="2"/>
        <v>1.95</v>
      </c>
      <c r="S74" s="2045">
        <f t="shared" si="3"/>
        <v>4.6956636626561066</v>
      </c>
      <c r="T74" s="1827"/>
      <c r="U74" s="2052" t="s">
        <v>1490</v>
      </c>
      <c r="V74" s="2050" t="s">
        <v>19</v>
      </c>
      <c r="W74" s="2050" t="s">
        <v>684</v>
      </c>
      <c r="X74" s="2050" t="s">
        <v>1486</v>
      </c>
      <c r="Y74" s="2050" t="s">
        <v>41</v>
      </c>
      <c r="Z74" s="2053">
        <v>240</v>
      </c>
      <c r="AA74" s="2054">
        <f t="shared" ca="1" si="4"/>
        <v>8.1250000000000003E-3</v>
      </c>
      <c r="AB74" s="2051">
        <v>44</v>
      </c>
    </row>
    <row r="75" spans="1:28" s="1815" customFormat="1" ht="25.5" customHeight="1" x14ac:dyDescent="0.2">
      <c r="A75" s="1824"/>
      <c r="B75" s="2010" t="s">
        <v>19</v>
      </c>
      <c r="C75" s="2010" t="s">
        <v>1646</v>
      </c>
      <c r="D75" s="2010" t="s">
        <v>1631</v>
      </c>
      <c r="E75" s="2010" t="s">
        <v>41</v>
      </c>
      <c r="F75" s="2011">
        <v>25</v>
      </c>
      <c r="G75" s="2045">
        <f t="shared" ca="1" si="5"/>
        <v>0</v>
      </c>
      <c r="H75"/>
      <c r="I75" s="2012">
        <v>0</v>
      </c>
      <c r="J75" s="2013">
        <v>0</v>
      </c>
      <c r="K75" s="2014">
        <v>0</v>
      </c>
      <c r="L75" s="2015">
        <v>0</v>
      </c>
      <c r="M75" s="2027">
        <v>0.215</v>
      </c>
      <c r="N75" s="2028">
        <v>0.24249999999999999</v>
      </c>
      <c r="O75" s="2016"/>
      <c r="P75" s="2032"/>
      <c r="Q75" s="2045">
        <f t="shared" si="1"/>
        <v>0.22875000000000001</v>
      </c>
      <c r="R75" s="2045">
        <f t="shared" si="2"/>
        <v>0</v>
      </c>
      <c r="S75" s="2045">
        <f t="shared" si="3"/>
        <v>0.24249999999999999</v>
      </c>
      <c r="T75" s="1827"/>
      <c r="U75" s="2051"/>
      <c r="V75" s="2051"/>
      <c r="W75" s="2051"/>
      <c r="X75" s="2051"/>
      <c r="Y75" s="2051"/>
      <c r="Z75" s="2051"/>
      <c r="AA75" s="2054">
        <f t="shared" ca="1" si="4"/>
        <v>0</v>
      </c>
      <c r="AB75" s="2051"/>
    </row>
    <row r="76" spans="1:28" s="1815" customFormat="1" ht="25.5" customHeight="1" x14ac:dyDescent="0.2">
      <c r="A76" s="1824"/>
      <c r="B76" s="2010" t="s">
        <v>19</v>
      </c>
      <c r="C76" s="2010" t="s">
        <v>1646</v>
      </c>
      <c r="D76" s="2010" t="s">
        <v>1632</v>
      </c>
      <c r="E76" s="2010" t="s">
        <v>248</v>
      </c>
      <c r="F76" s="2011">
        <v>60</v>
      </c>
      <c r="G76" s="2045">
        <f t="shared" ca="1" si="5"/>
        <v>1.25</v>
      </c>
      <c r="H76"/>
      <c r="I76" s="2012">
        <v>0</v>
      </c>
      <c r="J76" s="2013">
        <v>1.25</v>
      </c>
      <c r="K76" s="2014">
        <v>1.25</v>
      </c>
      <c r="L76" s="2015">
        <v>1.25</v>
      </c>
      <c r="M76" s="2027">
        <v>0</v>
      </c>
      <c r="N76" s="2028">
        <v>0</v>
      </c>
      <c r="O76" s="2016"/>
      <c r="P76" s="2032"/>
      <c r="Q76" s="2045">
        <f t="shared" si="1"/>
        <v>1.25</v>
      </c>
      <c r="R76" s="2045">
        <f t="shared" si="2"/>
        <v>0.625</v>
      </c>
      <c r="S76" s="2045">
        <f t="shared" si="3"/>
        <v>1.25</v>
      </c>
      <c r="T76" s="1827"/>
      <c r="U76" s="2055" t="s">
        <v>1490</v>
      </c>
      <c r="V76" s="2056" t="s">
        <v>19</v>
      </c>
      <c r="W76" s="2057" t="s">
        <v>684</v>
      </c>
      <c r="X76" s="2058" t="s">
        <v>8</v>
      </c>
      <c r="Y76" s="2058" t="s">
        <v>248</v>
      </c>
      <c r="Z76" s="2059">
        <v>60</v>
      </c>
      <c r="AA76" s="2054">
        <f t="shared" ca="1" si="4"/>
        <v>2.0833333333333332E-2</v>
      </c>
      <c r="AB76" s="2051">
        <v>21</v>
      </c>
    </row>
    <row r="77" spans="1:28" s="1815" customFormat="1" ht="25.5" customHeight="1" x14ac:dyDescent="0.2">
      <c r="A77" s="1824"/>
      <c r="B77" s="2010" t="s">
        <v>19</v>
      </c>
      <c r="C77" s="2010" t="s">
        <v>1646</v>
      </c>
      <c r="D77" s="2010" t="s">
        <v>8</v>
      </c>
      <c r="E77" s="2010" t="s">
        <v>20</v>
      </c>
      <c r="F77" s="2011">
        <v>60</v>
      </c>
      <c r="G77" s="2045">
        <f t="shared" ca="1" si="5"/>
        <v>2.52</v>
      </c>
      <c r="H77"/>
      <c r="I77" s="2012">
        <v>2.6488854489795921</v>
      </c>
      <c r="J77" s="2013">
        <v>2.1800000000000002</v>
      </c>
      <c r="K77" s="2014">
        <v>2.27</v>
      </c>
      <c r="L77" s="2015">
        <v>2.52</v>
      </c>
      <c r="M77" s="2027">
        <v>2.85</v>
      </c>
      <c r="N77" s="2028">
        <v>3.6659999999999999</v>
      </c>
      <c r="O77" s="2016">
        <v>3</v>
      </c>
      <c r="P77" s="2032"/>
      <c r="Q77" s="2045">
        <f t="shared" si="1"/>
        <v>2.7335550641399418</v>
      </c>
      <c r="R77" s="2045">
        <f t="shared" si="2"/>
        <v>2.6488854489795921</v>
      </c>
      <c r="S77" s="2045">
        <f t="shared" si="3"/>
        <v>3.6659999999999999</v>
      </c>
      <c r="T77" s="1827"/>
      <c r="U77" s="2055" t="s">
        <v>1490</v>
      </c>
      <c r="V77" s="2056" t="s">
        <v>19</v>
      </c>
      <c r="W77" s="2057" t="s">
        <v>684</v>
      </c>
      <c r="X77" s="2058" t="s">
        <v>8</v>
      </c>
      <c r="Y77" s="2058" t="s">
        <v>20</v>
      </c>
      <c r="Z77" s="2059">
        <v>60</v>
      </c>
      <c r="AA77" s="2054">
        <f t="shared" ca="1" si="4"/>
        <v>4.2000000000000003E-2</v>
      </c>
      <c r="AB77" s="2051">
        <v>20</v>
      </c>
    </row>
    <row r="78" spans="1:28" s="1815" customFormat="1" ht="25.5" customHeight="1" x14ac:dyDescent="0.2">
      <c r="A78" s="1824"/>
      <c r="B78" s="2010" t="s">
        <v>329</v>
      </c>
      <c r="C78" s="2010" t="s">
        <v>1647</v>
      </c>
      <c r="D78" s="2010" t="s">
        <v>1648</v>
      </c>
      <c r="E78" s="2010" t="s">
        <v>89</v>
      </c>
      <c r="F78" s="2011">
        <v>60</v>
      </c>
      <c r="G78" s="2045">
        <f t="shared" ca="1" si="5"/>
        <v>0</v>
      </c>
      <c r="H78"/>
      <c r="I78" s="2012">
        <v>0</v>
      </c>
      <c r="J78" s="2013">
        <v>0</v>
      </c>
      <c r="K78" s="2014">
        <v>0</v>
      </c>
      <c r="L78" s="2015">
        <v>0</v>
      </c>
      <c r="M78" s="2027">
        <v>0</v>
      </c>
      <c r="N78" s="2028">
        <v>0</v>
      </c>
      <c r="O78" s="2016">
        <v>0</v>
      </c>
      <c r="P78" s="2032"/>
      <c r="Q78" s="2045" t="e">
        <f t="shared" si="1"/>
        <v>#DIV/0!</v>
      </c>
      <c r="R78" s="2045">
        <f t="shared" si="2"/>
        <v>0</v>
      </c>
      <c r="S78" s="2045">
        <f t="shared" si="3"/>
        <v>0</v>
      </c>
      <c r="T78" s="1827"/>
      <c r="U78" s="2051"/>
      <c r="V78" s="2051"/>
      <c r="W78" s="2051"/>
      <c r="X78" s="2051"/>
      <c r="Y78" s="2051"/>
      <c r="Z78" s="2051"/>
      <c r="AA78" s="2054">
        <f t="shared" ca="1" si="4"/>
        <v>0</v>
      </c>
      <c r="AB78" s="2051"/>
    </row>
    <row r="79" spans="1:28" s="1815" customFormat="1" ht="25.5" customHeight="1" x14ac:dyDescent="0.2">
      <c r="A79" s="1824"/>
      <c r="B79" s="2010" t="s">
        <v>329</v>
      </c>
      <c r="C79" s="2010" t="s">
        <v>1647</v>
      </c>
      <c r="D79" s="2010" t="s">
        <v>8</v>
      </c>
      <c r="E79" s="2010" t="s">
        <v>1639</v>
      </c>
      <c r="F79" s="2011">
        <v>60</v>
      </c>
      <c r="G79" s="2045">
        <f t="shared" ca="1" si="5"/>
        <v>0</v>
      </c>
      <c r="H79"/>
      <c r="I79" s="2012">
        <v>0</v>
      </c>
      <c r="J79" s="2013">
        <v>0</v>
      </c>
      <c r="K79" s="2014">
        <v>0</v>
      </c>
      <c r="L79" s="2015">
        <v>0</v>
      </c>
      <c r="M79" s="2027">
        <v>0</v>
      </c>
      <c r="N79" s="2028">
        <v>0</v>
      </c>
      <c r="O79" s="2016">
        <v>0</v>
      </c>
      <c r="P79" s="2032"/>
      <c r="Q79" s="2045" t="e">
        <f t="shared" si="1"/>
        <v>#DIV/0!</v>
      </c>
      <c r="R79" s="2045">
        <f t="shared" si="2"/>
        <v>0</v>
      </c>
      <c r="S79" s="2045">
        <f t="shared" si="3"/>
        <v>0</v>
      </c>
      <c r="T79" s="1827"/>
      <c r="U79" s="2060"/>
      <c r="V79" s="2051"/>
      <c r="W79" s="2051"/>
      <c r="X79" s="2051"/>
      <c r="Y79" s="2051"/>
      <c r="Z79" s="2051"/>
      <c r="AA79" s="2054">
        <f t="shared" ca="1" si="4"/>
        <v>0</v>
      </c>
      <c r="AB79" s="2051"/>
    </row>
    <row r="80" spans="1:28" s="1815" customFormat="1" ht="26.25" customHeight="1" x14ac:dyDescent="0.2">
      <c r="A80" s="1824"/>
      <c r="B80" s="2010" t="s">
        <v>329</v>
      </c>
      <c r="C80" s="2010" t="s">
        <v>1647</v>
      </c>
      <c r="D80" s="2010" t="s">
        <v>8</v>
      </c>
      <c r="E80" s="2010" t="s">
        <v>32</v>
      </c>
      <c r="F80" s="2011">
        <v>60</v>
      </c>
      <c r="G80" s="2045">
        <f t="shared" ca="1" si="5"/>
        <v>55.5</v>
      </c>
      <c r="H80"/>
      <c r="I80" s="2012">
        <v>49.518473024862935</v>
      </c>
      <c r="J80" s="2013">
        <v>55.5</v>
      </c>
      <c r="K80" s="2014">
        <v>55.5</v>
      </c>
      <c r="L80" s="2015">
        <v>55.5</v>
      </c>
      <c r="M80" s="2027">
        <v>312.45600000000002</v>
      </c>
      <c r="N80" s="2028">
        <v>0</v>
      </c>
      <c r="O80" s="2016">
        <v>0</v>
      </c>
      <c r="P80" s="2032"/>
      <c r="Q80" s="2045">
        <f t="shared" si="1"/>
        <v>105.69489460497259</v>
      </c>
      <c r="R80" s="2045">
        <f t="shared" si="2"/>
        <v>55.5</v>
      </c>
      <c r="S80" s="2045">
        <f t="shared" si="3"/>
        <v>312.45600000000002</v>
      </c>
      <c r="T80" s="1827"/>
      <c r="U80" s="2055" t="s">
        <v>357</v>
      </c>
      <c r="V80" s="2056" t="s">
        <v>329</v>
      </c>
      <c r="W80" s="2057" t="s">
        <v>696</v>
      </c>
      <c r="X80" s="2058" t="s">
        <v>8</v>
      </c>
      <c r="Y80" s="2058" t="s">
        <v>32</v>
      </c>
      <c r="Z80" s="2059">
        <v>60</v>
      </c>
      <c r="AA80" s="2054">
        <f t="shared" ca="1" si="4"/>
        <v>0.92500000000000004</v>
      </c>
      <c r="AB80" s="2051">
        <v>37</v>
      </c>
    </row>
    <row r="81" spans="1:28" s="1815" customFormat="1" ht="26.25" customHeight="1" x14ac:dyDescent="0.2">
      <c r="A81" s="1824"/>
      <c r="B81" s="2010" t="s">
        <v>594</v>
      </c>
      <c r="C81" s="2010" t="s">
        <v>1649</v>
      </c>
      <c r="D81" s="2010" t="s">
        <v>8</v>
      </c>
      <c r="E81" s="2010" t="s">
        <v>1639</v>
      </c>
      <c r="F81" s="2011">
        <v>30</v>
      </c>
      <c r="G81" s="2045">
        <f t="shared" ca="1" si="5"/>
        <v>0</v>
      </c>
      <c r="H81"/>
      <c r="I81" s="2012">
        <v>0</v>
      </c>
      <c r="J81" s="2013">
        <v>0</v>
      </c>
      <c r="K81" s="2014">
        <v>0</v>
      </c>
      <c r="L81" s="2015">
        <v>0</v>
      </c>
      <c r="M81" s="2027">
        <v>0</v>
      </c>
      <c r="N81" s="2028">
        <v>0</v>
      </c>
      <c r="O81" s="2016">
        <v>0</v>
      </c>
      <c r="P81" s="2032"/>
      <c r="Q81" s="2045" t="e">
        <f t="shared" si="1"/>
        <v>#DIV/0!</v>
      </c>
      <c r="R81" s="2045">
        <f t="shared" si="2"/>
        <v>0</v>
      </c>
      <c r="S81" s="2045">
        <f t="shared" si="3"/>
        <v>0</v>
      </c>
      <c r="T81" s="1827"/>
      <c r="U81" s="2060"/>
      <c r="V81" s="2051"/>
      <c r="W81" s="2051"/>
      <c r="X81" s="2051"/>
      <c r="Y81" s="2051"/>
      <c r="Z81" s="2051"/>
      <c r="AA81" s="2054">
        <f t="shared" ca="1" si="4"/>
        <v>0</v>
      </c>
      <c r="AB81" s="2051"/>
    </row>
    <row r="82" spans="1:28" s="1815" customFormat="1" x14ac:dyDescent="0.2">
      <c r="A82" s="1824"/>
      <c r="B82" s="2010" t="s">
        <v>70</v>
      </c>
      <c r="C82" s="2010" t="s">
        <v>692</v>
      </c>
      <c r="D82" s="2010" t="s">
        <v>163</v>
      </c>
      <c r="E82" s="2010" t="s">
        <v>89</v>
      </c>
      <c r="F82" s="2011">
        <v>60</v>
      </c>
      <c r="G82" s="2045">
        <f t="shared" ca="1" si="5"/>
        <v>6.85</v>
      </c>
      <c r="H82"/>
      <c r="I82" s="2012">
        <v>5.9968714577368258</v>
      </c>
      <c r="J82" s="2013">
        <v>6.85</v>
      </c>
      <c r="K82" s="2014">
        <v>6.85</v>
      </c>
      <c r="L82" s="2015">
        <v>6.85</v>
      </c>
      <c r="M82" s="2027">
        <v>6.1980000000000004</v>
      </c>
      <c r="N82" s="2028">
        <v>39.095999999999997</v>
      </c>
      <c r="O82" s="2016">
        <v>7.5</v>
      </c>
      <c r="P82" s="2032"/>
      <c r="Q82" s="2045">
        <f t="shared" si="1"/>
        <v>11.334410208248118</v>
      </c>
      <c r="R82" s="2045">
        <f t="shared" si="2"/>
        <v>6.85</v>
      </c>
      <c r="S82" s="2045">
        <f t="shared" si="3"/>
        <v>39.095999999999997</v>
      </c>
      <c r="T82" s="1827"/>
      <c r="U82" s="2055" t="s">
        <v>87</v>
      </c>
      <c r="V82" s="2056" t="s">
        <v>70</v>
      </c>
      <c r="W82" s="2057" t="s">
        <v>692</v>
      </c>
      <c r="X82" s="2058" t="s">
        <v>1483</v>
      </c>
      <c r="Y82" s="2058" t="s">
        <v>89</v>
      </c>
      <c r="Z82" s="2059">
        <v>84</v>
      </c>
      <c r="AA82" s="2054">
        <f t="shared" ca="1" si="4"/>
        <v>0.11416666666666667</v>
      </c>
      <c r="AB82" s="2051">
        <v>33</v>
      </c>
    </row>
    <row r="83" spans="1:28" s="1815" customFormat="1" x14ac:dyDescent="0.2">
      <c r="A83" s="1824"/>
      <c r="B83" s="2010" t="s">
        <v>68</v>
      </c>
      <c r="C83" s="2010" t="s">
        <v>693</v>
      </c>
      <c r="D83" s="2010" t="s">
        <v>8</v>
      </c>
      <c r="E83" s="2010" t="s">
        <v>256</v>
      </c>
      <c r="F83" s="2011">
        <v>120</v>
      </c>
      <c r="G83" s="2045">
        <f t="shared" ca="1" si="5"/>
        <v>104.38</v>
      </c>
      <c r="H83"/>
      <c r="I83" s="2012">
        <v>0</v>
      </c>
      <c r="J83" s="2013">
        <v>104.38</v>
      </c>
      <c r="K83" s="2014">
        <v>104.38</v>
      </c>
      <c r="L83" s="2015">
        <v>104.38</v>
      </c>
      <c r="M83" s="2027">
        <v>0</v>
      </c>
      <c r="N83" s="2028">
        <v>0</v>
      </c>
      <c r="O83" s="2016">
        <v>0</v>
      </c>
      <c r="P83" s="2032"/>
      <c r="Q83" s="2045">
        <f t="shared" si="1"/>
        <v>104.38</v>
      </c>
      <c r="R83" s="2045">
        <f t="shared" si="2"/>
        <v>0</v>
      </c>
      <c r="S83" s="2045">
        <f t="shared" si="3"/>
        <v>104.38</v>
      </c>
      <c r="T83" s="1827"/>
      <c r="U83" s="2055" t="s">
        <v>87</v>
      </c>
      <c r="V83" s="2056" t="s">
        <v>68</v>
      </c>
      <c r="W83" s="2057" t="s">
        <v>693</v>
      </c>
      <c r="X83" s="2058" t="s">
        <v>8</v>
      </c>
      <c r="Y83" s="2058" t="s">
        <v>256</v>
      </c>
      <c r="Z83" s="2059">
        <v>120</v>
      </c>
      <c r="AA83" s="2054">
        <f t="shared" ca="1" si="4"/>
        <v>0.86983333333333335</v>
      </c>
      <c r="AB83" s="2051">
        <v>34</v>
      </c>
    </row>
    <row r="84" spans="1:28" s="1815" customFormat="1" x14ac:dyDescent="0.2">
      <c r="A84" s="1824"/>
      <c r="B84" s="2010" t="s">
        <v>61</v>
      </c>
      <c r="C84" s="2010" t="s">
        <v>685</v>
      </c>
      <c r="D84" s="2010" t="s">
        <v>1631</v>
      </c>
      <c r="E84" s="2010" t="s">
        <v>41</v>
      </c>
      <c r="F84" s="2011">
        <v>200</v>
      </c>
      <c r="G84" s="2045">
        <f t="shared" ca="1" si="5"/>
        <v>1.25</v>
      </c>
      <c r="H84"/>
      <c r="I84" s="2012">
        <v>1.4030481983703929</v>
      </c>
      <c r="J84" s="2013">
        <v>1.25</v>
      </c>
      <c r="K84" s="2014">
        <v>1.25</v>
      </c>
      <c r="L84" s="2015">
        <v>1.25</v>
      </c>
      <c r="M84" s="2027">
        <v>1.44</v>
      </c>
      <c r="N84" s="2028">
        <v>1.66</v>
      </c>
      <c r="O84" s="2016">
        <v>1.1666666666666665</v>
      </c>
      <c r="P84" s="2032"/>
      <c r="Q84" s="2045">
        <f t="shared" si="1"/>
        <v>1.3456735521481513</v>
      </c>
      <c r="R84" s="2045">
        <f t="shared" si="2"/>
        <v>1.25</v>
      </c>
      <c r="S84" s="2045">
        <f t="shared" si="3"/>
        <v>1.66</v>
      </c>
      <c r="T84" s="1827"/>
      <c r="U84" s="2052" t="s">
        <v>1489</v>
      </c>
      <c r="V84" s="2050" t="s">
        <v>61</v>
      </c>
      <c r="W84" s="2050" t="s">
        <v>685</v>
      </c>
      <c r="X84" s="2050" t="s">
        <v>1486</v>
      </c>
      <c r="Y84" s="2050" t="s">
        <v>41</v>
      </c>
      <c r="Z84" s="2053">
        <v>240</v>
      </c>
      <c r="AA84" s="2054">
        <f t="shared" ca="1" si="4"/>
        <v>6.2500000000000003E-3</v>
      </c>
      <c r="AB84" s="2051">
        <v>40</v>
      </c>
    </row>
    <row r="85" spans="1:28" s="1815" customFormat="1" x14ac:dyDescent="0.2">
      <c r="A85" s="1824"/>
      <c r="B85" s="2010" t="s">
        <v>61</v>
      </c>
      <c r="C85" s="2010" t="s">
        <v>685</v>
      </c>
      <c r="D85" s="2010" t="s">
        <v>8</v>
      </c>
      <c r="E85" s="2010" t="s">
        <v>1650</v>
      </c>
      <c r="F85" s="2011">
        <v>60</v>
      </c>
      <c r="G85" s="2045">
        <f t="shared" ca="1" si="5"/>
        <v>0</v>
      </c>
      <c r="H85"/>
      <c r="I85" s="2012">
        <v>0</v>
      </c>
      <c r="J85" s="2013">
        <v>0</v>
      </c>
      <c r="K85" s="2014">
        <v>0</v>
      </c>
      <c r="L85" s="2015">
        <v>0</v>
      </c>
      <c r="M85" s="2027">
        <v>1.6020000000000001</v>
      </c>
      <c r="N85" s="2028">
        <v>1.3740000000000001</v>
      </c>
      <c r="O85" s="2016">
        <v>1.4</v>
      </c>
      <c r="P85" s="2032"/>
      <c r="Q85" s="2045">
        <f t="shared" si="1"/>
        <v>1.4586666666666666</v>
      </c>
      <c r="R85" s="2045">
        <f t="shared" si="2"/>
        <v>0</v>
      </c>
      <c r="S85" s="2045">
        <f t="shared" si="3"/>
        <v>1.6020000000000001</v>
      </c>
      <c r="T85" s="1827"/>
      <c r="U85" s="2060"/>
      <c r="V85" s="2051"/>
      <c r="W85" s="2051"/>
      <c r="X85" s="2051"/>
      <c r="Y85" s="2051"/>
      <c r="Z85" s="2051"/>
      <c r="AA85" s="2054">
        <f t="shared" ca="1" si="4"/>
        <v>0</v>
      </c>
      <c r="AB85" s="2051"/>
    </row>
    <row r="86" spans="1:28" s="1815" customFormat="1" x14ac:dyDescent="0.2">
      <c r="A86" s="1824"/>
      <c r="B86" s="2010" t="s">
        <v>61</v>
      </c>
      <c r="C86" s="2010" t="s">
        <v>685</v>
      </c>
      <c r="D86" s="2010" t="s">
        <v>8</v>
      </c>
      <c r="E86" s="2010" t="s">
        <v>1651</v>
      </c>
      <c r="F86" s="2011">
        <v>60</v>
      </c>
      <c r="G86" s="2045">
        <f t="shared" ca="1" si="5"/>
        <v>1.3</v>
      </c>
      <c r="H86"/>
      <c r="I86" s="2012">
        <v>0</v>
      </c>
      <c r="J86" s="2013">
        <v>1.3</v>
      </c>
      <c r="K86" s="2014">
        <v>1.3</v>
      </c>
      <c r="L86" s="2015">
        <v>1.3</v>
      </c>
      <c r="M86" s="2027">
        <v>1.8240000000000001</v>
      </c>
      <c r="N86" s="2028">
        <v>1.4159999999999999</v>
      </c>
      <c r="O86" s="2016">
        <v>1.45</v>
      </c>
      <c r="P86" s="2032"/>
      <c r="Q86" s="2045">
        <f t="shared" si="1"/>
        <v>1.4316666666666666</v>
      </c>
      <c r="R86" s="2045">
        <f t="shared" si="2"/>
        <v>1.3</v>
      </c>
      <c r="S86" s="2045">
        <f t="shared" si="3"/>
        <v>1.8240000000000001</v>
      </c>
      <c r="T86" s="1827"/>
      <c r="U86" s="2060"/>
      <c r="V86" s="2051"/>
      <c r="W86" s="2051"/>
      <c r="X86" s="2051"/>
      <c r="Y86" s="2051"/>
      <c r="Z86" s="2051"/>
      <c r="AA86" s="2054">
        <f t="shared" ca="1" si="4"/>
        <v>2.1666666666666667E-2</v>
      </c>
      <c r="AB86" s="2051"/>
    </row>
    <row r="87" spans="1:28" s="1815" customFormat="1" x14ac:dyDescent="0.2">
      <c r="A87" s="1824"/>
      <c r="B87" s="2010" t="s">
        <v>61</v>
      </c>
      <c r="C87" s="2010" t="s">
        <v>685</v>
      </c>
      <c r="D87" s="2010" t="s">
        <v>8</v>
      </c>
      <c r="E87" s="2010" t="s">
        <v>250</v>
      </c>
      <c r="F87" s="2011">
        <v>60</v>
      </c>
      <c r="G87" s="2045">
        <f t="shared" ca="1" si="5"/>
        <v>1.4</v>
      </c>
      <c r="H87"/>
      <c r="I87" s="2012">
        <v>0</v>
      </c>
      <c r="J87" s="2013">
        <v>1.4</v>
      </c>
      <c r="K87" s="2014">
        <v>1.4</v>
      </c>
      <c r="L87" s="2015">
        <v>1.4</v>
      </c>
      <c r="M87" s="2027">
        <v>2.556</v>
      </c>
      <c r="N87" s="2028">
        <v>1.8780000000000001</v>
      </c>
      <c r="O87" s="2016">
        <v>2</v>
      </c>
      <c r="P87" s="2032"/>
      <c r="Q87" s="2045">
        <f t="shared" si="1"/>
        <v>1.7723333333333333</v>
      </c>
      <c r="R87" s="2045">
        <f t="shared" si="2"/>
        <v>1.4</v>
      </c>
      <c r="S87" s="2045">
        <f t="shared" si="3"/>
        <v>2.556</v>
      </c>
      <c r="T87" s="1827"/>
      <c r="U87" s="2060"/>
      <c r="V87" s="2051"/>
      <c r="W87" s="2051"/>
      <c r="X87" s="2051"/>
      <c r="Y87" s="2051"/>
      <c r="Z87" s="2051"/>
      <c r="AA87" s="2054">
        <f t="shared" ca="1" si="4"/>
        <v>2.3333333333333331E-2</v>
      </c>
      <c r="AB87" s="2051"/>
    </row>
    <row r="88" spans="1:28" s="1815" customFormat="1" ht="25.5" x14ac:dyDescent="0.2">
      <c r="A88" s="1824"/>
      <c r="B88" s="2010" t="s">
        <v>1652</v>
      </c>
      <c r="C88" s="2010" t="s">
        <v>1653</v>
      </c>
      <c r="D88" s="2010" t="s">
        <v>8</v>
      </c>
      <c r="E88" s="2010" t="s">
        <v>83</v>
      </c>
      <c r="F88" s="2011">
        <v>60</v>
      </c>
      <c r="G88" s="2045">
        <f t="shared" ca="1" si="5"/>
        <v>2.92</v>
      </c>
      <c r="H88"/>
      <c r="I88" s="2012">
        <v>2.700314507653061</v>
      </c>
      <c r="J88" s="2013">
        <v>2.4900000000000002</v>
      </c>
      <c r="K88" s="2014">
        <v>2.52</v>
      </c>
      <c r="L88" s="2015">
        <v>2.92</v>
      </c>
      <c r="M88" s="2027">
        <v>3.6179999999999999</v>
      </c>
      <c r="N88" s="2028">
        <v>3.9179999999999997</v>
      </c>
      <c r="O88" s="2016">
        <v>3.75</v>
      </c>
      <c r="P88" s="2032"/>
      <c r="Q88" s="2045">
        <f t="shared" si="1"/>
        <v>3.1309020725218661</v>
      </c>
      <c r="R88" s="2045">
        <f t="shared" si="2"/>
        <v>2.92</v>
      </c>
      <c r="S88" s="2045">
        <f t="shared" si="3"/>
        <v>3.9179999999999997</v>
      </c>
      <c r="T88" s="1827"/>
      <c r="U88" s="2055" t="s">
        <v>75</v>
      </c>
      <c r="V88" s="2056" t="s">
        <v>81</v>
      </c>
      <c r="W88" s="2057" t="s">
        <v>705</v>
      </c>
      <c r="X88" s="2058" t="s">
        <v>8</v>
      </c>
      <c r="Y88" s="2058" t="s">
        <v>83</v>
      </c>
      <c r="Z88" s="2059">
        <v>60</v>
      </c>
      <c r="AA88" s="2054">
        <f t="shared" ca="1" si="4"/>
        <v>4.8666666666666664E-2</v>
      </c>
      <c r="AB88" s="2051">
        <v>10</v>
      </c>
    </row>
    <row r="89" spans="1:28" s="1815" customFormat="1" ht="25.5" x14ac:dyDescent="0.2">
      <c r="A89" s="1824"/>
      <c r="B89" s="2010" t="s">
        <v>1652</v>
      </c>
      <c r="C89" s="2010" t="s">
        <v>1653</v>
      </c>
      <c r="D89" s="2010" t="s">
        <v>8</v>
      </c>
      <c r="E89" s="2010" t="s">
        <v>1654</v>
      </c>
      <c r="F89" s="2011">
        <v>60</v>
      </c>
      <c r="G89" s="2045">
        <f t="shared" ca="1" si="5"/>
        <v>3.3</v>
      </c>
      <c r="H89"/>
      <c r="I89" s="2012">
        <v>0</v>
      </c>
      <c r="J89" s="2013">
        <v>3.3</v>
      </c>
      <c r="K89" s="2014">
        <v>3.3</v>
      </c>
      <c r="L89" s="2015">
        <v>3.3</v>
      </c>
      <c r="M89" s="2027">
        <v>0</v>
      </c>
      <c r="N89" s="2028">
        <v>0</v>
      </c>
      <c r="O89" s="2016"/>
      <c r="P89" s="2032"/>
      <c r="Q89" s="2045">
        <f t="shared" si="1"/>
        <v>3.2999999999999994</v>
      </c>
      <c r="R89" s="2045">
        <f t="shared" si="2"/>
        <v>1.65</v>
      </c>
      <c r="S89" s="2045">
        <f t="shared" si="3"/>
        <v>3.3</v>
      </c>
      <c r="T89" s="1827"/>
      <c r="U89" s="2051"/>
      <c r="V89" s="2051"/>
      <c r="W89" s="2051"/>
      <c r="X89" s="2051"/>
      <c r="Y89" s="2051"/>
      <c r="Z89" s="2051"/>
      <c r="AA89" s="2054">
        <f t="shared" ca="1" si="4"/>
        <v>5.5E-2</v>
      </c>
      <c r="AB89" s="2051"/>
    </row>
    <row r="90" spans="1:28" s="1815" customFormat="1" ht="25.5" x14ac:dyDescent="0.2">
      <c r="A90" s="1824"/>
      <c r="B90" s="2010" t="s">
        <v>1652</v>
      </c>
      <c r="C90" s="2010" t="s">
        <v>1653</v>
      </c>
      <c r="D90" s="2010" t="s">
        <v>1632</v>
      </c>
      <c r="E90" s="2010" t="s">
        <v>733</v>
      </c>
      <c r="F90" s="2011">
        <v>60</v>
      </c>
      <c r="G90" s="2045">
        <f t="shared" ca="1" si="5"/>
        <v>1.9</v>
      </c>
      <c r="H90"/>
      <c r="I90" s="2012">
        <v>0</v>
      </c>
      <c r="J90" s="2013">
        <v>1.9</v>
      </c>
      <c r="K90" s="2014">
        <v>1.9</v>
      </c>
      <c r="L90" s="2015">
        <v>1.9</v>
      </c>
      <c r="M90" s="2027">
        <v>2.6339999999999999</v>
      </c>
      <c r="N90" s="2028">
        <v>0</v>
      </c>
      <c r="O90" s="2016">
        <v>1.8999999999999997</v>
      </c>
      <c r="P90" s="2032"/>
      <c r="Q90" s="2045">
        <f t="shared" si="1"/>
        <v>2.0468000000000002</v>
      </c>
      <c r="R90" s="2045">
        <f t="shared" si="2"/>
        <v>1.9</v>
      </c>
      <c r="S90" s="2045">
        <f t="shared" si="3"/>
        <v>2.6339999999999999</v>
      </c>
      <c r="T90" s="1827"/>
      <c r="U90" s="2055" t="s">
        <v>75</v>
      </c>
      <c r="V90" s="2056" t="s">
        <v>81</v>
      </c>
      <c r="W90" s="2057" t="s">
        <v>705</v>
      </c>
      <c r="X90" s="2058" t="s">
        <v>8</v>
      </c>
      <c r="Y90" s="2058" t="s">
        <v>733</v>
      </c>
      <c r="Z90" s="2059">
        <v>60</v>
      </c>
      <c r="AA90" s="2054">
        <f t="shared" ca="1" si="4"/>
        <v>3.1666666666666662E-2</v>
      </c>
      <c r="AB90" s="2051">
        <v>11</v>
      </c>
    </row>
    <row r="91" spans="1:28" s="1815" customFormat="1" ht="51" x14ac:dyDescent="0.2">
      <c r="A91" s="1824"/>
      <c r="B91" s="2010" t="s">
        <v>1655</v>
      </c>
      <c r="C91" s="2010" t="s">
        <v>1656</v>
      </c>
      <c r="D91" s="2010" t="s">
        <v>8</v>
      </c>
      <c r="E91" s="2010" t="s">
        <v>80</v>
      </c>
      <c r="F91" s="2011">
        <v>60</v>
      </c>
      <c r="G91" s="2045">
        <f t="shared" ca="1" si="5"/>
        <v>4.57</v>
      </c>
      <c r="H91"/>
      <c r="I91" s="2012">
        <v>0</v>
      </c>
      <c r="J91" s="2013">
        <v>4.25</v>
      </c>
      <c r="K91" s="2014">
        <v>4.3099999999999996</v>
      </c>
      <c r="L91" s="2015">
        <v>4.57</v>
      </c>
      <c r="M91" s="2027">
        <v>6.2279999999999998</v>
      </c>
      <c r="N91" s="2028">
        <v>6.87</v>
      </c>
      <c r="O91" s="2016">
        <v>6.58</v>
      </c>
      <c r="P91" s="2032"/>
      <c r="Q91" s="2045">
        <f t="shared" si="1"/>
        <v>5.468</v>
      </c>
      <c r="R91" s="2045">
        <f t="shared" si="2"/>
        <v>4.57</v>
      </c>
      <c r="S91" s="2045">
        <f t="shared" si="3"/>
        <v>6.87</v>
      </c>
      <c r="T91" s="1827"/>
      <c r="U91" s="2061" t="s">
        <v>75</v>
      </c>
      <c r="V91" s="2056" t="s">
        <v>50</v>
      </c>
      <c r="W91" s="2057" t="s">
        <v>704</v>
      </c>
      <c r="X91" s="2058" t="s">
        <v>8</v>
      </c>
      <c r="Y91" s="2058" t="s">
        <v>80</v>
      </c>
      <c r="Z91" s="2059">
        <v>60</v>
      </c>
      <c r="AA91" s="2054">
        <f t="shared" ca="1" si="4"/>
        <v>7.6166666666666674E-2</v>
      </c>
      <c r="AB91" s="2051">
        <v>8</v>
      </c>
    </row>
    <row r="92" spans="1:28" s="1815" customFormat="1" ht="38.25" x14ac:dyDescent="0.2">
      <c r="A92" s="1824"/>
      <c r="B92" s="2010" t="s">
        <v>1655</v>
      </c>
      <c r="C92" s="2010" t="s">
        <v>1656</v>
      </c>
      <c r="D92" s="2010" t="s">
        <v>8</v>
      </c>
      <c r="E92" s="2010" t="s">
        <v>1657</v>
      </c>
      <c r="F92" s="2011">
        <v>60</v>
      </c>
      <c r="G92" s="2045">
        <f t="shared" ca="1" si="5"/>
        <v>4.3</v>
      </c>
      <c r="H92"/>
      <c r="I92" s="2012">
        <v>0</v>
      </c>
      <c r="J92" s="2013">
        <v>4.3</v>
      </c>
      <c r="K92" s="2014">
        <v>4.3</v>
      </c>
      <c r="L92" s="2015">
        <v>4.3</v>
      </c>
      <c r="M92" s="2027">
        <v>4.68</v>
      </c>
      <c r="N92" s="2028">
        <v>4.6739999999999995</v>
      </c>
      <c r="O92" s="2016"/>
      <c r="P92" s="2032"/>
      <c r="Q92" s="2045">
        <f t="shared" si="1"/>
        <v>4.4507999999999992</v>
      </c>
      <c r="R92" s="2045">
        <f t="shared" si="2"/>
        <v>4.3</v>
      </c>
      <c r="S92" s="2045">
        <f t="shared" si="3"/>
        <v>4.68</v>
      </c>
      <c r="T92" s="1827"/>
      <c r="U92" s="2051"/>
      <c r="V92" s="2051"/>
      <c r="W92" s="2051"/>
      <c r="X92" s="2051"/>
      <c r="Y92" s="2051"/>
      <c r="Z92" s="2051"/>
      <c r="AA92" s="2054">
        <f t="shared" ca="1" si="4"/>
        <v>7.166666666666667E-2</v>
      </c>
      <c r="AB92" s="2051"/>
    </row>
    <row r="93" spans="1:28" s="1815" customFormat="1" ht="51" x14ac:dyDescent="0.2">
      <c r="A93" s="1824"/>
      <c r="B93" s="2010" t="s">
        <v>1655</v>
      </c>
      <c r="C93" s="2010" t="s">
        <v>1656</v>
      </c>
      <c r="D93" s="2010" t="s">
        <v>1632</v>
      </c>
      <c r="E93" s="2010" t="s">
        <v>131</v>
      </c>
      <c r="F93" s="2011">
        <v>60</v>
      </c>
      <c r="G93" s="2045">
        <f t="shared" ca="1" si="5"/>
        <v>2.2999999999999998</v>
      </c>
      <c r="H93"/>
      <c r="I93" s="2012">
        <v>0</v>
      </c>
      <c r="J93" s="2013">
        <v>2.25</v>
      </c>
      <c r="K93" s="2014">
        <v>2.25</v>
      </c>
      <c r="L93" s="2015">
        <v>2.2999999999999998</v>
      </c>
      <c r="M93" s="2027">
        <v>2.7719999999999998</v>
      </c>
      <c r="N93" s="2028">
        <v>2.6040000000000001</v>
      </c>
      <c r="O93" s="2016">
        <v>2.2999999999999998</v>
      </c>
      <c r="P93" s="2032"/>
      <c r="Q93" s="2045">
        <f t="shared" si="1"/>
        <v>2.4126666666666665</v>
      </c>
      <c r="R93" s="2045">
        <f t="shared" si="2"/>
        <v>2.2999999999999998</v>
      </c>
      <c r="S93" s="2045">
        <f t="shared" si="3"/>
        <v>2.7719999999999998</v>
      </c>
      <c r="T93" s="1827"/>
      <c r="U93" s="2061" t="s">
        <v>75</v>
      </c>
      <c r="V93" s="2056" t="s">
        <v>50</v>
      </c>
      <c r="W93" s="2057" t="s">
        <v>704</v>
      </c>
      <c r="X93" s="2058" t="s">
        <v>8</v>
      </c>
      <c r="Y93" s="2058" t="s">
        <v>131</v>
      </c>
      <c r="Z93" s="2059">
        <v>60</v>
      </c>
      <c r="AA93" s="2054">
        <f t="shared" ca="1" si="4"/>
        <v>3.833333333333333E-2</v>
      </c>
      <c r="AB93" s="2051">
        <v>9</v>
      </c>
    </row>
    <row r="94" spans="1:28" s="1815" customFormat="1" x14ac:dyDescent="0.2">
      <c r="A94" s="1824"/>
      <c r="B94" s="2010" t="s">
        <v>22</v>
      </c>
      <c r="C94" s="2010" t="s">
        <v>1658</v>
      </c>
      <c r="D94" s="2010" t="s">
        <v>8</v>
      </c>
      <c r="E94" s="2010" t="s">
        <v>23</v>
      </c>
      <c r="F94" s="2011">
        <v>30</v>
      </c>
      <c r="G94" s="2045">
        <f t="shared" ca="1" si="5"/>
        <v>4</v>
      </c>
      <c r="H94"/>
      <c r="I94" s="2012">
        <v>0</v>
      </c>
      <c r="J94" s="2013">
        <v>3.55</v>
      </c>
      <c r="K94" s="2014">
        <v>3.7</v>
      </c>
      <c r="L94" s="2015">
        <v>4</v>
      </c>
      <c r="M94" s="2027">
        <v>4.74</v>
      </c>
      <c r="N94" s="2028">
        <v>4.7610000000000001</v>
      </c>
      <c r="O94" s="2016">
        <v>4.5</v>
      </c>
      <c r="P94" s="2032"/>
      <c r="Q94" s="2045">
        <f t="shared" si="1"/>
        <v>4.2084999999999999</v>
      </c>
      <c r="R94" s="2045">
        <f t="shared" si="2"/>
        <v>4</v>
      </c>
      <c r="S94" s="2045">
        <f t="shared" si="3"/>
        <v>4.7610000000000001</v>
      </c>
      <c r="T94" s="1827"/>
      <c r="U94" s="2055" t="s">
        <v>1490</v>
      </c>
      <c r="V94" s="2056" t="s">
        <v>22</v>
      </c>
      <c r="W94" s="2057" t="s">
        <v>689</v>
      </c>
      <c r="X94" s="2058" t="s">
        <v>8</v>
      </c>
      <c r="Y94" s="2058" t="s">
        <v>23</v>
      </c>
      <c r="Z94" s="2059">
        <v>30</v>
      </c>
      <c r="AA94" s="2054">
        <f t="shared" ca="1" si="4"/>
        <v>0.13333333333333333</v>
      </c>
      <c r="AB94" s="2051">
        <v>29</v>
      </c>
    </row>
    <row r="95" spans="1:28" s="1815" customFormat="1" x14ac:dyDescent="0.2">
      <c r="A95" s="1824"/>
      <c r="B95" s="2010" t="s">
        <v>22</v>
      </c>
      <c r="C95" s="2010" t="s">
        <v>1658</v>
      </c>
      <c r="D95" s="2010" t="s">
        <v>1634</v>
      </c>
      <c r="E95" s="2010" t="s">
        <v>1659</v>
      </c>
      <c r="F95" s="2011">
        <v>60</v>
      </c>
      <c r="G95" s="2045">
        <f t="shared" ca="1" si="5"/>
        <v>0</v>
      </c>
      <c r="H95"/>
      <c r="I95" s="2012">
        <v>0</v>
      </c>
      <c r="J95" s="2013">
        <v>0</v>
      </c>
      <c r="K95" s="2014">
        <v>0</v>
      </c>
      <c r="L95" s="2015">
        <v>0</v>
      </c>
      <c r="M95" s="2027">
        <v>0</v>
      </c>
      <c r="N95" s="2028">
        <v>0</v>
      </c>
      <c r="O95" s="2016">
        <v>0</v>
      </c>
      <c r="P95" s="2032"/>
      <c r="Q95" s="2045" t="e">
        <f t="shared" si="1"/>
        <v>#DIV/0!</v>
      </c>
      <c r="R95" s="2045">
        <f t="shared" si="2"/>
        <v>0</v>
      </c>
      <c r="S95" s="2045">
        <f t="shared" si="3"/>
        <v>0</v>
      </c>
      <c r="T95" s="1827"/>
      <c r="U95" s="2051"/>
      <c r="V95" s="2051"/>
      <c r="W95" s="2051"/>
      <c r="X95" s="2051"/>
      <c r="Y95" s="2051"/>
      <c r="Z95" s="2051"/>
      <c r="AA95" s="2054">
        <f t="shared" ca="1" si="4"/>
        <v>0</v>
      </c>
      <c r="AB95" s="2051"/>
    </row>
    <row r="96" spans="1:28" s="1815" customFormat="1" ht="38.25" x14ac:dyDescent="0.2">
      <c r="A96" s="1824"/>
      <c r="B96" s="2010" t="s">
        <v>1660</v>
      </c>
      <c r="C96" s="2010" t="s">
        <v>1661</v>
      </c>
      <c r="D96" s="2010" t="s">
        <v>8</v>
      </c>
      <c r="E96" s="2010" t="s">
        <v>24</v>
      </c>
      <c r="F96" s="2011">
        <v>30</v>
      </c>
      <c r="G96" s="2045">
        <f t="shared" ref="G96:G122" ca="1" si="6">OFFSET(I96,,$L$23,,)</f>
        <v>5.93</v>
      </c>
      <c r="H96"/>
      <c r="I96" s="2012">
        <v>5.9516090562747488</v>
      </c>
      <c r="J96" s="2013">
        <v>5.9</v>
      </c>
      <c r="K96" s="2014">
        <v>5.92</v>
      </c>
      <c r="L96" s="2015">
        <v>5.93</v>
      </c>
      <c r="M96" s="2027">
        <v>6.8280000000000003</v>
      </c>
      <c r="N96" s="2028">
        <v>6.7769999999999992</v>
      </c>
      <c r="O96" s="2016">
        <v>6.25</v>
      </c>
      <c r="P96" s="2032"/>
      <c r="Q96" s="2045">
        <f t="shared" si="1"/>
        <v>6.2223727223249634</v>
      </c>
      <c r="R96" s="2045">
        <f t="shared" si="2"/>
        <v>5.9516090562747488</v>
      </c>
      <c r="S96" s="2045">
        <f t="shared" si="3"/>
        <v>6.8280000000000003</v>
      </c>
      <c r="T96" s="1827"/>
      <c r="U96" s="2055" t="s">
        <v>75</v>
      </c>
      <c r="V96" s="2056" t="s">
        <v>142</v>
      </c>
      <c r="W96" s="2057" t="s">
        <v>707</v>
      </c>
      <c r="X96" s="2058" t="s">
        <v>8</v>
      </c>
      <c r="Y96" s="2058" t="s">
        <v>24</v>
      </c>
      <c r="Z96" s="2059">
        <v>30</v>
      </c>
      <c r="AA96" s="2054">
        <f t="shared" ca="1" si="4"/>
        <v>0.19766666666666666</v>
      </c>
      <c r="AB96" s="2051">
        <v>15</v>
      </c>
    </row>
    <row r="97" spans="1:28" s="1815" customFormat="1" ht="51" x14ac:dyDescent="0.2">
      <c r="A97" s="1824"/>
      <c r="B97" s="2010" t="s">
        <v>1662</v>
      </c>
      <c r="C97" s="2010" t="s">
        <v>1663</v>
      </c>
      <c r="D97" s="2010" t="s">
        <v>8</v>
      </c>
      <c r="E97" s="2010" t="s">
        <v>244</v>
      </c>
      <c r="F97" s="2011">
        <v>30</v>
      </c>
      <c r="G97" s="2045">
        <f t="shared" ca="1" si="6"/>
        <v>14.49</v>
      </c>
      <c r="H97"/>
      <c r="I97" s="2012">
        <v>16.282081188691745</v>
      </c>
      <c r="J97" s="2013">
        <v>12.49</v>
      </c>
      <c r="K97" s="2014">
        <v>12.69</v>
      </c>
      <c r="L97" s="2015">
        <v>14.49</v>
      </c>
      <c r="M97" s="2027">
        <v>14.991</v>
      </c>
      <c r="N97" s="2028">
        <v>12.717000000000001</v>
      </c>
      <c r="O97" s="2016">
        <v>13</v>
      </c>
      <c r="P97" s="2032"/>
      <c r="Q97" s="2045">
        <f t="shared" si="1"/>
        <v>13.808583026955962</v>
      </c>
      <c r="R97" s="2045">
        <f t="shared" si="2"/>
        <v>13</v>
      </c>
      <c r="S97" s="2045">
        <f t="shared" si="3"/>
        <v>16.282081188691745</v>
      </c>
      <c r="T97" s="1827"/>
      <c r="U97" s="2055" t="s">
        <v>75</v>
      </c>
      <c r="V97" s="2056" t="s">
        <v>200</v>
      </c>
      <c r="W97" s="2057" t="s">
        <v>706</v>
      </c>
      <c r="X97" s="2058" t="s">
        <v>8</v>
      </c>
      <c r="Y97" s="2058" t="s">
        <v>244</v>
      </c>
      <c r="Z97" s="2059">
        <v>30</v>
      </c>
      <c r="AA97" s="2054">
        <f t="shared" ref="AA97:AA112" ca="1" si="7">G97/F97</f>
        <v>0.48299999999999998</v>
      </c>
      <c r="AB97" s="2051">
        <v>14</v>
      </c>
    </row>
    <row r="98" spans="1:28" s="1815" customFormat="1" ht="25.5" x14ac:dyDescent="0.2">
      <c r="A98" s="1824"/>
      <c r="B98" s="2010" t="s">
        <v>1664</v>
      </c>
      <c r="C98" s="2010" t="s">
        <v>1665</v>
      </c>
      <c r="D98" s="2010" t="s">
        <v>8</v>
      </c>
      <c r="E98" s="2017" t="s">
        <v>1666</v>
      </c>
      <c r="F98" s="2011">
        <v>30</v>
      </c>
      <c r="G98" s="2045">
        <f t="shared" ca="1" si="6"/>
        <v>4.6500000000000004</v>
      </c>
      <c r="H98"/>
      <c r="I98" s="2012">
        <v>5.8610963279241552</v>
      </c>
      <c r="J98" s="2013">
        <v>4.62</v>
      </c>
      <c r="K98" s="2014">
        <v>4.63</v>
      </c>
      <c r="L98" s="2015">
        <v>4.6500000000000004</v>
      </c>
      <c r="M98" s="2027">
        <v>5.3489999999999993</v>
      </c>
      <c r="N98" s="2028">
        <v>5.5829999999999993</v>
      </c>
      <c r="O98" s="2016">
        <v>5.5</v>
      </c>
      <c r="P98" s="2032"/>
      <c r="Q98" s="2045">
        <f t="shared" ref="Q98:Q122" si="8">AVERAGEIF(I98:P98, "&gt;0", I98:P98)</f>
        <v>5.1704423325605928</v>
      </c>
      <c r="R98" s="2045">
        <f t="shared" ref="R98:R122" si="9">MEDIAN(I98:P98)</f>
        <v>5.3489999999999993</v>
      </c>
      <c r="S98" s="2045">
        <f t="shared" ref="S98:S122" si="10">MAX(I98:P98)</f>
        <v>5.8610963279241552</v>
      </c>
      <c r="T98" s="1827"/>
      <c r="U98" s="2061" t="s">
        <v>75</v>
      </c>
      <c r="V98" s="2056" t="s">
        <v>234</v>
      </c>
      <c r="W98" s="2057" t="s">
        <v>709</v>
      </c>
      <c r="X98" s="2058" t="s">
        <v>8</v>
      </c>
      <c r="Y98" s="2058" t="s">
        <v>24</v>
      </c>
      <c r="Z98" s="2059">
        <v>30</v>
      </c>
      <c r="AA98" s="2054">
        <f t="shared" ca="1" si="7"/>
        <v>0.155</v>
      </c>
      <c r="AB98" s="2051">
        <v>17</v>
      </c>
    </row>
    <row r="99" spans="1:28" s="1815" customFormat="1" ht="51" x14ac:dyDescent="0.2">
      <c r="A99" s="1824"/>
      <c r="B99" s="2010" t="s">
        <v>1667</v>
      </c>
      <c r="C99" s="2010" t="s">
        <v>1668</v>
      </c>
      <c r="D99" s="2010" t="s">
        <v>1669</v>
      </c>
      <c r="E99" s="2010" t="s">
        <v>1670</v>
      </c>
      <c r="F99" s="2011">
        <v>30</v>
      </c>
      <c r="G99" s="2045">
        <f t="shared" ca="1" si="6"/>
        <v>0</v>
      </c>
      <c r="H99"/>
      <c r="I99" s="2012">
        <v>0</v>
      </c>
      <c r="J99" s="2013">
        <v>0</v>
      </c>
      <c r="K99" s="2014">
        <v>0</v>
      </c>
      <c r="L99" s="2015">
        <v>0</v>
      </c>
      <c r="M99" s="2027">
        <v>0</v>
      </c>
      <c r="N99" s="2028">
        <v>0</v>
      </c>
      <c r="O99" s="2016">
        <v>25.5</v>
      </c>
      <c r="P99" s="2032"/>
      <c r="Q99" s="2045">
        <f t="shared" si="8"/>
        <v>25.5</v>
      </c>
      <c r="R99" s="2045">
        <f t="shared" si="9"/>
        <v>0</v>
      </c>
      <c r="S99" s="2045">
        <f t="shared" si="10"/>
        <v>25.5</v>
      </c>
      <c r="T99" s="1827"/>
      <c r="U99" s="2051"/>
      <c r="V99" s="2051"/>
      <c r="W99" s="2051"/>
      <c r="X99" s="2051"/>
      <c r="Y99" s="2051"/>
      <c r="Z99" s="2051"/>
      <c r="AA99" s="2054">
        <f t="shared" ca="1" si="7"/>
        <v>0</v>
      </c>
      <c r="AB99" s="2051"/>
    </row>
    <row r="100" spans="1:28" s="1815" customFormat="1" ht="38.25" x14ac:dyDescent="0.2">
      <c r="A100" s="1824"/>
      <c r="B100" s="2010" t="s">
        <v>1671</v>
      </c>
      <c r="C100" s="2010" t="s">
        <v>1672</v>
      </c>
      <c r="D100" s="2010" t="s">
        <v>8</v>
      </c>
      <c r="E100" s="2017" t="s">
        <v>1673</v>
      </c>
      <c r="F100" s="2011">
        <v>30</v>
      </c>
      <c r="G100" s="2045">
        <f t="shared" ca="1" si="6"/>
        <v>13</v>
      </c>
      <c r="H100"/>
      <c r="I100" s="2012">
        <v>0</v>
      </c>
      <c r="J100" s="2013">
        <v>10.5</v>
      </c>
      <c r="K100" s="2014">
        <v>11.4</v>
      </c>
      <c r="L100" s="2015">
        <v>13</v>
      </c>
      <c r="M100" s="2027">
        <v>13.187999999999999</v>
      </c>
      <c r="N100" s="2028">
        <v>14.376000000000001</v>
      </c>
      <c r="O100" s="2016">
        <v>10.9</v>
      </c>
      <c r="P100" s="2032"/>
      <c r="Q100" s="2045">
        <f t="shared" si="8"/>
        <v>12.227333333333334</v>
      </c>
      <c r="R100" s="2045">
        <f t="shared" si="9"/>
        <v>11.4</v>
      </c>
      <c r="S100" s="2045">
        <f t="shared" si="10"/>
        <v>14.376000000000001</v>
      </c>
      <c r="T100" s="1827"/>
      <c r="U100" s="2055" t="s">
        <v>75</v>
      </c>
      <c r="V100" s="2056" t="s">
        <v>247</v>
      </c>
      <c r="W100" s="2057" t="s">
        <v>708</v>
      </c>
      <c r="X100" s="2058" t="s">
        <v>8</v>
      </c>
      <c r="Y100" s="2058" t="s">
        <v>244</v>
      </c>
      <c r="Z100" s="2059">
        <v>30</v>
      </c>
      <c r="AA100" s="2054">
        <f t="shared" ca="1" si="7"/>
        <v>0.43333333333333335</v>
      </c>
      <c r="AB100" s="2051">
        <v>16</v>
      </c>
    </row>
    <row r="101" spans="1:28" s="1815" customFormat="1" ht="38.25" x14ac:dyDescent="0.2">
      <c r="A101" s="1824"/>
      <c r="B101" s="2010" t="s">
        <v>1674</v>
      </c>
      <c r="C101" s="2010" t="s">
        <v>1675</v>
      </c>
      <c r="D101" s="2010" t="s">
        <v>1669</v>
      </c>
      <c r="E101" s="2010" t="s">
        <v>1676</v>
      </c>
      <c r="F101" s="2011">
        <v>60</v>
      </c>
      <c r="G101" s="2045">
        <f t="shared" ca="1" si="6"/>
        <v>8.25</v>
      </c>
      <c r="H101"/>
      <c r="I101" s="2012">
        <v>0</v>
      </c>
      <c r="J101" s="2013">
        <v>8.25</v>
      </c>
      <c r="K101" s="2014">
        <v>8.25</v>
      </c>
      <c r="L101" s="2015">
        <v>8.25</v>
      </c>
      <c r="M101" s="2027">
        <v>0</v>
      </c>
      <c r="N101" s="2028">
        <v>0</v>
      </c>
      <c r="O101" s="2016">
        <v>0</v>
      </c>
      <c r="P101" s="2032"/>
      <c r="Q101" s="2045">
        <f t="shared" si="8"/>
        <v>8.25</v>
      </c>
      <c r="R101" s="2045">
        <f t="shared" si="9"/>
        <v>0</v>
      </c>
      <c r="S101" s="2045">
        <f t="shared" si="10"/>
        <v>8.25</v>
      </c>
      <c r="T101" s="1827"/>
      <c r="U101" s="2060"/>
      <c r="V101" s="2051"/>
      <c r="W101" s="2051"/>
      <c r="X101" s="2051"/>
      <c r="Y101" s="2051"/>
      <c r="Z101" s="2051"/>
      <c r="AA101" s="2054">
        <f t="shared" ca="1" si="7"/>
        <v>0.13750000000000001</v>
      </c>
      <c r="AB101" s="2051"/>
    </row>
    <row r="102" spans="1:28" s="1815" customFormat="1" x14ac:dyDescent="0.2">
      <c r="A102" s="1824"/>
      <c r="B102" s="2010" t="s">
        <v>39</v>
      </c>
      <c r="C102" s="2010" t="s">
        <v>646</v>
      </c>
      <c r="D102" s="2010" t="s">
        <v>1631</v>
      </c>
      <c r="E102" s="2010" t="s">
        <v>41</v>
      </c>
      <c r="F102" s="2011">
        <v>240</v>
      </c>
      <c r="G102" s="2045">
        <f t="shared" ca="1" si="6"/>
        <v>2.1</v>
      </c>
      <c r="H102"/>
      <c r="I102" s="2012">
        <v>0</v>
      </c>
      <c r="J102" s="2013">
        <v>2.1</v>
      </c>
      <c r="K102" s="2014">
        <v>2.1</v>
      </c>
      <c r="L102" s="2015">
        <v>2.1</v>
      </c>
      <c r="M102" s="2027">
        <v>11.327999999999999</v>
      </c>
      <c r="N102" s="2028">
        <v>17.592000000000002</v>
      </c>
      <c r="O102" s="2016">
        <v>2.1</v>
      </c>
      <c r="P102" s="2032"/>
      <c r="Q102" s="2045">
        <f t="shared" si="8"/>
        <v>6.22</v>
      </c>
      <c r="R102" s="2045">
        <f t="shared" si="9"/>
        <v>2.1</v>
      </c>
      <c r="S102" s="2045">
        <f t="shared" si="10"/>
        <v>17.592000000000002</v>
      </c>
      <c r="T102" s="1827"/>
      <c r="U102" s="2052" t="s">
        <v>1489</v>
      </c>
      <c r="V102" s="2050" t="s">
        <v>39</v>
      </c>
      <c r="W102" s="2050" t="s">
        <v>646</v>
      </c>
      <c r="X102" s="2050" t="s">
        <v>1486</v>
      </c>
      <c r="Y102" s="2050" t="s">
        <v>41</v>
      </c>
      <c r="Z102" s="2053">
        <v>240</v>
      </c>
      <c r="AA102" s="2054">
        <f t="shared" ca="1" si="7"/>
        <v>8.7500000000000008E-3</v>
      </c>
      <c r="AB102" s="2051">
        <v>39</v>
      </c>
    </row>
    <row r="103" spans="1:28" s="1815" customFormat="1" x14ac:dyDescent="0.2">
      <c r="A103" s="1824"/>
      <c r="B103" s="2010" t="s">
        <v>39</v>
      </c>
      <c r="C103" s="2010" t="s">
        <v>646</v>
      </c>
      <c r="D103" s="2010" t="s">
        <v>8</v>
      </c>
      <c r="E103" s="2010" t="s">
        <v>89</v>
      </c>
      <c r="F103" s="2011">
        <v>100</v>
      </c>
      <c r="G103" s="2045">
        <f t="shared" ca="1" si="6"/>
        <v>4.54</v>
      </c>
      <c r="H103"/>
      <c r="I103" s="2012">
        <v>0</v>
      </c>
      <c r="J103" s="2013">
        <v>4.54</v>
      </c>
      <c r="K103" s="2014">
        <v>4.54</v>
      </c>
      <c r="L103" s="2015">
        <v>4.54</v>
      </c>
      <c r="M103" s="2027">
        <v>1.1299999999999999</v>
      </c>
      <c r="N103" s="2028">
        <v>1.04</v>
      </c>
      <c r="O103" s="2016">
        <v>4.75</v>
      </c>
      <c r="P103" s="2032"/>
      <c r="Q103" s="2045">
        <f t="shared" si="8"/>
        <v>3.4233333333333333</v>
      </c>
      <c r="R103" s="2045">
        <f t="shared" si="9"/>
        <v>4.54</v>
      </c>
      <c r="S103" s="2045">
        <f t="shared" si="10"/>
        <v>4.75</v>
      </c>
      <c r="T103" s="1827"/>
      <c r="U103" s="2060"/>
      <c r="V103" s="2051"/>
      <c r="W103" s="2051"/>
      <c r="X103" s="2051"/>
      <c r="Y103" s="2051"/>
      <c r="Z103" s="2051"/>
      <c r="AA103" s="2054">
        <f t="shared" ca="1" si="7"/>
        <v>4.5400000000000003E-2</v>
      </c>
      <c r="AB103" s="2051"/>
    </row>
    <row r="104" spans="1:28" s="1815" customFormat="1" x14ac:dyDescent="0.2">
      <c r="A104" s="1824"/>
      <c r="B104" s="2010" t="s">
        <v>39</v>
      </c>
      <c r="C104" s="2010" t="s">
        <v>646</v>
      </c>
      <c r="D104" s="2010" t="s">
        <v>8</v>
      </c>
      <c r="E104" s="2010" t="s">
        <v>23</v>
      </c>
      <c r="F104" s="2011">
        <v>60</v>
      </c>
      <c r="G104" s="2045">
        <f t="shared" ca="1" si="6"/>
        <v>0</v>
      </c>
      <c r="H104"/>
      <c r="I104" s="2012">
        <v>5.9079163493755713</v>
      </c>
      <c r="J104" s="2013">
        <v>0</v>
      </c>
      <c r="K104" s="2014">
        <v>0</v>
      </c>
      <c r="L104" s="2015">
        <v>0</v>
      </c>
      <c r="M104" s="2027">
        <v>11.603999999999999</v>
      </c>
      <c r="N104" s="2028">
        <v>6.9959999999999996</v>
      </c>
      <c r="O104" s="2016">
        <v>6.5</v>
      </c>
      <c r="P104" s="2032"/>
      <c r="Q104" s="2045">
        <f t="shared" si="8"/>
        <v>7.7519790873438925</v>
      </c>
      <c r="R104" s="2045">
        <f t="shared" si="9"/>
        <v>5.9079163493755713</v>
      </c>
      <c r="S104" s="2045">
        <f t="shared" si="10"/>
        <v>11.603999999999999</v>
      </c>
      <c r="T104" s="1827"/>
      <c r="U104" s="2055" t="s">
        <v>1490</v>
      </c>
      <c r="V104" s="2056" t="s">
        <v>39</v>
      </c>
      <c r="W104" s="2057" t="s">
        <v>646</v>
      </c>
      <c r="X104" s="2058" t="s">
        <v>8</v>
      </c>
      <c r="Y104" s="2058" t="s">
        <v>23</v>
      </c>
      <c r="Z104" s="2059">
        <v>60</v>
      </c>
      <c r="AA104" s="2054">
        <f t="shared" ca="1" si="7"/>
        <v>0</v>
      </c>
      <c r="AB104" s="2051">
        <v>22</v>
      </c>
    </row>
    <row r="105" spans="1:28" s="1815" customFormat="1" x14ac:dyDescent="0.2">
      <c r="A105" s="1824"/>
      <c r="B105" s="2010" t="s">
        <v>39</v>
      </c>
      <c r="C105" s="2010" t="s">
        <v>646</v>
      </c>
      <c r="D105" s="2010" t="s">
        <v>8</v>
      </c>
      <c r="E105" s="2010" t="s">
        <v>639</v>
      </c>
      <c r="F105" s="2011">
        <v>60</v>
      </c>
      <c r="G105" s="2045">
        <f t="shared" ca="1" si="6"/>
        <v>6.4</v>
      </c>
      <c r="H105"/>
      <c r="I105" s="2012">
        <v>0</v>
      </c>
      <c r="J105" s="2013">
        <v>5.47</v>
      </c>
      <c r="K105" s="2014">
        <v>5.56</v>
      </c>
      <c r="L105" s="2015">
        <v>6.4</v>
      </c>
      <c r="M105" s="2027">
        <v>0</v>
      </c>
      <c r="N105" s="2028">
        <v>0</v>
      </c>
      <c r="O105" s="2016">
        <v>0</v>
      </c>
      <c r="P105" s="2032"/>
      <c r="Q105" s="2045">
        <f t="shared" si="8"/>
        <v>5.81</v>
      </c>
      <c r="R105" s="2045">
        <f t="shared" si="9"/>
        <v>0</v>
      </c>
      <c r="S105" s="2045">
        <f t="shared" si="10"/>
        <v>6.4</v>
      </c>
      <c r="T105" s="1827"/>
      <c r="U105" s="2060"/>
      <c r="V105" s="2051"/>
      <c r="W105" s="2051"/>
      <c r="X105" s="2051"/>
      <c r="Y105" s="2051"/>
      <c r="Z105" s="2051"/>
      <c r="AA105" s="2054">
        <f t="shared" ca="1" si="7"/>
        <v>0.10666666666666667</v>
      </c>
      <c r="AB105" s="2051"/>
    </row>
    <row r="106" spans="1:28" s="1815" customFormat="1" ht="38.25" x14ac:dyDescent="0.2">
      <c r="A106" s="1824"/>
      <c r="B106" s="2010" t="s">
        <v>1677</v>
      </c>
      <c r="C106" s="2010" t="s">
        <v>1678</v>
      </c>
      <c r="D106" s="2010" t="s">
        <v>8</v>
      </c>
      <c r="E106" s="2010" t="s">
        <v>12</v>
      </c>
      <c r="F106" s="2011">
        <v>60</v>
      </c>
      <c r="G106" s="2045">
        <f t="shared" ca="1" si="6"/>
        <v>7.65</v>
      </c>
      <c r="H106"/>
      <c r="I106" s="2012">
        <v>6.9020677388059708</v>
      </c>
      <c r="J106" s="2013">
        <v>6.24</v>
      </c>
      <c r="K106" s="2014">
        <v>6.61</v>
      </c>
      <c r="L106" s="2015">
        <v>7.65</v>
      </c>
      <c r="M106" s="2027">
        <v>8.5499999999999989</v>
      </c>
      <c r="N106" s="2028">
        <v>10.283999999999999</v>
      </c>
      <c r="O106" s="2016">
        <v>7.5999999999999988</v>
      </c>
      <c r="P106" s="2032"/>
      <c r="Q106" s="2045">
        <f t="shared" si="8"/>
        <v>7.6908668198294237</v>
      </c>
      <c r="R106" s="2045">
        <f t="shared" si="9"/>
        <v>7.5999999999999988</v>
      </c>
      <c r="S106" s="2045">
        <f t="shared" si="10"/>
        <v>10.283999999999999</v>
      </c>
      <c r="T106" s="1827"/>
      <c r="U106" s="2058" t="s">
        <v>75</v>
      </c>
      <c r="V106" s="2056" t="s">
        <v>11</v>
      </c>
      <c r="W106" s="2057" t="s">
        <v>702</v>
      </c>
      <c r="X106" s="2058" t="s">
        <v>8</v>
      </c>
      <c r="Y106" s="2058" t="s">
        <v>12</v>
      </c>
      <c r="Z106" s="2059">
        <v>60</v>
      </c>
      <c r="AA106" s="2054">
        <f t="shared" ca="1" si="7"/>
        <v>0.1275</v>
      </c>
      <c r="AB106" s="2051">
        <v>6</v>
      </c>
    </row>
    <row r="107" spans="1:28" s="1815" customFormat="1" ht="38.25" x14ac:dyDescent="0.2">
      <c r="A107" s="1824"/>
      <c r="B107" s="2010" t="s">
        <v>1677</v>
      </c>
      <c r="C107" s="2010" t="s">
        <v>1678</v>
      </c>
      <c r="D107" s="2010" t="s">
        <v>8</v>
      </c>
      <c r="E107" s="2010" t="s">
        <v>382</v>
      </c>
      <c r="F107" s="2011">
        <v>60</v>
      </c>
      <c r="G107" s="2045">
        <f t="shared" ca="1" si="6"/>
        <v>2.69</v>
      </c>
      <c r="H107"/>
      <c r="I107" s="2012">
        <v>2.4259888210478224</v>
      </c>
      <c r="J107" s="2013">
        <v>1.92</v>
      </c>
      <c r="K107" s="2014">
        <v>2.13</v>
      </c>
      <c r="L107" s="2015">
        <v>2.69</v>
      </c>
      <c r="M107" s="2027">
        <v>0</v>
      </c>
      <c r="N107" s="2028">
        <v>2.37</v>
      </c>
      <c r="O107" s="2016">
        <v>3</v>
      </c>
      <c r="P107" s="2032"/>
      <c r="Q107" s="2045">
        <f t="shared" si="8"/>
        <v>2.4226648035079705</v>
      </c>
      <c r="R107" s="2045">
        <f t="shared" si="9"/>
        <v>2.37</v>
      </c>
      <c r="S107" s="2045">
        <f t="shared" si="10"/>
        <v>3</v>
      </c>
      <c r="T107" s="1827"/>
      <c r="U107" s="2058" t="s">
        <v>75</v>
      </c>
      <c r="V107" s="2056" t="s">
        <v>11</v>
      </c>
      <c r="W107" s="2057" t="s">
        <v>702</v>
      </c>
      <c r="X107" s="2058" t="s">
        <v>8</v>
      </c>
      <c r="Y107" s="2058" t="s">
        <v>382</v>
      </c>
      <c r="Z107" s="2059">
        <v>60</v>
      </c>
      <c r="AA107" s="2054">
        <f t="shared" ca="1" si="7"/>
        <v>4.4833333333333329E-2</v>
      </c>
      <c r="AB107" s="2051">
        <v>7</v>
      </c>
    </row>
    <row r="108" spans="1:28" s="1815" customFormat="1" ht="51" x14ac:dyDescent="0.2">
      <c r="A108" s="1824"/>
      <c r="B108" s="2010" t="s">
        <v>1679</v>
      </c>
      <c r="C108" s="2010" t="s">
        <v>1680</v>
      </c>
      <c r="D108" s="2010" t="s">
        <v>8</v>
      </c>
      <c r="E108" s="2010" t="s">
        <v>334</v>
      </c>
      <c r="F108" s="2011">
        <v>60</v>
      </c>
      <c r="G108" s="2045">
        <f t="shared" ca="1" si="6"/>
        <v>28</v>
      </c>
      <c r="H108"/>
      <c r="I108" s="2012">
        <v>0</v>
      </c>
      <c r="J108" s="2013">
        <v>25</v>
      </c>
      <c r="K108" s="2014">
        <v>27.29</v>
      </c>
      <c r="L108" s="2015">
        <v>28</v>
      </c>
      <c r="M108" s="2027">
        <v>37.374000000000002</v>
      </c>
      <c r="N108" s="2028">
        <v>29.4</v>
      </c>
      <c r="O108" s="2016">
        <v>0</v>
      </c>
      <c r="P108" s="2032"/>
      <c r="Q108" s="2045">
        <f t="shared" si="8"/>
        <v>29.412799999999997</v>
      </c>
      <c r="R108" s="2045">
        <f t="shared" si="9"/>
        <v>27.29</v>
      </c>
      <c r="S108" s="2045">
        <f t="shared" si="10"/>
        <v>37.374000000000002</v>
      </c>
      <c r="T108" s="1827"/>
      <c r="U108" s="2055" t="s">
        <v>75</v>
      </c>
      <c r="V108" s="2056" t="s">
        <v>140</v>
      </c>
      <c r="W108" s="2057" t="s">
        <v>700</v>
      </c>
      <c r="X108" s="2058" t="s">
        <v>8</v>
      </c>
      <c r="Y108" s="2058" t="s">
        <v>334</v>
      </c>
      <c r="Z108" s="2059">
        <v>60</v>
      </c>
      <c r="AA108" s="2054">
        <f t="shared" ca="1" si="7"/>
        <v>0.46666666666666667</v>
      </c>
      <c r="AB108" s="2051">
        <v>3</v>
      </c>
    </row>
    <row r="109" spans="1:28" s="1815" customFormat="1" ht="51" x14ac:dyDescent="0.2">
      <c r="A109" s="1824"/>
      <c r="B109" s="2010" t="s">
        <v>1679</v>
      </c>
      <c r="C109" s="2010" t="s">
        <v>1680</v>
      </c>
      <c r="D109" s="2010" t="s">
        <v>8</v>
      </c>
      <c r="E109" s="2010" t="s">
        <v>636</v>
      </c>
      <c r="F109" s="2011">
        <v>60</v>
      </c>
      <c r="G109" s="2045">
        <f t="shared" ca="1" si="6"/>
        <v>0</v>
      </c>
      <c r="H109"/>
      <c r="I109" s="2012"/>
      <c r="J109" s="2013"/>
      <c r="K109" s="2014"/>
      <c r="L109" s="2015"/>
      <c r="M109" s="2027"/>
      <c r="N109" s="2028"/>
      <c r="O109" s="2016"/>
      <c r="P109" s="2032">
        <v>10</v>
      </c>
      <c r="Q109" s="2045">
        <f t="shared" ref="Q109" si="11">AVERAGEIF(I109:P109, "&gt;0", I109:P109)</f>
        <v>10</v>
      </c>
      <c r="R109" s="2045">
        <f t="shared" ref="R109" si="12">MEDIAN(I109:P109)</f>
        <v>10</v>
      </c>
      <c r="S109" s="2045">
        <f t="shared" ref="S109" si="13">MAX(I109:P109)</f>
        <v>10</v>
      </c>
      <c r="T109" s="1827"/>
      <c r="U109" s="2055" t="s">
        <v>75</v>
      </c>
      <c r="V109" s="2056" t="s">
        <v>140</v>
      </c>
      <c r="W109" s="2057" t="s">
        <v>701</v>
      </c>
      <c r="X109" s="2058" t="s">
        <v>8</v>
      </c>
      <c r="Y109" s="2058" t="s">
        <v>636</v>
      </c>
      <c r="Z109" s="2059">
        <v>60</v>
      </c>
      <c r="AA109" s="2054">
        <f t="shared" ca="1" si="7"/>
        <v>0</v>
      </c>
      <c r="AB109" s="2051">
        <v>4</v>
      </c>
    </row>
    <row r="110" spans="1:28" s="1815" customFormat="1" ht="63.75" x14ac:dyDescent="0.2">
      <c r="A110" s="1824"/>
      <c r="B110" s="2010" t="s">
        <v>1681</v>
      </c>
      <c r="C110" s="2010" t="s">
        <v>1682</v>
      </c>
      <c r="D110" s="2010" t="s">
        <v>8</v>
      </c>
      <c r="E110" s="2010" t="s">
        <v>9</v>
      </c>
      <c r="F110" s="2011">
        <v>60</v>
      </c>
      <c r="G110" s="2045">
        <f t="shared" ca="1" si="6"/>
        <v>9.7899999999999991</v>
      </c>
      <c r="H110"/>
      <c r="I110" s="2012">
        <v>8.5384484465427963</v>
      </c>
      <c r="J110" s="2013">
        <v>8.1</v>
      </c>
      <c r="K110" s="2014">
        <v>8.25</v>
      </c>
      <c r="L110" s="2015">
        <v>9.7899999999999991</v>
      </c>
      <c r="M110" s="2027">
        <v>11.016</v>
      </c>
      <c r="N110" s="2028">
        <v>9.42</v>
      </c>
      <c r="O110" s="2016">
        <v>9.1999999999999993</v>
      </c>
      <c r="P110" s="2032"/>
      <c r="Q110" s="2045">
        <f t="shared" si="8"/>
        <v>9.1877783495061145</v>
      </c>
      <c r="R110" s="2045">
        <f t="shared" si="9"/>
        <v>9.1999999999999993</v>
      </c>
      <c r="S110" s="2045">
        <f t="shared" si="10"/>
        <v>11.016</v>
      </c>
      <c r="T110" s="1827"/>
      <c r="U110" s="2055" t="s">
        <v>75</v>
      </c>
      <c r="V110" s="2057" t="s">
        <v>7</v>
      </c>
      <c r="W110" s="2057" t="s">
        <v>699</v>
      </c>
      <c r="X110" s="2058" t="s">
        <v>8</v>
      </c>
      <c r="Y110" s="2058" t="s">
        <v>9</v>
      </c>
      <c r="Z110" s="2059">
        <v>60</v>
      </c>
      <c r="AA110" s="2054">
        <f t="shared" ca="1" si="7"/>
        <v>0.16316666666666665</v>
      </c>
      <c r="AB110" s="2051">
        <v>1</v>
      </c>
    </row>
    <row r="111" spans="1:28" s="1815" customFormat="1" ht="63.75" x14ac:dyDescent="0.2">
      <c r="A111" s="1824"/>
      <c r="B111" s="2010" t="s">
        <v>1681</v>
      </c>
      <c r="C111" s="2010" t="s">
        <v>1682</v>
      </c>
      <c r="D111" s="2010" t="s">
        <v>1632</v>
      </c>
      <c r="E111" s="2010" t="s">
        <v>384</v>
      </c>
      <c r="F111" s="2011">
        <v>60</v>
      </c>
      <c r="G111" s="2045">
        <f t="shared" ca="1" si="6"/>
        <v>4.1500000000000004</v>
      </c>
      <c r="H111"/>
      <c r="I111" s="2012">
        <v>3.9262545859731954</v>
      </c>
      <c r="J111" s="2013">
        <v>3.74</v>
      </c>
      <c r="K111" s="2014">
        <v>4.0999999999999996</v>
      </c>
      <c r="L111" s="2015">
        <v>4.1500000000000004</v>
      </c>
      <c r="M111" s="2027">
        <v>0</v>
      </c>
      <c r="N111" s="2028">
        <v>4.3559999999999999</v>
      </c>
      <c r="O111" s="2016">
        <v>4</v>
      </c>
      <c r="P111" s="2032"/>
      <c r="Q111" s="2045">
        <f t="shared" si="8"/>
        <v>4.0453757643288659</v>
      </c>
      <c r="R111" s="2045">
        <f t="shared" si="9"/>
        <v>4</v>
      </c>
      <c r="S111" s="2045">
        <f t="shared" si="10"/>
        <v>4.3559999999999999</v>
      </c>
      <c r="T111" s="1827"/>
      <c r="U111" s="2055" t="s">
        <v>75</v>
      </c>
      <c r="V111" s="2056" t="s">
        <v>7</v>
      </c>
      <c r="W111" s="2057" t="s">
        <v>699</v>
      </c>
      <c r="X111" s="2058" t="s">
        <v>8</v>
      </c>
      <c r="Y111" s="2058" t="s">
        <v>384</v>
      </c>
      <c r="Z111" s="2059">
        <v>60</v>
      </c>
      <c r="AA111" s="2054">
        <f t="shared" ca="1" si="7"/>
        <v>6.9166666666666668E-2</v>
      </c>
      <c r="AB111" s="2051">
        <v>2</v>
      </c>
    </row>
    <row r="112" spans="1:28" s="1815" customFormat="1" ht="63.75" x14ac:dyDescent="0.2">
      <c r="A112" s="1824"/>
      <c r="B112" s="2010" t="s">
        <v>1683</v>
      </c>
      <c r="C112" s="2010" t="s">
        <v>1684</v>
      </c>
      <c r="D112" s="2010" t="s">
        <v>1669</v>
      </c>
      <c r="E112" s="2010" t="s">
        <v>734</v>
      </c>
      <c r="F112" s="2011">
        <v>60</v>
      </c>
      <c r="G112" s="2045">
        <f t="shared" ca="1" si="6"/>
        <v>17.5</v>
      </c>
      <c r="H112"/>
      <c r="I112" s="2012">
        <v>0</v>
      </c>
      <c r="J112" s="2013">
        <v>14</v>
      </c>
      <c r="K112" s="2014">
        <v>14.04</v>
      </c>
      <c r="L112" s="2015">
        <v>17.5</v>
      </c>
      <c r="M112" s="2027">
        <v>0</v>
      </c>
      <c r="N112" s="2028">
        <v>11.375999999999999</v>
      </c>
      <c r="O112" s="2016">
        <v>0</v>
      </c>
      <c r="P112" s="2032"/>
      <c r="Q112" s="2045">
        <f t="shared" si="8"/>
        <v>14.228999999999999</v>
      </c>
      <c r="R112" s="2045">
        <f t="shared" si="9"/>
        <v>11.375999999999999</v>
      </c>
      <c r="S112" s="2045">
        <f t="shared" si="10"/>
        <v>17.5</v>
      </c>
      <c r="T112" s="1827"/>
      <c r="U112" s="2055" t="s">
        <v>75</v>
      </c>
      <c r="V112" s="2056" t="s">
        <v>731</v>
      </c>
      <c r="W112" s="2057" t="s">
        <v>738</v>
      </c>
      <c r="X112" s="2058" t="s">
        <v>1484</v>
      </c>
      <c r="Y112" s="2058" t="s">
        <v>734</v>
      </c>
      <c r="Z112" s="2059">
        <v>60</v>
      </c>
      <c r="AA112" s="2054">
        <f t="shared" ca="1" si="7"/>
        <v>0.29166666666666669</v>
      </c>
      <c r="AB112" s="2051">
        <v>5</v>
      </c>
    </row>
    <row r="113" spans="1:21" s="1815" customFormat="1" x14ac:dyDescent="0.2">
      <c r="A113" s="1824"/>
      <c r="B113" s="2010"/>
      <c r="C113" s="2010"/>
      <c r="D113" s="2010"/>
      <c r="E113" s="2010"/>
      <c r="F113" s="2011"/>
      <c r="G113" s="2045">
        <f t="shared" ca="1" si="6"/>
        <v>0</v>
      </c>
      <c r="H113"/>
      <c r="I113" s="2012">
        <v>0</v>
      </c>
      <c r="J113" s="2013"/>
      <c r="K113" s="2014"/>
      <c r="L113" s="2015"/>
      <c r="M113" s="2027"/>
      <c r="N113" s="2028"/>
      <c r="O113" s="2016"/>
      <c r="P113" s="2032"/>
      <c r="Q113" s="2045" t="e">
        <f t="shared" si="8"/>
        <v>#DIV/0!</v>
      </c>
      <c r="R113" s="2045">
        <f t="shared" si="9"/>
        <v>0</v>
      </c>
      <c r="S113" s="2045">
        <f t="shared" si="10"/>
        <v>0</v>
      </c>
      <c r="T113" s="1827"/>
    </row>
    <row r="114" spans="1:21" s="1815" customFormat="1" x14ac:dyDescent="0.2">
      <c r="A114" s="1824"/>
      <c r="B114" s="2010"/>
      <c r="C114" s="2010"/>
      <c r="D114" s="2010"/>
      <c r="E114" s="2010"/>
      <c r="F114" s="2011"/>
      <c r="G114" s="2045">
        <f t="shared" ca="1" si="6"/>
        <v>0</v>
      </c>
      <c r="H114"/>
      <c r="I114" s="2012">
        <v>0</v>
      </c>
      <c r="J114" s="2013"/>
      <c r="K114" s="2014"/>
      <c r="L114" s="2015"/>
      <c r="M114" s="2027"/>
      <c r="N114" s="2028"/>
      <c r="O114" s="2016"/>
      <c r="P114" s="2032"/>
      <c r="Q114" s="2045" t="e">
        <f t="shared" si="8"/>
        <v>#DIV/0!</v>
      </c>
      <c r="R114" s="2045">
        <f t="shared" si="9"/>
        <v>0</v>
      </c>
      <c r="S114" s="2045">
        <f t="shared" si="10"/>
        <v>0</v>
      </c>
      <c r="T114" s="1827"/>
    </row>
    <row r="115" spans="1:21" s="1815" customFormat="1" x14ac:dyDescent="0.2">
      <c r="A115" s="1824"/>
      <c r="B115" s="2010"/>
      <c r="C115" s="2010"/>
      <c r="D115" s="2010"/>
      <c r="E115" s="2010"/>
      <c r="F115" s="2011"/>
      <c r="G115" s="2045">
        <f t="shared" ca="1" si="6"/>
        <v>0</v>
      </c>
      <c r="H115"/>
      <c r="I115" s="2012">
        <v>0</v>
      </c>
      <c r="J115" s="2013"/>
      <c r="K115" s="2014"/>
      <c r="L115" s="2015"/>
      <c r="M115" s="2027"/>
      <c r="N115" s="2028"/>
      <c r="O115" s="2016"/>
      <c r="P115" s="2032"/>
      <c r="Q115" s="2045" t="e">
        <f t="shared" si="8"/>
        <v>#DIV/0!</v>
      </c>
      <c r="R115" s="2045">
        <f t="shared" si="9"/>
        <v>0</v>
      </c>
      <c r="S115" s="2045">
        <f t="shared" si="10"/>
        <v>0</v>
      </c>
      <c r="T115" s="1827"/>
    </row>
    <row r="116" spans="1:21" s="1815" customFormat="1" x14ac:dyDescent="0.2">
      <c r="A116" s="1824"/>
      <c r="B116" s="2010"/>
      <c r="C116" s="2010"/>
      <c r="D116" s="2010"/>
      <c r="E116" s="2010"/>
      <c r="F116" s="2011"/>
      <c r="G116" s="2045">
        <f t="shared" ca="1" si="6"/>
        <v>0</v>
      </c>
      <c r="H116"/>
      <c r="I116" s="2012">
        <v>0</v>
      </c>
      <c r="J116" s="2013"/>
      <c r="K116" s="2014"/>
      <c r="L116" s="2015"/>
      <c r="M116" s="2027"/>
      <c r="N116" s="2028"/>
      <c r="O116" s="2016"/>
      <c r="P116" s="2032"/>
      <c r="Q116" s="2045" t="e">
        <f t="shared" si="8"/>
        <v>#DIV/0!</v>
      </c>
      <c r="R116" s="2045">
        <f t="shared" si="9"/>
        <v>0</v>
      </c>
      <c r="S116" s="2045">
        <f t="shared" si="10"/>
        <v>0</v>
      </c>
      <c r="T116" s="1827"/>
    </row>
    <row r="117" spans="1:21" s="1815" customFormat="1" x14ac:dyDescent="0.2">
      <c r="A117" s="1824"/>
      <c r="B117" s="2010"/>
      <c r="C117" s="2010"/>
      <c r="D117" s="2010"/>
      <c r="E117" s="2010"/>
      <c r="F117" s="2011"/>
      <c r="G117" s="2045">
        <f t="shared" ca="1" si="6"/>
        <v>0</v>
      </c>
      <c r="H117"/>
      <c r="I117" s="2012">
        <v>0</v>
      </c>
      <c r="J117" s="2013"/>
      <c r="K117" s="2014"/>
      <c r="L117" s="2015"/>
      <c r="M117" s="2027"/>
      <c r="N117" s="2028"/>
      <c r="O117" s="2016"/>
      <c r="P117" s="2032"/>
      <c r="Q117" s="2045" t="e">
        <f t="shared" si="8"/>
        <v>#DIV/0!</v>
      </c>
      <c r="R117" s="2045">
        <f t="shared" si="9"/>
        <v>0</v>
      </c>
      <c r="S117" s="2045">
        <f t="shared" si="10"/>
        <v>0</v>
      </c>
      <c r="T117" s="1827"/>
      <c r="U117" s="1827"/>
    </row>
    <row r="118" spans="1:21" s="1815" customFormat="1" x14ac:dyDescent="0.2">
      <c r="A118" s="1824"/>
      <c r="B118" s="2010"/>
      <c r="C118" s="2010"/>
      <c r="D118" s="2010"/>
      <c r="E118" s="2010"/>
      <c r="F118" s="2011"/>
      <c r="G118" s="2045">
        <f t="shared" ca="1" si="6"/>
        <v>0</v>
      </c>
      <c r="H118"/>
      <c r="I118" s="2012">
        <v>0</v>
      </c>
      <c r="J118" s="2013"/>
      <c r="K118" s="2014"/>
      <c r="L118" s="2015"/>
      <c r="M118" s="2027"/>
      <c r="N118" s="2028"/>
      <c r="O118" s="2016"/>
      <c r="P118" s="2032"/>
      <c r="Q118" s="2045" t="e">
        <f t="shared" si="8"/>
        <v>#DIV/0!</v>
      </c>
      <c r="R118" s="2045">
        <f t="shared" si="9"/>
        <v>0</v>
      </c>
      <c r="S118" s="2045">
        <f t="shared" si="10"/>
        <v>0</v>
      </c>
      <c r="T118" s="1827"/>
      <c r="U118" s="1827"/>
    </row>
    <row r="119" spans="1:21" s="1815" customFormat="1" x14ac:dyDescent="0.2">
      <c r="A119" s="1824"/>
      <c r="B119" s="2010"/>
      <c r="C119" s="2010"/>
      <c r="D119" s="2010"/>
      <c r="E119" s="2010"/>
      <c r="F119" s="2011"/>
      <c r="G119" s="2045">
        <f t="shared" ca="1" si="6"/>
        <v>0</v>
      </c>
      <c r="H119"/>
      <c r="I119" s="2012">
        <v>0</v>
      </c>
      <c r="J119" s="2013"/>
      <c r="K119" s="2014"/>
      <c r="L119" s="2015"/>
      <c r="M119" s="2027"/>
      <c r="N119" s="2028"/>
      <c r="O119" s="2016"/>
      <c r="P119" s="2032"/>
      <c r="Q119" s="2045" t="e">
        <f t="shared" si="8"/>
        <v>#DIV/0!</v>
      </c>
      <c r="R119" s="2045">
        <f t="shared" si="9"/>
        <v>0</v>
      </c>
      <c r="S119" s="2045">
        <f t="shared" si="10"/>
        <v>0</v>
      </c>
      <c r="T119" s="1827"/>
      <c r="U119" s="1827"/>
    </row>
    <row r="120" spans="1:21" s="1815" customFormat="1" x14ac:dyDescent="0.2">
      <c r="A120" s="1824"/>
      <c r="B120" s="2010"/>
      <c r="C120" s="2010"/>
      <c r="D120" s="2010"/>
      <c r="E120" s="2010"/>
      <c r="F120" s="2011"/>
      <c r="G120" s="2045">
        <f t="shared" ca="1" si="6"/>
        <v>0</v>
      </c>
      <c r="H120"/>
      <c r="I120" s="2012">
        <v>0</v>
      </c>
      <c r="J120" s="2013"/>
      <c r="K120" s="2014"/>
      <c r="L120" s="2015"/>
      <c r="M120" s="2027"/>
      <c r="N120" s="2028"/>
      <c r="O120" s="2016"/>
      <c r="P120" s="2032"/>
      <c r="Q120" s="2045" t="e">
        <f t="shared" si="8"/>
        <v>#DIV/0!</v>
      </c>
      <c r="R120" s="2045">
        <f t="shared" si="9"/>
        <v>0</v>
      </c>
      <c r="S120" s="2045">
        <f t="shared" si="10"/>
        <v>0</v>
      </c>
      <c r="T120" s="1827"/>
      <c r="U120" s="1827"/>
    </row>
    <row r="121" spans="1:21" s="1815" customFormat="1" x14ac:dyDescent="0.2">
      <c r="A121" s="1824"/>
      <c r="B121" s="2010"/>
      <c r="C121" s="2010"/>
      <c r="D121" s="2010"/>
      <c r="E121" s="2010"/>
      <c r="F121" s="2011"/>
      <c r="G121" s="2045">
        <f t="shared" ca="1" si="6"/>
        <v>0</v>
      </c>
      <c r="H121"/>
      <c r="I121" s="2012">
        <v>0</v>
      </c>
      <c r="J121" s="2013"/>
      <c r="K121" s="2014"/>
      <c r="L121" s="2015"/>
      <c r="M121" s="2027"/>
      <c r="N121" s="2028"/>
      <c r="O121" s="2016"/>
      <c r="P121" s="2032"/>
      <c r="Q121" s="2045" t="e">
        <f t="shared" si="8"/>
        <v>#DIV/0!</v>
      </c>
      <c r="R121" s="2045">
        <f t="shared" si="9"/>
        <v>0</v>
      </c>
      <c r="S121" s="2045">
        <f t="shared" si="10"/>
        <v>0</v>
      </c>
      <c r="T121" s="1827"/>
    </row>
    <row r="122" spans="1:21" s="1815" customFormat="1" ht="13.5" thickBot="1" x14ac:dyDescent="0.25">
      <c r="A122" s="1824"/>
      <c r="B122" s="2018"/>
      <c r="C122" s="2018"/>
      <c r="D122" s="2018"/>
      <c r="E122" s="2018"/>
      <c r="F122" s="2019"/>
      <c r="G122" s="2045">
        <f t="shared" ca="1" si="6"/>
        <v>0</v>
      </c>
      <c r="H122"/>
      <c r="I122" s="2020">
        <v>0</v>
      </c>
      <c r="J122" s="2021"/>
      <c r="K122" s="2022"/>
      <c r="L122" s="2023"/>
      <c r="M122" s="2029"/>
      <c r="N122" s="2030"/>
      <c r="O122" s="2024"/>
      <c r="P122" s="2033"/>
      <c r="Q122" s="2045" t="e">
        <f t="shared" si="8"/>
        <v>#DIV/0!</v>
      </c>
      <c r="R122" s="2045">
        <f t="shared" si="9"/>
        <v>0</v>
      </c>
      <c r="S122" s="2045">
        <f t="shared" si="10"/>
        <v>0</v>
      </c>
      <c r="T122" s="1827"/>
    </row>
    <row r="123" spans="1:21" s="1815" customFormat="1" x14ac:dyDescent="0.2">
      <c r="A123" s="1824"/>
      <c r="B123" s="1824"/>
      <c r="C123" s="1824"/>
      <c r="D123" s="1824"/>
      <c r="E123" s="1824"/>
      <c r="F123" s="1825"/>
      <c r="G123" s="1826"/>
      <c r="H123" s="1826"/>
      <c r="I123" s="1827"/>
      <c r="J123" s="1828"/>
      <c r="K123" s="1827"/>
      <c r="L123" s="1827"/>
      <c r="M123" s="1827"/>
      <c r="N123" s="1827"/>
      <c r="O123" s="1827"/>
      <c r="P123" s="1827"/>
      <c r="Q123" s="1828"/>
      <c r="R123" s="1827"/>
      <c r="S123" s="1827"/>
      <c r="T123" s="1827"/>
    </row>
    <row r="124" spans="1:21" s="1815" customFormat="1" x14ac:dyDescent="0.2">
      <c r="A124" s="1824"/>
      <c r="B124" s="1824"/>
      <c r="C124" s="1824"/>
      <c r="D124" s="1824"/>
      <c r="E124" s="1824"/>
      <c r="F124" s="1825"/>
      <c r="G124" s="1826"/>
      <c r="H124" s="1826"/>
      <c r="I124" s="1827"/>
      <c r="J124" s="1828"/>
      <c r="K124" s="1827"/>
      <c r="L124" s="1827"/>
      <c r="M124" s="1827"/>
      <c r="N124" s="1827"/>
      <c r="O124" s="1827"/>
      <c r="P124" s="1827"/>
      <c r="Q124" s="1828"/>
      <c r="R124" s="1827"/>
      <c r="S124" s="1827"/>
      <c r="T124" s="1827"/>
    </row>
    <row r="125" spans="1:21" s="1815" customFormat="1" x14ac:dyDescent="0.2">
      <c r="A125" s="1824"/>
      <c r="B125" s="1824"/>
      <c r="C125" s="1824"/>
      <c r="D125" s="1824"/>
      <c r="E125" s="1824"/>
      <c r="F125" s="1825"/>
      <c r="G125" s="1826"/>
      <c r="H125" s="1826"/>
      <c r="I125" s="1827"/>
      <c r="J125" s="1828"/>
      <c r="Q125" s="1828"/>
    </row>
    <row r="126" spans="1:21" s="1815" customFormat="1" x14ac:dyDescent="0.2">
      <c r="A126" s="1824"/>
      <c r="B126" s="1824"/>
      <c r="C126" s="1824"/>
      <c r="D126" s="1824"/>
      <c r="E126" s="1824"/>
      <c r="F126" s="1825"/>
      <c r="G126" s="1826"/>
      <c r="H126" s="1826"/>
      <c r="I126" s="1827"/>
      <c r="J126" s="1828"/>
      <c r="Q126" s="1828"/>
    </row>
    <row r="127" spans="1:21" s="1815" customFormat="1" x14ac:dyDescent="0.2">
      <c r="A127" s="1824"/>
      <c r="B127" s="1824"/>
      <c r="C127" s="1824"/>
      <c r="D127" s="1824"/>
      <c r="E127" s="1824"/>
      <c r="F127" s="1825"/>
      <c r="G127" s="1826"/>
      <c r="H127" s="1826"/>
      <c r="I127" s="1827"/>
      <c r="J127" s="1828"/>
      <c r="Q127" s="1828"/>
    </row>
    <row r="128" spans="1:21" s="1815" customFormat="1" x14ac:dyDescent="0.2">
      <c r="A128" s="1824"/>
      <c r="B128" s="1824"/>
      <c r="C128" s="1824"/>
      <c r="D128" s="1824"/>
      <c r="E128" s="1824"/>
      <c r="F128" s="1825"/>
      <c r="G128" s="1826"/>
      <c r="H128" s="1826"/>
      <c r="I128" s="1827"/>
      <c r="J128" s="1828"/>
      <c r="Q128" s="1828"/>
    </row>
    <row r="129" spans="1:28" s="1815" customFormat="1" x14ac:dyDescent="0.2">
      <c r="A129" s="1824"/>
      <c r="B129" s="1824"/>
      <c r="C129" s="1824"/>
      <c r="D129" s="1824"/>
      <c r="E129" s="1824"/>
      <c r="F129" s="1825"/>
      <c r="G129" s="1826"/>
      <c r="H129" s="1826"/>
      <c r="I129" s="1827"/>
      <c r="J129" s="1828"/>
      <c r="Q129" s="1828"/>
      <c r="X129" s="1813"/>
      <c r="Y129" s="1813"/>
      <c r="Z129" s="1813"/>
      <c r="AA129" s="1813"/>
      <c r="AB129" s="1813"/>
    </row>
    <row r="130" spans="1:28" s="1815" customFormat="1" x14ac:dyDescent="0.2">
      <c r="A130" s="1824"/>
      <c r="B130" s="1824"/>
      <c r="C130" s="1824"/>
      <c r="D130" s="1824"/>
      <c r="E130" s="1824"/>
      <c r="F130" s="1825"/>
      <c r="G130" s="1826"/>
      <c r="H130" s="1826"/>
      <c r="I130" s="1827"/>
      <c r="J130" s="1828"/>
      <c r="Q130" s="1828"/>
      <c r="W130" s="1813"/>
      <c r="X130" s="1813"/>
      <c r="Y130" s="1813"/>
      <c r="Z130" s="1813"/>
      <c r="AA130" s="1813"/>
      <c r="AB130" s="1813"/>
    </row>
    <row r="131" spans="1:28" x14ac:dyDescent="0.2">
      <c r="A131" s="1824"/>
      <c r="B131" s="1824"/>
      <c r="C131" s="1824"/>
      <c r="D131" s="1824"/>
      <c r="E131" s="1824"/>
      <c r="F131" s="1825"/>
      <c r="G131" s="1826"/>
      <c r="H131" s="1826"/>
      <c r="I131" s="1827"/>
      <c r="J131" s="1828"/>
      <c r="K131" s="1815"/>
      <c r="L131" s="1815"/>
      <c r="M131" s="1815"/>
      <c r="N131" s="1815"/>
      <c r="O131" s="1815"/>
      <c r="P131" s="1815"/>
      <c r="Q131" s="1828"/>
      <c r="R131" s="1815"/>
      <c r="S131" s="1815"/>
      <c r="T131" s="1815"/>
      <c r="U131" s="1815"/>
      <c r="V131" s="1815"/>
    </row>
    <row r="132" spans="1:28" x14ac:dyDescent="0.2">
      <c r="A132" s="1824"/>
      <c r="B132" s="1824"/>
      <c r="C132" s="1824"/>
      <c r="D132" s="1824"/>
      <c r="E132" s="1824"/>
      <c r="F132" s="1825"/>
      <c r="G132" s="1826"/>
      <c r="H132" s="1826"/>
      <c r="I132" s="1827"/>
      <c r="J132" s="1828"/>
      <c r="K132" s="1815"/>
      <c r="L132" s="1815"/>
      <c r="M132" s="1815"/>
      <c r="N132" s="1815"/>
      <c r="O132" s="1815"/>
      <c r="P132" s="1815"/>
      <c r="Q132" s="1828"/>
      <c r="R132" s="1815"/>
      <c r="S132" s="1815"/>
      <c r="T132" s="1815"/>
      <c r="U132" s="1815"/>
      <c r="V132" s="1815"/>
    </row>
    <row r="133" spans="1:28" x14ac:dyDescent="0.2">
      <c r="A133" s="1824"/>
      <c r="B133" s="1824"/>
      <c r="C133" s="1824"/>
      <c r="D133" s="1824"/>
      <c r="E133" s="1824"/>
      <c r="F133" s="1825"/>
      <c r="G133" s="1826"/>
      <c r="H133" s="1826"/>
      <c r="I133" s="1827"/>
      <c r="J133" s="1828"/>
      <c r="K133" s="1815"/>
      <c r="L133" s="1815"/>
      <c r="M133" s="1815"/>
      <c r="N133" s="1815"/>
      <c r="O133" s="1815"/>
      <c r="P133" s="1815"/>
      <c r="Q133" s="1828"/>
      <c r="R133" s="1815"/>
      <c r="S133" s="1815"/>
      <c r="T133" s="1815"/>
      <c r="U133" s="1815"/>
      <c r="V133" s="1815"/>
    </row>
    <row r="134" spans="1:28" x14ac:dyDescent="0.2">
      <c r="A134" s="1824"/>
      <c r="B134" s="1824"/>
      <c r="C134" s="1824"/>
      <c r="D134" s="1824"/>
      <c r="E134" s="1824"/>
      <c r="F134" s="1825"/>
      <c r="G134" s="1826"/>
      <c r="H134" s="1826"/>
      <c r="I134" s="1827"/>
      <c r="J134" s="1828"/>
      <c r="K134" s="1815"/>
      <c r="L134" s="1815"/>
      <c r="M134" s="1815"/>
      <c r="N134" s="1815"/>
      <c r="O134" s="1815"/>
      <c r="P134" s="1815"/>
      <c r="Q134" s="1828"/>
      <c r="R134" s="1815"/>
      <c r="S134" s="1815"/>
      <c r="T134" s="1815"/>
      <c r="U134" s="1815"/>
      <c r="V134" s="1815"/>
    </row>
    <row r="135" spans="1:28" x14ac:dyDescent="0.2">
      <c r="A135" s="1824"/>
      <c r="B135" s="1824"/>
      <c r="I135" s="1813"/>
      <c r="J135" s="1814"/>
      <c r="Q135" s="1814"/>
      <c r="U135" s="1815"/>
      <c r="V135" s="1815"/>
    </row>
    <row r="136" spans="1:28" x14ac:dyDescent="0.2">
      <c r="I136" s="1813"/>
      <c r="J136" s="1814"/>
      <c r="Q136" s="1814"/>
      <c r="U136" s="1815"/>
      <c r="V136" s="1815"/>
    </row>
    <row r="137" spans="1:28" x14ac:dyDescent="0.2">
      <c r="I137" s="1813"/>
      <c r="J137" s="1814"/>
      <c r="Q137" s="1814"/>
      <c r="U137" s="1815"/>
      <c r="V137" s="1815"/>
    </row>
    <row r="138" spans="1:28" x14ac:dyDescent="0.2">
      <c r="I138" s="1813"/>
      <c r="J138" s="1814"/>
      <c r="Q138" s="1814"/>
      <c r="U138" s="1815"/>
      <c r="V138" s="1815"/>
    </row>
    <row r="139" spans="1:28" x14ac:dyDescent="0.2">
      <c r="I139" s="1813"/>
      <c r="J139" s="1814"/>
      <c r="Q139" s="1814"/>
      <c r="U139" s="1815"/>
      <c r="V139" s="1815"/>
    </row>
    <row r="140" spans="1:28" x14ac:dyDescent="0.2">
      <c r="I140" s="1813"/>
      <c r="J140" s="1814"/>
      <c r="Q140" s="1814"/>
      <c r="U140" s="1815"/>
      <c r="V140" s="1815"/>
    </row>
    <row r="141" spans="1:28" x14ac:dyDescent="0.2">
      <c r="I141" s="1813"/>
      <c r="J141" s="1814"/>
      <c r="Q141" s="1814"/>
      <c r="U141" s="1815"/>
      <c r="V141" s="1815"/>
    </row>
    <row r="142" spans="1:28" x14ac:dyDescent="0.2">
      <c r="I142" s="1813"/>
      <c r="J142" s="1814"/>
      <c r="Q142" s="1814"/>
      <c r="U142" s="1815"/>
      <c r="V142" s="1815"/>
    </row>
    <row r="143" spans="1:28" x14ac:dyDescent="0.2">
      <c r="I143" s="1813"/>
      <c r="J143" s="1814"/>
      <c r="Q143" s="1814"/>
      <c r="U143" s="1815"/>
      <c r="V143" s="1815"/>
    </row>
    <row r="144" spans="1:28" x14ac:dyDescent="0.2">
      <c r="I144" s="1813"/>
      <c r="J144" s="1814"/>
      <c r="Q144" s="1814"/>
      <c r="U144" s="1815"/>
      <c r="V144" s="1815"/>
    </row>
    <row r="145" spans="9:22" x14ac:dyDescent="0.2">
      <c r="I145" s="1813"/>
      <c r="J145" s="1814"/>
      <c r="Q145" s="1814"/>
      <c r="U145" s="1815"/>
      <c r="V145" s="1815"/>
    </row>
    <row r="146" spans="9:22" x14ac:dyDescent="0.2">
      <c r="I146" s="1813"/>
      <c r="J146" s="1814"/>
      <c r="Q146" s="1814"/>
      <c r="U146" s="1815"/>
      <c r="V146" s="1815"/>
    </row>
    <row r="147" spans="9:22" x14ac:dyDescent="0.2">
      <c r="I147" s="1813"/>
      <c r="J147" s="1814"/>
      <c r="Q147" s="1814"/>
      <c r="U147" s="1815"/>
      <c r="V147" s="1815"/>
    </row>
    <row r="148" spans="9:22" x14ac:dyDescent="0.2">
      <c r="I148" s="1813"/>
      <c r="J148" s="1814"/>
      <c r="Q148" s="1814"/>
      <c r="U148" s="1815"/>
      <c r="V148" s="1815"/>
    </row>
    <row r="149" spans="9:22" x14ac:dyDescent="0.2">
      <c r="I149" s="1813"/>
      <c r="J149" s="1814"/>
      <c r="Q149" s="1814"/>
      <c r="U149" s="1815"/>
      <c r="V149" s="1815"/>
    </row>
    <row r="150" spans="9:22" x14ac:dyDescent="0.2">
      <c r="I150" s="1813"/>
      <c r="J150" s="1814"/>
      <c r="Q150" s="1814"/>
      <c r="U150" s="1815"/>
      <c r="V150" s="1815"/>
    </row>
    <row r="151" spans="9:22" x14ac:dyDescent="0.2">
      <c r="I151" s="1813"/>
      <c r="J151" s="1814"/>
      <c r="Q151" s="1814"/>
      <c r="U151" s="1815"/>
      <c r="V151" s="1815"/>
    </row>
    <row r="152" spans="9:22" x14ac:dyDescent="0.2">
      <c r="I152" s="1813"/>
      <c r="J152" s="1814"/>
      <c r="Q152" s="1814"/>
      <c r="U152" s="1815"/>
      <c r="V152" s="1815"/>
    </row>
    <row r="153" spans="9:22" x14ac:dyDescent="0.2">
      <c r="I153" s="1813"/>
      <c r="J153" s="1814"/>
      <c r="Q153" s="1814"/>
      <c r="U153" s="1815"/>
      <c r="V153" s="1815"/>
    </row>
    <row r="154" spans="9:22" x14ac:dyDescent="0.2">
      <c r="I154" s="1813"/>
      <c r="J154" s="1814"/>
      <c r="Q154" s="1814"/>
      <c r="U154" s="1815"/>
      <c r="V154" s="1815"/>
    </row>
    <row r="155" spans="9:22" x14ac:dyDescent="0.2">
      <c r="I155" s="1813"/>
      <c r="J155" s="1814"/>
      <c r="Q155" s="1814"/>
      <c r="U155" s="1815"/>
      <c r="V155" s="1815"/>
    </row>
    <row r="156" spans="9:22" x14ac:dyDescent="0.2">
      <c r="I156" s="1813"/>
      <c r="J156" s="1814"/>
      <c r="Q156" s="1814"/>
      <c r="U156" s="1815"/>
      <c r="V156" s="1815"/>
    </row>
    <row r="157" spans="9:22" x14ac:dyDescent="0.2">
      <c r="I157" s="1813"/>
      <c r="J157" s="1814"/>
      <c r="Q157" s="1814"/>
      <c r="U157" s="1815"/>
      <c r="V157" s="1815"/>
    </row>
    <row r="158" spans="9:22" x14ac:dyDescent="0.2">
      <c r="I158" s="1813"/>
      <c r="J158" s="1814"/>
      <c r="Q158" s="1814"/>
      <c r="U158" s="1815"/>
      <c r="V158" s="1815"/>
    </row>
    <row r="159" spans="9:22" x14ac:dyDescent="0.2">
      <c r="I159" s="1813"/>
      <c r="J159" s="1814"/>
      <c r="Q159" s="1814"/>
      <c r="U159" s="1815"/>
      <c r="V159" s="1815"/>
    </row>
    <row r="160" spans="9:22" x14ac:dyDescent="0.2">
      <c r="I160" s="1813"/>
      <c r="J160" s="1814"/>
      <c r="Q160" s="1814"/>
      <c r="U160" s="1815"/>
      <c r="V160" s="1815"/>
    </row>
    <row r="161" spans="9:22" x14ac:dyDescent="0.2">
      <c r="I161" s="1813"/>
      <c r="J161" s="1814"/>
      <c r="Q161" s="1814"/>
      <c r="U161" s="1815"/>
      <c r="V161" s="1815"/>
    </row>
    <row r="162" spans="9:22" x14ac:dyDescent="0.2">
      <c r="I162" s="1813"/>
      <c r="J162" s="1814"/>
      <c r="Q162" s="1814"/>
      <c r="U162" s="1815"/>
      <c r="V162" s="1815"/>
    </row>
    <row r="163" spans="9:22" x14ac:dyDescent="0.2">
      <c r="I163" s="1813"/>
      <c r="J163" s="1814"/>
      <c r="Q163" s="1814"/>
      <c r="U163" s="1815"/>
    </row>
    <row r="164" spans="9:22" x14ac:dyDescent="0.2">
      <c r="I164" s="1813"/>
      <c r="J164" s="1814"/>
      <c r="Q164" s="1814"/>
      <c r="U164" s="1815"/>
    </row>
    <row r="165" spans="9:22" x14ac:dyDescent="0.2">
      <c r="I165" s="1813"/>
      <c r="J165" s="1814"/>
      <c r="Q165" s="1814"/>
    </row>
    <row r="166" spans="9:22" x14ac:dyDescent="0.2">
      <c r="I166" s="1813"/>
      <c r="J166" s="1814"/>
      <c r="Q166" s="1814"/>
    </row>
  </sheetData>
  <conditionalFormatting sqref="B32:F122">
    <cfRule type="cellIs" dxfId="6" priority="49" operator="equal">
      <formula>0</formula>
    </cfRule>
  </conditionalFormatting>
  <conditionalFormatting sqref="G32:G122 I32:L122 N32:S122">
    <cfRule type="expression" dxfId="5" priority="46">
      <formula>#REF!="Francs CFA"</formula>
    </cfRule>
    <cfRule type="expression" dxfId="4" priority="47">
      <formula>#REF!="US DOLLARS"</formula>
    </cfRule>
    <cfRule type="expression" dxfId="3" priority="48">
      <formula>#REF!="EUROS"</formula>
    </cfRule>
  </conditionalFormatting>
  <conditionalFormatting sqref="M32:M122">
    <cfRule type="expression" dxfId="2" priority="22">
      <formula>#REF!="Francs CFA"</formula>
    </cfRule>
    <cfRule type="expression" dxfId="1" priority="23">
      <formula>#REF!="EUROS"</formula>
    </cfRule>
    <cfRule type="expression" dxfId="0" priority="24">
      <formula>#REF!="US DOLLARS"</formula>
    </cfRule>
  </conditionalFormatting>
  <pageMargins left="0.78740157499999996" right="0.78740157499999996" top="0.984251969" bottom="0.984251969" header="0.4921259845" footer="0.4921259845"/>
  <pageSetup paperSize="9"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U706"/>
  <sheetViews>
    <sheetView zoomScale="59" zoomScaleNormal="59" zoomScalePageLayoutView="59" workbookViewId="0">
      <selection activeCell="B1" sqref="B1:B1048576"/>
    </sheetView>
  </sheetViews>
  <sheetFormatPr baseColWidth="10" defaultColWidth="12" defaultRowHeight="15" x14ac:dyDescent="0.2"/>
  <cols>
    <col min="1" max="1" width="6" style="1614" customWidth="1"/>
    <col min="2" max="2" width="62.83203125" style="1689" customWidth="1"/>
    <col min="3" max="3" width="6.1640625" style="1614" customWidth="1"/>
    <col min="4" max="5" width="96.6640625" style="1614" customWidth="1"/>
    <col min="6" max="8" width="12" style="1614" customWidth="1"/>
    <col min="9" max="9" width="7" style="1614" customWidth="1"/>
    <col min="10" max="21" width="12" style="1614" customWidth="1"/>
    <col min="22" max="16384" width="12" style="1614"/>
  </cols>
  <sheetData>
    <row r="1" spans="2:21" x14ac:dyDescent="0.2">
      <c r="B1" s="1689" t="s">
        <v>755</v>
      </c>
      <c r="D1" s="1662" t="s">
        <v>754</v>
      </c>
      <c r="E1" s="1663" t="s">
        <v>753</v>
      </c>
    </row>
    <row r="2" spans="2:21" s="1623" customFormat="1" ht="45" x14ac:dyDescent="0.2">
      <c r="B2" s="1631" t="str">
        <f>IF(Presentation!$D$2="Français",'TRAD-Prices 10-2011 GPRM'!D2,IF(Presentation!$D$2="Anglais",'TRAD-Prices 10-2011 GPRM'!E2,""))</f>
        <v>PRIX des ARV en Dollar US $ d'après le Rapport GPRM 10-2011 pour les pays à faibles revenus (Low Income Countries)</v>
      </c>
      <c r="D2" s="1664" t="s">
        <v>578</v>
      </c>
      <c r="E2" s="1664" t="s">
        <v>1423</v>
      </c>
      <c r="F2" s="1665"/>
      <c r="G2" s="1665"/>
      <c r="H2" s="1665"/>
      <c r="I2" s="1665"/>
      <c r="J2" s="1665"/>
      <c r="K2" s="1665"/>
      <c r="L2" s="1665"/>
      <c r="M2" s="1665"/>
      <c r="N2" s="1665"/>
      <c r="O2" s="1665"/>
      <c r="P2" s="1665"/>
      <c r="Q2" s="1665"/>
      <c r="R2" s="1665"/>
      <c r="S2" s="1665"/>
      <c r="T2" s="1665"/>
      <c r="U2" s="1665"/>
    </row>
    <row r="3" spans="2:21" s="1623" customFormat="1" x14ac:dyDescent="0.2">
      <c r="B3" s="1631" t="str">
        <f>IF(Presentation!$D$2="Français",'TRAD-Prices 10-2011 GPRM'!D3,IF(Presentation!$D$2="Anglais",'TRAD-Prices 10-2011 GPRM'!E3,""))</f>
        <v>NOTE D'INFORMATION</v>
      </c>
      <c r="D3" s="1664" t="s">
        <v>230</v>
      </c>
      <c r="E3" s="1664" t="s">
        <v>1059</v>
      </c>
      <c r="F3" s="1666"/>
      <c r="G3" s="1666"/>
      <c r="H3" s="1666"/>
      <c r="I3" s="1666"/>
      <c r="J3" s="1666"/>
      <c r="K3" s="1666"/>
      <c r="L3" s="1666"/>
      <c r="M3" s="1666"/>
      <c r="N3" s="1666"/>
      <c r="O3" s="1666"/>
      <c r="P3" s="1666"/>
      <c r="Q3" s="1666"/>
      <c r="R3" s="1666"/>
      <c r="S3" s="1666"/>
      <c r="T3" s="1666"/>
      <c r="U3" s="1666"/>
    </row>
    <row r="4" spans="2:21" s="1623" customFormat="1" ht="45" x14ac:dyDescent="0.2">
      <c r="B4" s="1631" t="str">
        <f>IF(Presentation!$D$2="Français",'TRAD-Prices 10-2011 GPRM'!D4,IF(Presentation!$D$2="Anglais",'TRAD-Prices 10-2011 GPRM'!E4,""))</f>
        <v>Les données présentées dans ce tableau sont issus du rapport du GPRM, OMS, d'octobre 2011 (Source  http://www.who.int/hiv/amds/)</v>
      </c>
      <c r="D4" s="1664" t="s">
        <v>579</v>
      </c>
      <c r="E4" s="1617" t="s">
        <v>1031</v>
      </c>
      <c r="F4" s="1667"/>
      <c r="G4" s="1667"/>
      <c r="H4" s="1667"/>
      <c r="I4" s="1667"/>
      <c r="J4" s="1668"/>
      <c r="K4" s="1669"/>
      <c r="L4" s="1667"/>
      <c r="M4" s="1667"/>
      <c r="N4" s="1667"/>
      <c r="O4" s="1670"/>
      <c r="P4" s="1667"/>
      <c r="Q4" s="1667"/>
      <c r="R4" s="1669"/>
      <c r="S4" s="1667"/>
      <c r="T4" s="1667"/>
      <c r="U4" s="1667"/>
    </row>
    <row r="5" spans="2:21" s="1623" customFormat="1" ht="45" x14ac:dyDescent="0.2">
      <c r="B5" s="1631" t="str">
        <f>IF(Presentation!$D$2="Français",'TRAD-Prices 10-2011 GPRM'!D5,IF(Presentation!$D$2="Anglais",'TRAD-Prices 10-2011 GPRM'!E5,""))</f>
        <v>Lorsque les données n'étaient pas présentes dans le rapport 12-2010, nous avons gardé les données du rapport précédent.</v>
      </c>
      <c r="D5" s="1664" t="s">
        <v>580</v>
      </c>
      <c r="E5" s="1617" t="s">
        <v>1027</v>
      </c>
      <c r="F5" s="1667"/>
      <c r="G5" s="1667"/>
      <c r="H5" s="1667"/>
      <c r="I5" s="1667"/>
      <c r="J5" s="1668"/>
      <c r="K5" s="1669"/>
      <c r="L5" s="1667"/>
      <c r="M5" s="1667"/>
      <c r="N5" s="1667"/>
      <c r="O5" s="1670"/>
      <c r="P5" s="1667"/>
      <c r="Q5" s="1667"/>
      <c r="R5" s="1669"/>
      <c r="S5" s="1667"/>
      <c r="T5" s="1667"/>
      <c r="U5" s="1667"/>
    </row>
    <row r="6" spans="2:21" s="1623" customFormat="1" ht="30" x14ac:dyDescent="0.2">
      <c r="B6" s="1631" t="str">
        <f>IF(Presentation!$D$2="Français",'TRAD-Prices 10-2011 GPRM'!D6,IF(Presentation!$D$2="Anglais",'TRAD-Prices 10-2011 GPRM'!E6,""))</f>
        <v>Les calculs ont été faits en rapportant les prix annuels par jour et par nombre de prise</v>
      </c>
      <c r="D6" s="1664" t="s">
        <v>145</v>
      </c>
      <c r="E6" s="1617" t="s">
        <v>1028</v>
      </c>
      <c r="F6" s="1667"/>
      <c r="G6" s="1667"/>
      <c r="H6" s="1667"/>
      <c r="I6" s="1667"/>
      <c r="J6" s="1668"/>
      <c r="K6" s="1669"/>
      <c r="L6" s="1667"/>
      <c r="M6" s="1667"/>
      <c r="N6" s="1667"/>
      <c r="O6" s="1667"/>
      <c r="P6" s="1667"/>
      <c r="Q6" s="1667"/>
      <c r="R6" s="1669"/>
      <c r="S6" s="1667"/>
      <c r="T6" s="1667"/>
      <c r="U6" s="1667"/>
    </row>
    <row r="7" spans="2:21" s="1623" customFormat="1" ht="45" x14ac:dyDescent="0.2">
      <c r="B7" s="1631" t="str">
        <f>IF(Presentation!$D$2="Français",'TRAD-Prices 10-2011 GPRM'!D7,IF(Presentation!$D$2="Anglais",'TRAD-Prices 10-2011 GPRM'!E7,""))</f>
        <v>Pour les ARV pédiatriques, 2 possibilités existent dans le rapport GPRM, pour les enfants de 5 et de 10 kg. Nous avons mentionné les 2 prix, qui varient peu entre eux.</v>
      </c>
      <c r="D7" s="1664" t="s">
        <v>146</v>
      </c>
      <c r="E7" s="1617" t="s">
        <v>1029</v>
      </c>
      <c r="F7" s="1667"/>
      <c r="G7" s="1667"/>
      <c r="H7" s="1667"/>
      <c r="I7" s="1667"/>
      <c r="J7" s="1668"/>
      <c r="K7" s="1669"/>
      <c r="L7" s="1667"/>
      <c r="M7" s="1667"/>
      <c r="N7" s="1667"/>
      <c r="O7" s="1667"/>
      <c r="P7" s="1667"/>
      <c r="Q7" s="1667"/>
      <c r="R7" s="1669"/>
      <c r="S7" s="1667"/>
      <c r="T7" s="1667"/>
      <c r="U7" s="1667"/>
    </row>
    <row r="8" spans="2:21" s="1623" customFormat="1" ht="60" x14ac:dyDescent="0.2">
      <c r="B8" s="1631" t="str">
        <f>IF(Presentation!$D$2="Français",'TRAD-Prices 10-2011 GPRM'!D8,IF(Presentation!$D$2="Anglais",'TRAD-Prices 10-2011 GPRM'!E8,""))</f>
        <v>Les quantités de prises par boites ou les volumes des flacons peuvent changer en fonction des fournisseurs. Des emballages secondaires peuvent aussi varier (LPV/r sol. buv.)</v>
      </c>
      <c r="D8" s="1664" t="s">
        <v>231</v>
      </c>
      <c r="E8" s="1617" t="s">
        <v>1424</v>
      </c>
      <c r="F8" s="1667"/>
      <c r="G8" s="1667"/>
      <c r="H8" s="1667"/>
      <c r="I8" s="1667"/>
      <c r="J8" s="1668"/>
      <c r="K8" s="1669"/>
      <c r="L8" s="1667"/>
      <c r="M8" s="1667"/>
      <c r="N8" s="1667"/>
      <c r="O8" s="1667"/>
      <c r="P8" s="1667"/>
      <c r="Q8" s="1667"/>
      <c r="R8" s="1669"/>
      <c r="S8" s="1667"/>
      <c r="T8" s="1667"/>
      <c r="U8" s="1667"/>
    </row>
    <row r="9" spans="2:21" s="1623" customFormat="1" ht="30" x14ac:dyDescent="0.2">
      <c r="B9" s="1631" t="str">
        <f>IF(Presentation!$D$2="Français",'TRAD-Prices 10-2011 GPRM'!D9,IF(Presentation!$D$2="Anglais",'TRAD-Prices 10-2011 GPRM'!E9,""))</f>
        <v>Attention les cellules contiennent des formules. Si vous copiez les données, pensées à ne copier que les valeurs</v>
      </c>
      <c r="D9" s="1664" t="s">
        <v>147</v>
      </c>
      <c r="E9" s="1617" t="s">
        <v>1030</v>
      </c>
      <c r="F9" s="1667"/>
      <c r="G9" s="1667"/>
      <c r="H9" s="1667"/>
      <c r="I9" s="1667"/>
      <c r="J9" s="1668"/>
      <c r="K9" s="1669"/>
      <c r="L9" s="1667"/>
      <c r="M9" s="1667"/>
      <c r="N9" s="1667"/>
      <c r="O9" s="1667"/>
      <c r="P9" s="1667"/>
      <c r="Q9" s="1667"/>
      <c r="R9" s="1669"/>
      <c r="S9" s="1667"/>
      <c r="T9" s="1667"/>
      <c r="U9" s="1667"/>
    </row>
    <row r="10" spans="2:21" s="1623" customFormat="1" ht="30" x14ac:dyDescent="0.2">
      <c r="B10" s="1631" t="str">
        <f>IF(Presentation!$D$2="Français",'TRAD-Prices 10-2011 GPRM'!D10,IF(Presentation!$D$2="Anglais",'TRAD-Prices 10-2011 GPRM'!E10,""))</f>
        <v>Commentaire mentionné dans le rapport GPRM sur la nature des prix présentés</v>
      </c>
      <c r="D10" s="1664" t="s">
        <v>581</v>
      </c>
      <c r="E10" s="1617" t="s">
        <v>1032</v>
      </c>
      <c r="F10" s="1667"/>
      <c r="G10" s="1667"/>
      <c r="H10" s="1671"/>
      <c r="I10" s="1672"/>
      <c r="J10" s="1673"/>
      <c r="K10" s="1669"/>
      <c r="L10" s="1674"/>
      <c r="M10" s="1674"/>
      <c r="N10" s="1674"/>
      <c r="O10" s="1674"/>
      <c r="P10" s="1674"/>
      <c r="Q10" s="1674"/>
      <c r="R10" s="1669"/>
      <c r="S10" s="1674"/>
      <c r="T10" s="1674"/>
      <c r="U10" s="1674"/>
    </row>
    <row r="11" spans="2:21" s="1623" customFormat="1" ht="165" x14ac:dyDescent="0.2">
      <c r="B11" s="1631" t="str">
        <f>IF(Presentation!$D$2="Français",'TRAD-Prices 10-2011 GPRM'!D11,IF(Presentation!$D$2="Anglais",'TRAD-Prices 10-2011 GPRM'!E11,""))</f>
        <v>Les prix mentionnés dans ce rapport sont ceux  des transactions internationales, et non ceux  payés par le bénéficiaire au niveau des pays. Les prix du bénéficiaire sont souvent plus élevés que ceux des transactions internationales en raison des frais de douane, taxes, frais de transport, et les marges. Toutefois, dans certains cas, les prix de revient pourraient être inférieurs aux prix des transactions internationales en raison des subventions. Pour avoir plus d'informations sur les prix de revient, consultez  le site Web de Health Action International à http://www.haiweb.org/medicineprices/16.</v>
      </c>
      <c r="D11" s="1675" t="s">
        <v>1033</v>
      </c>
      <c r="E11" s="1664" t="s">
        <v>582</v>
      </c>
      <c r="F11" s="1664"/>
      <c r="G11" s="1664"/>
      <c r="H11" s="1664"/>
      <c r="I11" s="1664"/>
      <c r="J11" s="1664"/>
      <c r="K11" s="1664"/>
      <c r="L11" s="1664"/>
      <c r="M11" s="1664"/>
      <c r="N11" s="1664"/>
      <c r="O11" s="1664"/>
      <c r="P11" s="1664"/>
      <c r="Q11" s="1664"/>
      <c r="R11" s="1664"/>
      <c r="S11" s="1664"/>
      <c r="T11" s="1664"/>
      <c r="U11" s="1667"/>
    </row>
    <row r="12" spans="2:21" s="1623" customFormat="1" ht="60" x14ac:dyDescent="0.2">
      <c r="B12" s="1631" t="str">
        <f>IF(Presentation!$D$2="Français",'TRAD-Prices 10-2011 GPRM'!D12,IF(Presentation!$D$2="Anglais",'TRAD-Prices 10-2011 GPRM'!E12,""))</f>
        <v>Les taxes, les tarifs, et / ou Termes Commerciaux Internationaux (INCOTERMS: coût ou conditions de transport, d'assurance, etc) ne sont pas déclarés et ne sont donc pas considérés † †.</v>
      </c>
      <c r="D12" s="1617" t="s">
        <v>1034</v>
      </c>
      <c r="E12" s="1664" t="s">
        <v>583</v>
      </c>
      <c r="F12" s="1667"/>
      <c r="G12" s="1667"/>
      <c r="H12" s="1667"/>
      <c r="I12" s="1667"/>
      <c r="J12" s="1667"/>
      <c r="K12" s="1667"/>
      <c r="L12" s="1667"/>
      <c r="M12" s="1667"/>
      <c r="N12" s="1667"/>
      <c r="O12" s="1667"/>
      <c r="P12" s="1667"/>
      <c r="Q12" s="1667"/>
      <c r="R12" s="1667"/>
      <c r="S12" s="1667"/>
      <c r="T12" s="1667"/>
      <c r="U12" s="1667"/>
    </row>
    <row r="13" spans="2:21" s="1623" customFormat="1" ht="45" x14ac:dyDescent="0.2">
      <c r="B13" s="1631" t="str">
        <f>IF(Presentation!$D$2="Français",'TRAD-Prices 10-2011 GPRM'!D13,IF(Presentation!$D$2="Anglais",'TRAD-Prices 10-2011 GPRM'!E13,""))</f>
        <v>Les  précédentes  enquêtes menées par  l'Office de la comptabilité et des sciences de gestion de la santé du gouvernement des États-Unis a suggéré</v>
      </c>
      <c r="D13" s="1617" t="s">
        <v>1035</v>
      </c>
      <c r="E13" s="1664" t="s">
        <v>584</v>
      </c>
      <c r="F13" s="1667"/>
      <c r="G13" s="1667"/>
      <c r="H13" s="1667"/>
      <c r="I13" s="1667"/>
      <c r="J13" s="1667"/>
      <c r="K13" s="1667"/>
      <c r="L13" s="1667"/>
      <c r="M13" s="1667"/>
      <c r="N13" s="1667"/>
      <c r="O13" s="1667"/>
      <c r="P13" s="1667"/>
      <c r="Q13" s="1667"/>
      <c r="R13" s="1667"/>
      <c r="S13" s="1667"/>
      <c r="T13" s="1667"/>
      <c r="U13" s="1667"/>
    </row>
    <row r="14" spans="2:21" s="1623" customFormat="1" ht="45" x14ac:dyDescent="0.2">
      <c r="B14" s="1631" t="str">
        <f>IF(Presentation!$D$2="Français",'TRAD-Prices 10-2011 GPRM'!D14,IF(Presentation!$D$2="Anglais",'TRAD-Prices 10-2011 GPRM'!E14,""))</f>
        <v xml:space="preserve">que toute variation dans les INCOTERMS constituait une augmentation de 3% -15% sur la fabrication ou prix 12 ex works (EXW) </v>
      </c>
      <c r="D14" s="1617" t="s">
        <v>1036</v>
      </c>
      <c r="E14" s="1664" t="s">
        <v>585</v>
      </c>
      <c r="G14" s="1667"/>
      <c r="H14" s="1667"/>
      <c r="I14" s="1667"/>
      <c r="J14" s="1667"/>
      <c r="K14" s="1667"/>
      <c r="L14" s="1667"/>
      <c r="M14" s="1667"/>
      <c r="N14" s="1667"/>
      <c r="O14" s="1667"/>
      <c r="P14" s="1667"/>
      <c r="Q14" s="1667"/>
      <c r="R14" s="1667"/>
      <c r="S14" s="1667"/>
      <c r="T14" s="1667"/>
      <c r="U14" s="1667"/>
    </row>
    <row r="15" spans="2:21" s="1623" customFormat="1" x14ac:dyDescent="0.2">
      <c r="B15" s="1631" t="str">
        <f>IF(Presentation!$D$2="Français",'TRAD-Prices 10-2011 GPRM'!D15,IF(Presentation!$D$2="Anglais",'TRAD-Prices 10-2011 GPRM'!E15,""))</f>
        <v>FORMES ADULTES</v>
      </c>
      <c r="D15" s="1664" t="s">
        <v>148</v>
      </c>
      <c r="E15" s="1664" t="s">
        <v>1037</v>
      </c>
      <c r="F15" s="1666"/>
      <c r="G15" s="1666"/>
      <c r="H15" s="1666"/>
      <c r="I15" s="1666"/>
      <c r="J15" s="1666"/>
      <c r="K15" s="1666"/>
      <c r="L15" s="1666"/>
      <c r="M15" s="1666"/>
      <c r="N15" s="1666"/>
      <c r="O15" s="1666"/>
      <c r="P15" s="1666"/>
      <c r="Q15" s="1666"/>
      <c r="R15" s="1666"/>
      <c r="S15" s="1666"/>
      <c r="T15" s="1666"/>
      <c r="U15" s="1666"/>
    </row>
    <row r="16" spans="2:21" s="1623" customFormat="1" x14ac:dyDescent="0.2">
      <c r="B16" s="1631" t="str">
        <f>IF(Presentation!$D$2="Français",'TRAD-Prices 10-2011 GPRM'!D16,IF(Presentation!$D$2="Anglais",'TRAD-Prices 10-2011 GPRM'!E16,""))</f>
        <v>Qtés / boites - flacons</v>
      </c>
      <c r="D16" s="1676" t="s">
        <v>232</v>
      </c>
      <c r="E16" s="1676" t="s">
        <v>1038</v>
      </c>
      <c r="F16" s="1667"/>
      <c r="G16" s="1667"/>
      <c r="H16" s="1667"/>
      <c r="I16" s="1667"/>
      <c r="J16" s="1668"/>
      <c r="K16" s="1669"/>
      <c r="L16" s="1667"/>
      <c r="M16" s="1667"/>
      <c r="N16" s="1667"/>
      <c r="O16" s="1667"/>
      <c r="P16" s="1667"/>
      <c r="Q16" s="1667"/>
      <c r="R16" s="1669"/>
      <c r="S16" s="1667"/>
      <c r="T16" s="1667"/>
      <c r="U16" s="1667"/>
    </row>
    <row r="17" spans="2:21" s="1623" customFormat="1" x14ac:dyDescent="0.2">
      <c r="B17" s="1631" t="str">
        <f>IF(Presentation!$D$2="Français",'TRAD-Prices 10-2011 GPRM'!D17,IF(Presentation!$D$2="Anglais",'TRAD-Prices 10-2011 GPRM'!E17,""))</f>
        <v>DCI</v>
      </c>
      <c r="D17" s="1664" t="s">
        <v>152</v>
      </c>
      <c r="E17" s="1664" t="s">
        <v>698</v>
      </c>
      <c r="F17" s="1677"/>
      <c r="G17" s="1677"/>
      <c r="H17" s="1677"/>
      <c r="I17" s="1678"/>
      <c r="J17" s="1679"/>
      <c r="M17" s="1677"/>
      <c r="N17" s="1677"/>
      <c r="P17" s="1677"/>
      <c r="Q17" s="1677"/>
      <c r="S17" s="1677"/>
      <c r="T17" s="1677"/>
      <c r="U17" s="1677"/>
    </row>
    <row r="18" spans="2:21" s="1623" customFormat="1" x14ac:dyDescent="0.2">
      <c r="B18" s="1631" t="str">
        <f>IF(Presentation!$D$2="Français",'TRAD-Prices 10-2011 GPRM'!D18,IF(Presentation!$D$2="Anglais",'TRAD-Prices 10-2011 GPRM'!E18,""))</f>
        <v>Dosage</v>
      </c>
      <c r="D18" s="1664" t="s">
        <v>2</v>
      </c>
      <c r="E18" s="1664" t="s">
        <v>2</v>
      </c>
      <c r="K18" s="1679"/>
      <c r="M18" s="1677"/>
      <c r="N18" s="1677"/>
      <c r="O18" s="1677"/>
      <c r="P18" s="1677"/>
      <c r="Q18" s="1677"/>
      <c r="R18" s="1677"/>
      <c r="S18" s="1677"/>
      <c r="T18" s="1677"/>
      <c r="U18" s="1677"/>
    </row>
    <row r="19" spans="2:21" s="1623" customFormat="1" x14ac:dyDescent="0.2">
      <c r="B19" s="1631" t="str">
        <f>IF(Presentation!$D$2="Français",'TRAD-Prices 10-2011 GPRM'!D19,IF(Presentation!$D$2="Anglais",'TRAD-Prices 10-2011 GPRM'!E19,""))</f>
        <v>1ères lignes</v>
      </c>
      <c r="D19" s="1664" t="s">
        <v>134</v>
      </c>
      <c r="E19" s="1664" t="s">
        <v>426</v>
      </c>
      <c r="F19" s="1664"/>
      <c r="G19" s="1664"/>
      <c r="H19" s="1664"/>
      <c r="I19" s="1671"/>
      <c r="J19" s="1671"/>
      <c r="K19" s="1680"/>
      <c r="L19" s="1674"/>
      <c r="M19" s="1674"/>
      <c r="N19" s="1674"/>
      <c r="O19" s="1681"/>
      <c r="P19" s="1681"/>
      <c r="Q19" s="1681"/>
      <c r="R19" s="1681"/>
      <c r="S19" s="1681"/>
      <c r="T19" s="1681"/>
      <c r="U19" s="1667"/>
    </row>
    <row r="20" spans="2:21" s="1623" customFormat="1" x14ac:dyDescent="0.2">
      <c r="B20" s="1631" t="str">
        <f>IF(Presentation!$D$2="Français",'TRAD-Prices 10-2011 GPRM'!D20,IF(Presentation!$D$2="Anglais",'TRAD-Prices 10-2011 GPRM'!E20,""))</f>
        <v>Unité dosage</v>
      </c>
      <c r="D20" s="1664" t="s">
        <v>153</v>
      </c>
      <c r="E20" s="1664" t="s">
        <v>1061</v>
      </c>
      <c r="F20" s="1664"/>
      <c r="G20" s="1664"/>
      <c r="H20" s="1664"/>
      <c r="I20" s="1671"/>
      <c r="J20" s="1671"/>
      <c r="K20" s="1680"/>
      <c r="L20" s="1674"/>
      <c r="M20" s="1674"/>
      <c r="N20" s="1674"/>
      <c r="O20" s="1681"/>
      <c r="P20" s="1681"/>
      <c r="Q20" s="1681"/>
      <c r="R20" s="1681"/>
      <c r="S20" s="1681"/>
      <c r="T20" s="1681"/>
      <c r="U20" s="1667"/>
    </row>
    <row r="21" spans="2:21" s="1623" customFormat="1" x14ac:dyDescent="0.2">
      <c r="B21" s="1631" t="str">
        <f>IF(Presentation!$D$2="Français",'TRAD-Prices 10-2011 GPRM'!D21,IF(Presentation!$D$2="Anglais",'TRAD-Prices 10-2011 GPRM'!E21,""))</f>
        <v>Forme</v>
      </c>
      <c r="D21" s="1682" t="s">
        <v>154</v>
      </c>
      <c r="E21" s="1664" t="s">
        <v>958</v>
      </c>
      <c r="F21" s="1664"/>
      <c r="G21" s="1664"/>
      <c r="H21" s="1664"/>
      <c r="I21" s="1671"/>
      <c r="J21" s="1671"/>
      <c r="K21" s="1680"/>
      <c r="L21" s="1674"/>
      <c r="M21" s="1674"/>
      <c r="N21" s="1674"/>
      <c r="O21" s="1681"/>
      <c r="P21" s="1681"/>
      <c r="Q21" s="1681"/>
      <c r="R21" s="1681"/>
      <c r="S21" s="1681"/>
      <c r="T21" s="1681"/>
      <c r="U21" s="1667"/>
    </row>
    <row r="22" spans="2:21" s="1623" customFormat="1" x14ac:dyDescent="0.2">
      <c r="B22" s="1631" t="str">
        <f>IF(Presentation!$D$2="Français",'TRAD-Prices 10-2011 GPRM'!D22,IF(Presentation!$D$2="Anglais",'TRAD-Prices 10-2011 GPRM'!E22,""))</f>
        <v>Nb d'unité de prises / jour</v>
      </c>
      <c r="D22" s="1676" t="s">
        <v>155</v>
      </c>
      <c r="E22" s="1664" t="s">
        <v>1039</v>
      </c>
      <c r="F22" s="1664"/>
      <c r="G22" s="1664"/>
      <c r="H22" s="1664"/>
      <c r="I22" s="1671"/>
      <c r="J22" s="1671"/>
      <c r="K22" s="1680"/>
      <c r="L22" s="1674"/>
      <c r="M22" s="1674"/>
      <c r="N22" s="1674"/>
      <c r="O22" s="1681"/>
      <c r="P22" s="1681"/>
      <c r="Q22" s="1681"/>
      <c r="R22" s="1681"/>
      <c r="S22" s="1681"/>
      <c r="T22" s="1681"/>
      <c r="U22" s="1667"/>
    </row>
    <row r="23" spans="2:21" s="1623" customFormat="1" x14ac:dyDescent="0.2">
      <c r="B23" s="1631" t="str">
        <f>IF(Presentation!$D$2="Français",'TRAD-Prices 10-2011 GPRM'!D23,IF(Presentation!$D$2="Anglais",'TRAD-Prices 10-2011 GPRM'!E23,""))</f>
        <v>Prix annuel / patient (US$)</v>
      </c>
      <c r="D23" s="1664" t="s">
        <v>233</v>
      </c>
      <c r="E23" s="1664" t="s">
        <v>1040</v>
      </c>
      <c r="F23" s="1664"/>
      <c r="G23" s="1664"/>
      <c r="H23" s="1664"/>
      <c r="I23" s="1671"/>
      <c r="J23" s="1671"/>
      <c r="K23" s="1680"/>
      <c r="L23" s="1674"/>
      <c r="M23" s="1674"/>
      <c r="N23" s="1674"/>
      <c r="O23" s="1681"/>
      <c r="P23" s="1681"/>
      <c r="Q23" s="1681"/>
      <c r="R23" s="1681"/>
      <c r="S23" s="1681"/>
      <c r="T23" s="1681"/>
      <c r="U23" s="1667"/>
    </row>
    <row r="24" spans="2:21" s="1623" customFormat="1" x14ac:dyDescent="0.2">
      <c r="B24" s="1631" t="str">
        <f>IF(Presentation!$D$2="Français",'TRAD-Prices 10-2011 GPRM'!D24,IF(Presentation!$D$2="Anglais",'TRAD-Prices 10-2011 GPRM'!E24,""))</f>
        <v>Prix / unité de prise  (US$)</v>
      </c>
      <c r="D24" s="1664" t="s">
        <v>149</v>
      </c>
      <c r="E24" s="1664" t="s">
        <v>1041</v>
      </c>
      <c r="F24" s="1664"/>
      <c r="G24" s="1664"/>
      <c r="H24" s="1664"/>
      <c r="I24" s="1671"/>
      <c r="J24" s="1671"/>
      <c r="K24" s="1680"/>
      <c r="L24" s="1674"/>
      <c r="M24" s="1674"/>
      <c r="N24" s="1674"/>
      <c r="O24" s="1681"/>
      <c r="P24" s="1681"/>
      <c r="Q24" s="1681"/>
      <c r="R24" s="1681"/>
      <c r="S24" s="1681"/>
      <c r="T24" s="1681"/>
      <c r="U24" s="1667"/>
    </row>
    <row r="25" spans="2:21" s="1623" customFormat="1" x14ac:dyDescent="0.2">
      <c r="B25" s="1631" t="str">
        <f>IF(Presentation!$D$2="Français",'TRAD-Prices 10-2011 GPRM'!D25,IF(Presentation!$D$2="Anglais",'TRAD-Prices 10-2011 GPRM'!E25,""))</f>
        <v>Prix / boite  (US$)</v>
      </c>
      <c r="D25" s="1664" t="s">
        <v>151</v>
      </c>
      <c r="E25" s="1664" t="s">
        <v>1042</v>
      </c>
      <c r="F25" s="1664"/>
      <c r="G25" s="1664"/>
      <c r="H25" s="1664"/>
      <c r="I25" s="1671"/>
      <c r="J25" s="1671"/>
      <c r="K25" s="1680"/>
      <c r="L25" s="1674"/>
      <c r="M25" s="1674"/>
      <c r="N25" s="1674"/>
      <c r="O25" s="1681"/>
      <c r="P25" s="1681"/>
      <c r="Q25" s="1681"/>
      <c r="R25" s="1681"/>
      <c r="S25" s="1681"/>
      <c r="T25" s="1681"/>
      <c r="U25" s="1667"/>
    </row>
    <row r="26" spans="2:21" s="1623" customFormat="1" x14ac:dyDescent="0.2">
      <c r="B26" s="1631" t="str">
        <f>IF(Presentation!$D$2="Français",'TRAD-Prices 10-2011 GPRM'!D26,IF(Presentation!$D$2="Anglais",'TRAD-Prices 10-2011 GPRM'!E26,""))</f>
        <v>Médiane</v>
      </c>
      <c r="D26" s="1664" t="s">
        <v>156</v>
      </c>
      <c r="E26" s="1664" t="s">
        <v>1043</v>
      </c>
      <c r="F26" s="1664"/>
      <c r="G26" s="1664"/>
      <c r="H26" s="1664"/>
      <c r="I26" s="1671"/>
      <c r="J26" s="1671"/>
      <c r="K26" s="1680"/>
      <c r="L26" s="1674"/>
      <c r="M26" s="1674"/>
      <c r="N26" s="1674"/>
      <c r="O26" s="1681"/>
      <c r="P26" s="1681"/>
      <c r="Q26" s="1681"/>
      <c r="R26" s="1681"/>
      <c r="S26" s="1681"/>
      <c r="T26" s="1681"/>
      <c r="U26" s="1667"/>
    </row>
    <row r="27" spans="2:21" s="1623" customFormat="1" x14ac:dyDescent="0.2">
      <c r="B27" s="1631" t="str">
        <f>IF(Presentation!$D$2="Français",'TRAD-Prices 10-2011 GPRM'!D27,IF(Presentation!$D$2="Anglais",'TRAD-Prices 10-2011 GPRM'!E27,""))</f>
        <v>Caps. Molle</v>
      </c>
      <c r="D27" s="1664" t="s">
        <v>1483</v>
      </c>
      <c r="E27" s="1664" t="s">
        <v>1481</v>
      </c>
      <c r="F27" s="1664"/>
      <c r="G27" s="1664"/>
      <c r="H27" s="1664"/>
      <c r="I27" s="1671"/>
      <c r="J27" s="1671"/>
      <c r="K27" s="1680"/>
      <c r="L27" s="1674"/>
      <c r="M27" s="1674"/>
      <c r="N27" s="1674"/>
      <c r="O27" s="1681"/>
      <c r="P27" s="1681"/>
      <c r="Q27" s="1681"/>
      <c r="R27" s="1681"/>
      <c r="S27" s="1681"/>
      <c r="T27" s="1681"/>
      <c r="U27" s="1667"/>
    </row>
    <row r="28" spans="2:21" s="1623" customFormat="1" x14ac:dyDescent="0.2">
      <c r="B28" s="1631" t="str">
        <f>IF(Presentation!$D$2="Français",'TRAD-Prices 10-2011 GPRM'!D28,IF(Presentation!$D$2="Anglais",'TRAD-Prices 10-2011 GPRM'!E28,""))</f>
        <v>2 &amp; 3èmes lignes</v>
      </c>
      <c r="D28" s="1664" t="s">
        <v>135</v>
      </c>
      <c r="E28" s="1664" t="s">
        <v>1044</v>
      </c>
      <c r="F28" s="1664"/>
      <c r="G28" s="1664"/>
      <c r="H28" s="1664"/>
      <c r="I28" s="1671"/>
      <c r="J28" s="1671"/>
      <c r="K28" s="1680"/>
      <c r="L28" s="1674"/>
      <c r="M28" s="1674"/>
      <c r="N28" s="1674"/>
      <c r="O28" s="1681"/>
      <c r="P28" s="1681"/>
      <c r="Q28" s="1681"/>
      <c r="R28" s="1681"/>
      <c r="S28" s="1681"/>
      <c r="T28" s="1681"/>
      <c r="U28" s="1667"/>
    </row>
    <row r="29" spans="2:21" s="1623" customFormat="1" x14ac:dyDescent="0.2">
      <c r="B29" s="1631" t="str">
        <f>IF(Presentation!$D$2="Français",'TRAD-Prices 10-2011 GPRM'!D29,IF(Presentation!$D$2="Anglais",'TRAD-Prices 10-2011 GPRM'!E29,""))</f>
        <v>D'après MSF Untangling the web, 14th ed</v>
      </c>
      <c r="D29" s="1664" t="s">
        <v>741</v>
      </c>
      <c r="E29" s="1664" t="s">
        <v>1045</v>
      </c>
      <c r="F29" s="1664"/>
      <c r="G29" s="1664"/>
      <c r="H29" s="1664"/>
      <c r="I29" s="1671"/>
      <c r="J29" s="1671"/>
      <c r="K29" s="1680"/>
      <c r="L29" s="1674"/>
      <c r="M29" s="1674"/>
      <c r="N29" s="1674"/>
      <c r="O29" s="1681"/>
      <c r="P29" s="1681"/>
      <c r="Q29" s="1681"/>
      <c r="R29" s="1681"/>
      <c r="S29" s="1681"/>
      <c r="T29" s="1681"/>
      <c r="U29" s="1667"/>
    </row>
    <row r="30" spans="2:21" s="1623" customFormat="1" x14ac:dyDescent="0.2">
      <c r="B30" s="1631" t="str">
        <f>IF(Presentation!$D$2="Français",'TRAD-Prices 10-2011 GPRM'!D30,IF(Presentation!$D$2="Anglais",'TRAD-Prices 10-2011 GPRM'!E30,""))</f>
        <v>Gélule</v>
      </c>
      <c r="D30" s="1664" t="s">
        <v>162</v>
      </c>
      <c r="E30" s="1664" t="s">
        <v>1046</v>
      </c>
      <c r="F30" s="1664"/>
      <c r="G30" s="1664"/>
      <c r="H30" s="1664"/>
      <c r="I30" s="1671"/>
      <c r="J30" s="1671"/>
      <c r="K30" s="1680"/>
      <c r="L30" s="1674"/>
      <c r="M30" s="1674"/>
      <c r="N30" s="1674"/>
      <c r="O30" s="1681"/>
      <c r="P30" s="1681"/>
      <c r="Q30" s="1681"/>
      <c r="R30" s="1681"/>
      <c r="S30" s="1681"/>
      <c r="T30" s="1681"/>
      <c r="U30" s="1667"/>
    </row>
    <row r="31" spans="2:21" s="1623" customFormat="1" x14ac:dyDescent="0.2">
      <c r="B31" s="1631" t="str">
        <f>IF(Presentation!$D$2="Français",'TRAD-Prices 10-2011 GPRM'!D31,IF(Presentation!$D$2="Anglais",'TRAD-Prices 10-2011 GPRM'!E31,""))</f>
        <v>Nom commercial Princeps</v>
      </c>
      <c r="D31" s="1682" t="s">
        <v>358</v>
      </c>
      <c r="E31" s="1664" t="s">
        <v>1060</v>
      </c>
      <c r="F31" s="1664"/>
      <c r="G31" s="1664"/>
      <c r="H31" s="1664"/>
      <c r="I31" s="1671"/>
      <c r="J31" s="1671"/>
      <c r="K31" s="1680"/>
      <c r="L31" s="1674"/>
      <c r="M31" s="1674"/>
      <c r="N31" s="1674"/>
      <c r="O31" s="1681"/>
      <c r="P31" s="1681"/>
      <c r="Q31" s="1681"/>
      <c r="R31" s="1681"/>
      <c r="S31" s="1681"/>
      <c r="T31" s="1681"/>
      <c r="U31" s="1667"/>
    </row>
    <row r="32" spans="2:21" s="1623" customFormat="1" x14ac:dyDescent="0.2">
      <c r="B32" s="1631" t="str">
        <f>IF(Presentation!$D$2="Français",'TRAD-Prices 10-2011 GPRM'!D32,IF(Presentation!$D$2="Anglais",'TRAD-Prices 10-2011 GPRM'!E32,""))</f>
        <v>Existence d'un générique ? (G) préqualifié A ou B ? (GPQ)</v>
      </c>
      <c r="D32" s="1682" t="s">
        <v>1318</v>
      </c>
      <c r="E32" s="1664" t="s">
        <v>1047</v>
      </c>
      <c r="F32" s="1664"/>
      <c r="G32" s="1664"/>
      <c r="H32" s="1664"/>
      <c r="I32" s="1671"/>
      <c r="J32" s="1671"/>
      <c r="K32" s="1680"/>
      <c r="L32" s="1674"/>
      <c r="M32" s="1674"/>
      <c r="N32" s="1674"/>
      <c r="O32" s="1681"/>
      <c r="P32" s="1681"/>
      <c r="Q32" s="1681"/>
      <c r="R32" s="1681"/>
      <c r="S32" s="1681"/>
      <c r="T32" s="1681"/>
      <c r="U32" s="1667"/>
    </row>
    <row r="33" spans="2:21" s="1623" customFormat="1" x14ac:dyDescent="0.2">
      <c r="B33" s="1631" t="str">
        <f>IF(Presentation!$D$2="Français",'TRAD-Prices 10-2011 GPRM'!D33,IF(Presentation!$D$2="Anglais",'TRAD-Prices 10-2011 GPRM'!E33,""))</f>
        <v>Qtés / boites</v>
      </c>
      <c r="D33" s="1676" t="s">
        <v>150</v>
      </c>
      <c r="E33" s="1676" t="s">
        <v>1048</v>
      </c>
      <c r="F33" s="1664"/>
      <c r="G33" s="1664"/>
      <c r="H33" s="1664"/>
      <c r="I33" s="1671"/>
      <c r="J33" s="1671"/>
      <c r="K33" s="1680"/>
      <c r="L33" s="1674"/>
      <c r="M33" s="1674"/>
      <c r="N33" s="1674"/>
      <c r="O33" s="1681"/>
      <c r="P33" s="1681"/>
      <c r="Q33" s="1681"/>
      <c r="R33" s="1681"/>
      <c r="S33" s="1681"/>
      <c r="T33" s="1681"/>
      <c r="U33" s="1667"/>
    </row>
    <row r="34" spans="2:21" s="1623" customFormat="1" ht="30" x14ac:dyDescent="0.2">
      <c r="B34" s="1631" t="str">
        <f>IF(Presentation!$D$2="Français",'TRAD-Prices 10-2011 GPRM'!D34,IF(Presentation!$D$2="Anglais",'TRAD-Prices 10-2011 GPRM'!E34,""))</f>
        <v>Prix annuel (hors autres ARV pr trithérapie ou boost) 
(US$)</v>
      </c>
      <c r="D34" s="1676" t="s">
        <v>235</v>
      </c>
      <c r="E34" s="1664" t="s">
        <v>1049</v>
      </c>
      <c r="F34" s="1664"/>
      <c r="G34" s="1664"/>
      <c r="H34" s="1664"/>
      <c r="I34" s="1671"/>
      <c r="J34" s="1671"/>
      <c r="K34" s="1680"/>
      <c r="L34" s="1674"/>
      <c r="M34" s="1674"/>
      <c r="N34" s="1674"/>
      <c r="O34" s="1681"/>
      <c r="P34" s="1681"/>
      <c r="Q34" s="1681"/>
      <c r="R34" s="1681"/>
      <c r="S34" s="1681"/>
      <c r="T34" s="1681"/>
      <c r="U34" s="1667"/>
    </row>
    <row r="35" spans="2:21" s="1623" customFormat="1" x14ac:dyDescent="0.2">
      <c r="B35" s="1631" t="str">
        <f>IF(Presentation!$D$2="Français",'TRAD-Prices 10-2011 GPRM'!D35,IF(Presentation!$D$2="Anglais",'TRAD-Prices 10-2011 GPRM'!E35,""))</f>
        <v>Source</v>
      </c>
      <c r="D35" s="1676" t="s">
        <v>375</v>
      </c>
      <c r="E35" s="1664" t="s">
        <v>1050</v>
      </c>
      <c r="F35" s="1664"/>
      <c r="G35" s="1664"/>
      <c r="H35" s="1664"/>
      <c r="I35" s="1671"/>
      <c r="J35" s="1671"/>
      <c r="K35" s="1680"/>
      <c r="L35" s="1674"/>
      <c r="M35" s="1674"/>
      <c r="N35" s="1674"/>
      <c r="O35" s="1681"/>
      <c r="P35" s="1681"/>
      <c r="Q35" s="1681"/>
      <c r="R35" s="1681"/>
      <c r="S35" s="1681"/>
      <c r="T35" s="1681"/>
      <c r="U35" s="1667"/>
    </row>
    <row r="36" spans="2:21" s="1623" customFormat="1" x14ac:dyDescent="0.2">
      <c r="B36" s="1631" t="str">
        <f>IF(Presentation!$D$2="Français",'TRAD-Prices 10-2011 GPRM'!D36,IF(Presentation!$D$2="Anglais",'TRAD-Prices 10-2011 GPRM'!E36,""))</f>
        <v>Matrix/Mylan</v>
      </c>
      <c r="D36" s="1676" t="s">
        <v>592</v>
      </c>
      <c r="E36" s="1664" t="s">
        <v>592</v>
      </c>
      <c r="F36" s="1664"/>
      <c r="G36" s="1664"/>
      <c r="H36" s="1664"/>
      <c r="I36" s="1671"/>
      <c r="J36" s="1671"/>
      <c r="K36" s="1680"/>
      <c r="L36" s="1674"/>
      <c r="M36" s="1674"/>
      <c r="N36" s="1674"/>
      <c r="O36" s="1681"/>
      <c r="P36" s="1681"/>
      <c r="Q36" s="1681"/>
      <c r="R36" s="1681"/>
      <c r="S36" s="1681"/>
      <c r="T36" s="1681"/>
      <c r="U36" s="1667"/>
    </row>
    <row r="37" spans="2:21" s="1623" customFormat="1" x14ac:dyDescent="0.2">
      <c r="B37" s="1631" t="str">
        <f>IF(Presentation!$D$2="Français",'TRAD-Prices 10-2011 GPRM'!D37,IF(Presentation!$D$2="Anglais",'TRAD-Prices 10-2011 GPRM'!E37,""))</f>
        <v>Notes</v>
      </c>
      <c r="D37" s="1664" t="s">
        <v>241</v>
      </c>
      <c r="E37" s="1664" t="s">
        <v>241</v>
      </c>
      <c r="F37" s="1664"/>
      <c r="G37" s="1664"/>
      <c r="H37" s="1664"/>
      <c r="I37" s="1671"/>
      <c r="J37" s="1671"/>
      <c r="K37" s="1680"/>
      <c r="L37" s="1674"/>
      <c r="M37" s="1674"/>
      <c r="N37" s="1674"/>
      <c r="O37" s="1681"/>
      <c r="P37" s="1681"/>
      <c r="Q37" s="1681"/>
      <c r="R37" s="1681"/>
      <c r="S37" s="1681"/>
      <c r="T37" s="1681"/>
      <c r="U37" s="1667"/>
    </row>
    <row r="38" spans="2:21" s="1623" customFormat="1" ht="30" x14ac:dyDescent="0.2">
      <c r="B38" s="1631" t="str">
        <f>IF(Presentation!$D$2="Français",'TRAD-Prices 10-2011 GPRM'!D38,IF(Presentation!$D$2="Anglais",'TRAD-Prices 10-2011 GPRM'!E38,""))</f>
        <v xml:space="preserve">D'après Untangling the web of price reduction - http://utw.msfaccess.org/drugs/emtricitabine </v>
      </c>
      <c r="D38" s="1664" t="s">
        <v>370</v>
      </c>
      <c r="E38" s="1664" t="s">
        <v>1051</v>
      </c>
      <c r="F38" s="1664"/>
      <c r="G38" s="1664"/>
      <c r="H38" s="1664"/>
      <c r="I38" s="1671"/>
      <c r="J38" s="1671"/>
      <c r="K38" s="1680"/>
      <c r="L38" s="1683"/>
      <c r="M38" s="1683"/>
      <c r="N38" s="1683"/>
      <c r="O38" s="1681"/>
      <c r="P38" s="1681"/>
      <c r="Q38" s="1681"/>
      <c r="R38" s="1681"/>
      <c r="S38" s="1681"/>
      <c r="T38" s="1681"/>
      <c r="U38" s="1667"/>
    </row>
    <row r="39" spans="2:21" s="1623" customFormat="1" x14ac:dyDescent="0.2">
      <c r="B39" s="1631" t="str">
        <f>IF(Presentation!$D$2="Français",'TRAD-Prices 10-2011 GPRM'!D39,IF(Presentation!$D$2="Anglais",'TRAD-Prices 10-2011 GPRM'!E39,""))</f>
        <v>D'après BMS Global Access Program en mai 2009</v>
      </c>
      <c r="D39" s="1664" t="s">
        <v>374</v>
      </c>
      <c r="E39" s="1664" t="s">
        <v>1425</v>
      </c>
      <c r="F39" s="1664"/>
      <c r="G39" s="1671"/>
      <c r="H39" s="1671"/>
      <c r="I39" s="1671"/>
      <c r="J39" s="1671"/>
      <c r="K39" s="1680"/>
      <c r="L39" s="1674"/>
      <c r="M39" s="1674"/>
      <c r="N39" s="1674"/>
      <c r="O39" s="1681"/>
      <c r="P39" s="1681"/>
      <c r="Q39" s="1681"/>
      <c r="R39" s="1681"/>
      <c r="S39" s="1681"/>
      <c r="T39" s="1681"/>
      <c r="U39" s="1667"/>
    </row>
    <row r="40" spans="2:21" s="1623" customFormat="1" ht="45" x14ac:dyDescent="0.2">
      <c r="B40" s="1631" t="str">
        <f>IF(Presentation!$D$2="Français",'TRAD-Prices 10-2011 GPRM'!D40,IF(Presentation!$D$2="Anglais",'TRAD-Prices 10-2011 GPRM'!E40,""))</f>
        <v>D'après Untangling the web of price reduction - http://msf-utw.tumblr.com/post/13260793909/first-ever-atv-r-combination-pill-improves-treatment</v>
      </c>
      <c r="D40" s="1664" t="s">
        <v>595</v>
      </c>
      <c r="E40" s="1664" t="s">
        <v>1052</v>
      </c>
      <c r="F40" s="1664"/>
      <c r="G40" s="1671"/>
      <c r="H40" s="1671"/>
      <c r="I40" s="1671"/>
      <c r="J40" s="1671"/>
      <c r="K40" s="1680"/>
      <c r="L40" s="1674"/>
      <c r="M40" s="1674"/>
      <c r="N40" s="1674"/>
      <c r="O40" s="1681"/>
      <c r="P40" s="1681"/>
      <c r="Q40" s="1681"/>
      <c r="R40" s="1681"/>
      <c r="S40" s="1681"/>
      <c r="T40" s="1681"/>
      <c r="U40" s="1667"/>
    </row>
    <row r="41" spans="2:21" s="1623" customFormat="1" ht="30" x14ac:dyDescent="0.2">
      <c r="B41" s="1631" t="str">
        <f>IF(Presentation!$D$2="Français",'TRAD-Prices 10-2011 GPRM'!D41,IF(Presentation!$D$2="Anglais",'TRAD-Prices 10-2011 GPRM'!E41,""))</f>
        <v>D'après Untangling the web of price reduction - http://utw.msfaccess.org/drugs/raltegravir</v>
      </c>
      <c r="D41" s="1664" t="s">
        <v>372</v>
      </c>
      <c r="E41" s="1664" t="s">
        <v>1053</v>
      </c>
      <c r="F41" s="1684"/>
      <c r="G41" s="1685"/>
      <c r="H41" s="1686"/>
      <c r="I41" s="1687"/>
      <c r="J41" s="1688"/>
      <c r="K41" s="1680"/>
      <c r="L41" s="1674"/>
      <c r="M41" s="1674"/>
      <c r="N41" s="1674"/>
      <c r="O41" s="1681"/>
      <c r="P41" s="1681"/>
      <c r="Q41" s="1681"/>
      <c r="R41" s="1681"/>
      <c r="S41" s="1681"/>
      <c r="T41" s="1681"/>
      <c r="U41" s="1667"/>
    </row>
    <row r="42" spans="2:21" s="1623" customFormat="1" ht="30" x14ac:dyDescent="0.2">
      <c r="B42" s="1631" t="str">
        <f>IF(Presentation!$D$2="Français",'TRAD-Prices 10-2011 GPRM'!D42,IF(Presentation!$D$2="Anglais",'TRAD-Prices 10-2011 GPRM'!E42,""))</f>
        <v>D'après Untangling the web of price reduction - http://utw.msfaccess.org/drugs/darunavir</v>
      </c>
      <c r="D42" s="1664" t="s">
        <v>371</v>
      </c>
      <c r="E42" s="1664" t="s">
        <v>1054</v>
      </c>
      <c r="F42" s="1684"/>
      <c r="G42" s="1685"/>
      <c r="H42" s="1686"/>
      <c r="I42" s="1687"/>
      <c r="J42" s="1688"/>
      <c r="K42" s="1680"/>
      <c r="L42" s="1674"/>
      <c r="M42" s="1674"/>
      <c r="N42" s="1674"/>
      <c r="O42" s="1681"/>
      <c r="P42" s="1681"/>
      <c r="Q42" s="1681"/>
      <c r="R42" s="1681"/>
      <c r="S42" s="1681"/>
      <c r="T42" s="1681"/>
      <c r="U42" s="1667"/>
    </row>
    <row r="43" spans="2:21" s="1623" customFormat="1" x14ac:dyDescent="0.2">
      <c r="B43" s="1631" t="str">
        <f>IF(Presentation!$D$2="Français",'TRAD-Prices 10-2011 GPRM'!D43,IF(Presentation!$D$2="Anglais",'TRAD-Prices 10-2011 GPRM'!E43,""))</f>
        <v>D'après prix négocié France - VIDAL - 2009</v>
      </c>
      <c r="D43" s="1664" t="s">
        <v>377</v>
      </c>
      <c r="E43" s="1664" t="s">
        <v>1055</v>
      </c>
      <c r="F43" s="1684"/>
      <c r="G43" s="1685"/>
      <c r="H43" s="1686"/>
      <c r="I43" s="1687"/>
      <c r="J43" s="1688"/>
      <c r="K43" s="1680"/>
      <c r="L43" s="1674"/>
      <c r="M43" s="1674"/>
      <c r="N43" s="1674"/>
      <c r="O43" s="1681"/>
      <c r="P43" s="1681"/>
      <c r="Q43" s="1681"/>
      <c r="R43" s="1681"/>
      <c r="S43" s="1681"/>
      <c r="T43" s="1681"/>
      <c r="U43" s="1667"/>
    </row>
    <row r="44" spans="2:21" s="1623" customFormat="1" x14ac:dyDescent="0.2">
      <c r="B44" s="1631" t="str">
        <f>IF(Presentation!$D$2="Français",'TRAD-Prices 10-2011 GPRM'!D44,IF(Presentation!$D$2="Anglais",'TRAD-Prices 10-2011 GPRM'!E44,""))</f>
        <v>FORMES PEDIATRIQUES</v>
      </c>
      <c r="D44" s="1664" t="s">
        <v>164</v>
      </c>
      <c r="E44" s="1664" t="s">
        <v>1056</v>
      </c>
      <c r="F44" s="1664"/>
      <c r="G44" s="1664"/>
      <c r="H44" s="1664"/>
      <c r="I44" s="1671"/>
      <c r="J44" s="1671"/>
      <c r="K44" s="1680"/>
      <c r="L44" s="1674"/>
      <c r="M44" s="1674"/>
      <c r="N44" s="1674"/>
      <c r="O44" s="1681"/>
      <c r="P44" s="1681"/>
      <c r="Q44" s="1681"/>
      <c r="R44" s="1681"/>
      <c r="S44" s="1681"/>
      <c r="T44" s="1681"/>
      <c r="U44" s="1667"/>
    </row>
    <row r="45" spans="2:21" s="1623" customFormat="1" x14ac:dyDescent="0.2">
      <c r="B45" s="1631" t="str">
        <f>IF(Presentation!$D$2="Français",'TRAD-Prices 10-2011 GPRM'!D45,IF(Presentation!$D$2="Anglais",'TRAD-Prices 10-2011 GPRM'!E45,""))</f>
        <v>Qtés / boites - flacons</v>
      </c>
      <c r="D45" s="1676" t="s">
        <v>232</v>
      </c>
      <c r="E45" s="1664" t="s">
        <v>1057</v>
      </c>
      <c r="F45" s="1664"/>
      <c r="G45" s="1664"/>
      <c r="H45" s="1664"/>
      <c r="I45" s="1671"/>
      <c r="J45" s="1671"/>
      <c r="K45" s="1680"/>
      <c r="L45" s="1683"/>
      <c r="M45" s="1683"/>
      <c r="N45" s="1683"/>
      <c r="O45" s="1681"/>
      <c r="P45" s="1681"/>
      <c r="Q45" s="1681"/>
      <c r="R45" s="1681"/>
      <c r="S45" s="1681"/>
      <c r="T45" s="1681"/>
      <c r="U45" s="1667"/>
    </row>
    <row r="46" spans="2:21" s="1623" customFormat="1" x14ac:dyDescent="0.2">
      <c r="B46" s="1631" t="str">
        <f>IF(Presentation!$D$2="Français",'TRAD-Prices 10-2011 GPRM'!D46,IF(Presentation!$D$2="Anglais",'TRAD-Prices 10-2011 GPRM'!E46,""))</f>
        <v>Prix / unité de prise  (US$)</v>
      </c>
      <c r="D46" s="1664" t="s">
        <v>149</v>
      </c>
      <c r="E46" s="1664" t="s">
        <v>1041</v>
      </c>
      <c r="F46" s="1667"/>
      <c r="G46" s="1667"/>
      <c r="H46" s="1667"/>
      <c r="I46" s="1667"/>
      <c r="J46" s="1668"/>
      <c r="K46" s="1669"/>
      <c r="L46" s="1667"/>
      <c r="M46" s="1667"/>
      <c r="N46" s="1667"/>
      <c r="O46" s="1667"/>
      <c r="P46" s="1667"/>
      <c r="Q46" s="1667"/>
      <c r="R46" s="1669"/>
      <c r="S46" s="1667"/>
      <c r="T46" s="1667"/>
      <c r="U46" s="1667"/>
    </row>
    <row r="47" spans="2:21" s="1623" customFormat="1" x14ac:dyDescent="0.2">
      <c r="B47" s="1631" t="str">
        <f>IF(Presentation!$D$2="Français",'TRAD-Prices 10-2011 GPRM'!D47,IF(Presentation!$D$2="Anglais",'TRAD-Prices 10-2011 GPRM'!E47,""))</f>
        <v>Prix / boite ou flacon (US$)</v>
      </c>
      <c r="D47" s="1664" t="s">
        <v>165</v>
      </c>
      <c r="E47" s="1664" t="s">
        <v>1058</v>
      </c>
      <c r="F47" s="1666"/>
      <c r="G47" s="1666"/>
      <c r="H47" s="1666"/>
      <c r="I47" s="1666"/>
      <c r="J47" s="1666"/>
      <c r="K47" s="1666"/>
      <c r="L47" s="1666"/>
      <c r="M47" s="1666"/>
      <c r="N47" s="1666"/>
      <c r="O47" s="1666"/>
      <c r="P47" s="1666"/>
      <c r="Q47" s="1666"/>
      <c r="R47" s="1666"/>
      <c r="S47" s="1666"/>
      <c r="T47" s="1666"/>
      <c r="U47" s="1666"/>
    </row>
    <row r="48" spans="2:21" s="1623" customFormat="1" x14ac:dyDescent="0.2">
      <c r="B48" s="1631"/>
    </row>
    <row r="49" spans="2:2" s="1623" customFormat="1" x14ac:dyDescent="0.2">
      <c r="B49" s="1631"/>
    </row>
    <row r="50" spans="2:2" s="1623" customFormat="1" x14ac:dyDescent="0.2">
      <c r="B50" s="1631"/>
    </row>
    <row r="51" spans="2:2" s="1623" customFormat="1" x14ac:dyDescent="0.2">
      <c r="B51" s="1631"/>
    </row>
    <row r="52" spans="2:2" s="1623" customFormat="1" x14ac:dyDescent="0.2">
      <c r="B52" s="1631"/>
    </row>
    <row r="53" spans="2:2" s="1623" customFormat="1" x14ac:dyDescent="0.2">
      <c r="B53" s="1631"/>
    </row>
    <row r="54" spans="2:2" s="1623" customFormat="1" x14ac:dyDescent="0.2">
      <c r="B54" s="1631"/>
    </row>
    <row r="55" spans="2:2" s="1623" customFormat="1" x14ac:dyDescent="0.2">
      <c r="B55" s="1631"/>
    </row>
    <row r="56" spans="2:2" s="1623" customFormat="1" x14ac:dyDescent="0.2">
      <c r="B56" s="1631"/>
    </row>
    <row r="57" spans="2:2" s="1623" customFormat="1" x14ac:dyDescent="0.2">
      <c r="B57" s="1631"/>
    </row>
    <row r="58" spans="2:2" s="1623" customFormat="1" x14ac:dyDescent="0.2">
      <c r="B58" s="1631"/>
    </row>
    <row r="59" spans="2:2" s="1623" customFormat="1" x14ac:dyDescent="0.2">
      <c r="B59" s="1631"/>
    </row>
    <row r="60" spans="2:2" s="1623" customFormat="1" x14ac:dyDescent="0.2">
      <c r="B60" s="1631"/>
    </row>
    <row r="61" spans="2:2" s="1623" customFormat="1" x14ac:dyDescent="0.2">
      <c r="B61" s="1631"/>
    </row>
    <row r="62" spans="2:2" s="1623" customFormat="1" x14ac:dyDescent="0.2">
      <c r="B62" s="1631"/>
    </row>
    <row r="63" spans="2:2" s="1623" customFormat="1" x14ac:dyDescent="0.2">
      <c r="B63" s="1631"/>
    </row>
    <row r="64" spans="2:2" s="1623" customFormat="1" x14ac:dyDescent="0.2">
      <c r="B64" s="1631"/>
    </row>
    <row r="65" spans="2:2" s="1623" customFormat="1" x14ac:dyDescent="0.2">
      <c r="B65" s="1631"/>
    </row>
    <row r="66" spans="2:2" s="1623" customFormat="1" x14ac:dyDescent="0.2">
      <c r="B66" s="1631"/>
    </row>
    <row r="67" spans="2:2" s="1623" customFormat="1" x14ac:dyDescent="0.2">
      <c r="B67" s="1631"/>
    </row>
    <row r="68" spans="2:2" s="1623" customFormat="1" x14ac:dyDescent="0.2">
      <c r="B68" s="1631"/>
    </row>
    <row r="69" spans="2:2" s="1623" customFormat="1" x14ac:dyDescent="0.2">
      <c r="B69" s="1631"/>
    </row>
    <row r="70" spans="2:2" s="1623" customFormat="1" x14ac:dyDescent="0.2">
      <c r="B70" s="1631"/>
    </row>
    <row r="71" spans="2:2" s="1623" customFormat="1" x14ac:dyDescent="0.2">
      <c r="B71" s="1631"/>
    </row>
    <row r="72" spans="2:2" s="1623" customFormat="1" x14ac:dyDescent="0.2">
      <c r="B72" s="1631"/>
    </row>
    <row r="73" spans="2:2" s="1623" customFormat="1" x14ac:dyDescent="0.2">
      <c r="B73" s="1631"/>
    </row>
    <row r="74" spans="2:2" s="1623" customFormat="1" x14ac:dyDescent="0.2">
      <c r="B74" s="1631"/>
    </row>
    <row r="75" spans="2:2" s="1623" customFormat="1" x14ac:dyDescent="0.2">
      <c r="B75" s="1631"/>
    </row>
    <row r="76" spans="2:2" s="1623" customFormat="1" x14ac:dyDescent="0.2">
      <c r="B76" s="1631"/>
    </row>
    <row r="77" spans="2:2" s="1623" customFormat="1" x14ac:dyDescent="0.2">
      <c r="B77" s="1631"/>
    </row>
    <row r="78" spans="2:2" s="1623" customFormat="1" x14ac:dyDescent="0.2">
      <c r="B78" s="1631"/>
    </row>
    <row r="79" spans="2:2" s="1623" customFormat="1" x14ac:dyDescent="0.2">
      <c r="B79" s="1631"/>
    </row>
    <row r="80" spans="2:2" s="1623" customFormat="1" x14ac:dyDescent="0.2">
      <c r="B80" s="1631"/>
    </row>
    <row r="81" spans="2:2" s="1623" customFormat="1" x14ac:dyDescent="0.2">
      <c r="B81" s="1631"/>
    </row>
    <row r="82" spans="2:2" s="1623" customFormat="1" x14ac:dyDescent="0.2">
      <c r="B82" s="1631"/>
    </row>
    <row r="83" spans="2:2" s="1623" customFormat="1" x14ac:dyDescent="0.2">
      <c r="B83" s="1631"/>
    </row>
    <row r="84" spans="2:2" s="1623" customFormat="1" x14ac:dyDescent="0.2">
      <c r="B84" s="1631"/>
    </row>
    <row r="85" spans="2:2" s="1623" customFormat="1" x14ac:dyDescent="0.2">
      <c r="B85" s="1631"/>
    </row>
    <row r="86" spans="2:2" s="1623" customFormat="1" x14ac:dyDescent="0.2">
      <c r="B86" s="1631"/>
    </row>
    <row r="87" spans="2:2" s="1623" customFormat="1" x14ac:dyDescent="0.2">
      <c r="B87" s="1631"/>
    </row>
    <row r="88" spans="2:2" s="1623" customFormat="1" x14ac:dyDescent="0.2">
      <c r="B88" s="1631"/>
    </row>
    <row r="89" spans="2:2" s="1623" customFormat="1" x14ac:dyDescent="0.2">
      <c r="B89" s="1631"/>
    </row>
    <row r="90" spans="2:2" s="1623" customFormat="1" x14ac:dyDescent="0.2">
      <c r="B90" s="1631"/>
    </row>
    <row r="91" spans="2:2" s="1623" customFormat="1" x14ac:dyDescent="0.2">
      <c r="B91" s="1631"/>
    </row>
    <row r="92" spans="2:2" s="1623" customFormat="1" x14ac:dyDescent="0.2">
      <c r="B92" s="1631"/>
    </row>
    <row r="93" spans="2:2" s="1623" customFormat="1" x14ac:dyDescent="0.2">
      <c r="B93" s="1631"/>
    </row>
    <row r="94" spans="2:2" s="1623" customFormat="1" x14ac:dyDescent="0.2">
      <c r="B94" s="1631"/>
    </row>
    <row r="95" spans="2:2" s="1623" customFormat="1" x14ac:dyDescent="0.2">
      <c r="B95" s="1631"/>
    </row>
    <row r="96" spans="2:2" s="1623" customFormat="1" x14ac:dyDescent="0.2">
      <c r="B96" s="1631"/>
    </row>
    <row r="97" spans="2:2" s="1623" customFormat="1" x14ac:dyDescent="0.2">
      <c r="B97" s="1631"/>
    </row>
    <row r="98" spans="2:2" s="1623" customFormat="1" x14ac:dyDescent="0.2">
      <c r="B98" s="1631"/>
    </row>
    <row r="99" spans="2:2" s="1623" customFormat="1" x14ac:dyDescent="0.2">
      <c r="B99" s="1631"/>
    </row>
    <row r="100" spans="2:2" s="1623" customFormat="1" x14ac:dyDescent="0.2">
      <c r="B100" s="1631"/>
    </row>
    <row r="101" spans="2:2" s="1623" customFormat="1" x14ac:dyDescent="0.2">
      <c r="B101" s="1631"/>
    </row>
    <row r="102" spans="2:2" s="1623" customFormat="1" x14ac:dyDescent="0.2">
      <c r="B102" s="1631"/>
    </row>
    <row r="103" spans="2:2" s="1623" customFormat="1" x14ac:dyDescent="0.2">
      <c r="B103" s="1631"/>
    </row>
    <row r="104" spans="2:2" s="1623" customFormat="1" x14ac:dyDescent="0.2">
      <c r="B104" s="1631"/>
    </row>
    <row r="105" spans="2:2" s="1623" customFormat="1" x14ac:dyDescent="0.2">
      <c r="B105" s="1631"/>
    </row>
    <row r="106" spans="2:2" s="1623" customFormat="1" x14ac:dyDescent="0.2">
      <c r="B106" s="1631"/>
    </row>
    <row r="107" spans="2:2" s="1623" customFormat="1" x14ac:dyDescent="0.2">
      <c r="B107" s="1631"/>
    </row>
    <row r="108" spans="2:2" s="1623" customFormat="1" x14ac:dyDescent="0.2">
      <c r="B108" s="1631"/>
    </row>
    <row r="109" spans="2:2" s="1623" customFormat="1" x14ac:dyDescent="0.2">
      <c r="B109" s="1631"/>
    </row>
    <row r="110" spans="2:2" s="1623" customFormat="1" x14ac:dyDescent="0.2">
      <c r="B110" s="1631"/>
    </row>
    <row r="111" spans="2:2" s="1623" customFormat="1" x14ac:dyDescent="0.2">
      <c r="B111" s="1631"/>
    </row>
    <row r="112" spans="2:2" s="1623" customFormat="1" x14ac:dyDescent="0.2">
      <c r="B112" s="1631"/>
    </row>
    <row r="113" spans="2:2" s="1623" customFormat="1" x14ac:dyDescent="0.2">
      <c r="B113" s="1631"/>
    </row>
    <row r="114" spans="2:2" s="1623" customFormat="1" x14ac:dyDescent="0.2">
      <c r="B114" s="1631"/>
    </row>
    <row r="115" spans="2:2" s="1623" customFormat="1" x14ac:dyDescent="0.2">
      <c r="B115" s="1631"/>
    </row>
    <row r="116" spans="2:2" s="1623" customFormat="1" x14ac:dyDescent="0.2">
      <c r="B116" s="1631"/>
    </row>
    <row r="117" spans="2:2" s="1623" customFormat="1" x14ac:dyDescent="0.2">
      <c r="B117" s="1631"/>
    </row>
    <row r="118" spans="2:2" s="1623" customFormat="1" x14ac:dyDescent="0.2">
      <c r="B118" s="1631"/>
    </row>
    <row r="119" spans="2:2" s="1623" customFormat="1" x14ac:dyDescent="0.2">
      <c r="B119" s="1631"/>
    </row>
    <row r="120" spans="2:2" s="1623" customFormat="1" x14ac:dyDescent="0.2">
      <c r="B120" s="1631"/>
    </row>
    <row r="121" spans="2:2" s="1623" customFormat="1" x14ac:dyDescent="0.2">
      <c r="B121" s="1631"/>
    </row>
    <row r="122" spans="2:2" s="1623" customFormat="1" x14ac:dyDescent="0.2">
      <c r="B122" s="1631"/>
    </row>
    <row r="123" spans="2:2" s="1623" customFormat="1" x14ac:dyDescent="0.2">
      <c r="B123" s="1631"/>
    </row>
    <row r="124" spans="2:2" s="1623" customFormat="1" x14ac:dyDescent="0.2">
      <c r="B124" s="1631"/>
    </row>
    <row r="125" spans="2:2" s="1623" customFormat="1" x14ac:dyDescent="0.2">
      <c r="B125" s="1631"/>
    </row>
    <row r="126" spans="2:2" s="1623" customFormat="1" x14ac:dyDescent="0.2">
      <c r="B126" s="1631"/>
    </row>
    <row r="127" spans="2:2" s="1623" customFormat="1" x14ac:dyDescent="0.2">
      <c r="B127" s="1631"/>
    </row>
    <row r="128" spans="2:2" s="1623" customFormat="1" x14ac:dyDescent="0.2">
      <c r="B128" s="1631"/>
    </row>
    <row r="129" spans="2:2" s="1623" customFormat="1" x14ac:dyDescent="0.2">
      <c r="B129" s="1631"/>
    </row>
    <row r="130" spans="2:2" s="1623" customFormat="1" x14ac:dyDescent="0.2">
      <c r="B130" s="1631"/>
    </row>
    <row r="131" spans="2:2" s="1623" customFormat="1" x14ac:dyDescent="0.2">
      <c r="B131" s="1631"/>
    </row>
    <row r="132" spans="2:2" s="1623" customFormat="1" x14ac:dyDescent="0.2">
      <c r="B132" s="1631"/>
    </row>
    <row r="133" spans="2:2" s="1623" customFormat="1" x14ac:dyDescent="0.2">
      <c r="B133" s="1631"/>
    </row>
    <row r="134" spans="2:2" s="1623" customFormat="1" x14ac:dyDescent="0.2">
      <c r="B134" s="1631"/>
    </row>
    <row r="135" spans="2:2" s="1623" customFormat="1" x14ac:dyDescent="0.2">
      <c r="B135" s="1631"/>
    </row>
    <row r="136" spans="2:2" s="1623" customFormat="1" x14ac:dyDescent="0.2">
      <c r="B136" s="1631"/>
    </row>
    <row r="137" spans="2:2" s="1623" customFormat="1" x14ac:dyDescent="0.2">
      <c r="B137" s="1631"/>
    </row>
    <row r="138" spans="2:2" s="1623" customFormat="1" x14ac:dyDescent="0.2">
      <c r="B138" s="1631"/>
    </row>
    <row r="139" spans="2:2" s="1623" customFormat="1" x14ac:dyDescent="0.2">
      <c r="B139" s="1631"/>
    </row>
    <row r="140" spans="2:2" s="1623" customFormat="1" x14ac:dyDescent="0.2">
      <c r="B140" s="1631"/>
    </row>
    <row r="141" spans="2:2" s="1623" customFormat="1" x14ac:dyDescent="0.2">
      <c r="B141" s="1631"/>
    </row>
    <row r="142" spans="2:2" s="1623" customFormat="1" x14ac:dyDescent="0.2">
      <c r="B142" s="1631"/>
    </row>
    <row r="143" spans="2:2" s="1623" customFormat="1" x14ac:dyDescent="0.2">
      <c r="B143" s="1631"/>
    </row>
    <row r="144" spans="2:2" s="1623" customFormat="1" x14ac:dyDescent="0.2">
      <c r="B144" s="1631"/>
    </row>
    <row r="145" spans="2:2" s="1623" customFormat="1" x14ac:dyDescent="0.2">
      <c r="B145" s="1631"/>
    </row>
    <row r="146" spans="2:2" s="1623" customFormat="1" x14ac:dyDescent="0.2">
      <c r="B146" s="1631"/>
    </row>
    <row r="147" spans="2:2" s="1623" customFormat="1" x14ac:dyDescent="0.2">
      <c r="B147" s="1631"/>
    </row>
    <row r="148" spans="2:2" s="1623" customFormat="1" x14ac:dyDescent="0.2">
      <c r="B148" s="1631"/>
    </row>
    <row r="149" spans="2:2" s="1623" customFormat="1" x14ac:dyDescent="0.2">
      <c r="B149" s="1631"/>
    </row>
    <row r="150" spans="2:2" s="1623" customFormat="1" x14ac:dyDescent="0.2">
      <c r="B150" s="1631"/>
    </row>
    <row r="151" spans="2:2" s="1623" customFormat="1" x14ac:dyDescent="0.2">
      <c r="B151" s="1631"/>
    </row>
    <row r="152" spans="2:2" s="1623" customFormat="1" x14ac:dyDescent="0.2">
      <c r="B152" s="1631"/>
    </row>
    <row r="153" spans="2:2" s="1623" customFormat="1" x14ac:dyDescent="0.2">
      <c r="B153" s="1631"/>
    </row>
    <row r="154" spans="2:2" s="1623" customFormat="1" x14ac:dyDescent="0.2">
      <c r="B154" s="1631"/>
    </row>
    <row r="155" spans="2:2" s="1623" customFormat="1" x14ac:dyDescent="0.2">
      <c r="B155" s="1631"/>
    </row>
    <row r="156" spans="2:2" s="1623" customFormat="1" x14ac:dyDescent="0.2">
      <c r="B156" s="1631"/>
    </row>
    <row r="157" spans="2:2" s="1623" customFormat="1" x14ac:dyDescent="0.2">
      <c r="B157" s="1631"/>
    </row>
    <row r="158" spans="2:2" s="1623" customFormat="1" x14ac:dyDescent="0.2">
      <c r="B158" s="1631"/>
    </row>
    <row r="159" spans="2:2" s="1623" customFormat="1" x14ac:dyDescent="0.2">
      <c r="B159" s="1631"/>
    </row>
    <row r="160" spans="2:2" s="1623" customFormat="1" x14ac:dyDescent="0.2">
      <c r="B160" s="1631"/>
    </row>
    <row r="161" spans="2:2" s="1623" customFormat="1" x14ac:dyDescent="0.2">
      <c r="B161" s="1631"/>
    </row>
    <row r="162" spans="2:2" s="1623" customFormat="1" x14ac:dyDescent="0.2">
      <c r="B162" s="1631"/>
    </row>
    <row r="163" spans="2:2" s="1623" customFormat="1" x14ac:dyDescent="0.2">
      <c r="B163" s="1631"/>
    </row>
    <row r="164" spans="2:2" s="1623" customFormat="1" x14ac:dyDescent="0.2">
      <c r="B164" s="1631"/>
    </row>
    <row r="165" spans="2:2" s="1623" customFormat="1" x14ac:dyDescent="0.2">
      <c r="B165" s="1631"/>
    </row>
    <row r="166" spans="2:2" s="1623" customFormat="1" x14ac:dyDescent="0.2">
      <c r="B166" s="1631"/>
    </row>
    <row r="167" spans="2:2" s="1623" customFormat="1" x14ac:dyDescent="0.2">
      <c r="B167" s="1631"/>
    </row>
    <row r="168" spans="2:2" s="1623" customFormat="1" x14ac:dyDescent="0.2">
      <c r="B168" s="1631"/>
    </row>
    <row r="169" spans="2:2" s="1623" customFormat="1" x14ac:dyDescent="0.2">
      <c r="B169" s="1631"/>
    </row>
    <row r="170" spans="2:2" s="1623" customFormat="1" x14ac:dyDescent="0.2">
      <c r="B170" s="1631"/>
    </row>
    <row r="171" spans="2:2" s="1623" customFormat="1" x14ac:dyDescent="0.2">
      <c r="B171" s="1631"/>
    </row>
    <row r="172" spans="2:2" s="1623" customFormat="1" x14ac:dyDescent="0.2">
      <c r="B172" s="1631"/>
    </row>
    <row r="173" spans="2:2" s="1623" customFormat="1" x14ac:dyDescent="0.2">
      <c r="B173" s="1631"/>
    </row>
    <row r="174" spans="2:2" s="1623" customFormat="1" x14ac:dyDescent="0.2">
      <c r="B174" s="1631"/>
    </row>
    <row r="175" spans="2:2" s="1623" customFormat="1" x14ac:dyDescent="0.2">
      <c r="B175" s="1631"/>
    </row>
    <row r="176" spans="2:2" s="1623" customFormat="1" x14ac:dyDescent="0.2">
      <c r="B176" s="1631"/>
    </row>
    <row r="177" spans="2:2" s="1623" customFormat="1" x14ac:dyDescent="0.2">
      <c r="B177" s="1631"/>
    </row>
    <row r="178" spans="2:2" s="1623" customFormat="1" x14ac:dyDescent="0.2">
      <c r="B178" s="1631"/>
    </row>
    <row r="179" spans="2:2" s="1623" customFormat="1" x14ac:dyDescent="0.2">
      <c r="B179" s="1631"/>
    </row>
    <row r="180" spans="2:2" s="1623" customFormat="1" x14ac:dyDescent="0.2">
      <c r="B180" s="1631"/>
    </row>
    <row r="181" spans="2:2" s="1623" customFormat="1" x14ac:dyDescent="0.2">
      <c r="B181" s="1631"/>
    </row>
    <row r="182" spans="2:2" s="1623" customFormat="1" x14ac:dyDescent="0.2">
      <c r="B182" s="1631"/>
    </row>
    <row r="183" spans="2:2" s="1623" customFormat="1" x14ac:dyDescent="0.2">
      <c r="B183" s="1631"/>
    </row>
    <row r="184" spans="2:2" s="1623" customFormat="1" x14ac:dyDescent="0.2">
      <c r="B184" s="1631"/>
    </row>
    <row r="185" spans="2:2" s="1623" customFormat="1" x14ac:dyDescent="0.2">
      <c r="B185" s="1631"/>
    </row>
    <row r="186" spans="2:2" s="1623" customFormat="1" x14ac:dyDescent="0.2">
      <c r="B186" s="1631"/>
    </row>
    <row r="187" spans="2:2" s="1623" customFormat="1" x14ac:dyDescent="0.2">
      <c r="B187" s="1631"/>
    </row>
    <row r="188" spans="2:2" s="1623" customFormat="1" x14ac:dyDescent="0.2">
      <c r="B188" s="1631"/>
    </row>
    <row r="189" spans="2:2" s="1623" customFormat="1" x14ac:dyDescent="0.2">
      <c r="B189" s="1631"/>
    </row>
    <row r="190" spans="2:2" s="1623" customFormat="1" x14ac:dyDescent="0.2">
      <c r="B190" s="1631"/>
    </row>
    <row r="191" spans="2:2" s="1623" customFormat="1" x14ac:dyDescent="0.2">
      <c r="B191" s="1631"/>
    </row>
    <row r="192" spans="2:2" s="1623" customFormat="1" x14ac:dyDescent="0.2">
      <c r="B192" s="1631"/>
    </row>
    <row r="193" spans="2:2" s="1623" customFormat="1" x14ac:dyDescent="0.2">
      <c r="B193" s="1631"/>
    </row>
    <row r="194" spans="2:2" s="1623" customFormat="1" x14ac:dyDescent="0.2">
      <c r="B194" s="1631"/>
    </row>
    <row r="195" spans="2:2" s="1623" customFormat="1" x14ac:dyDescent="0.2">
      <c r="B195" s="1631"/>
    </row>
    <row r="196" spans="2:2" s="1623" customFormat="1" x14ac:dyDescent="0.2">
      <c r="B196" s="1631"/>
    </row>
    <row r="197" spans="2:2" s="1623" customFormat="1" x14ac:dyDescent="0.2">
      <c r="B197" s="1631"/>
    </row>
    <row r="198" spans="2:2" s="1623" customFormat="1" x14ac:dyDescent="0.2">
      <c r="B198" s="1631"/>
    </row>
    <row r="199" spans="2:2" s="1623" customFormat="1" x14ac:dyDescent="0.2">
      <c r="B199" s="1631"/>
    </row>
    <row r="200" spans="2:2" s="1623" customFormat="1" x14ac:dyDescent="0.2">
      <c r="B200" s="1631"/>
    </row>
    <row r="201" spans="2:2" s="1623" customFormat="1" x14ac:dyDescent="0.2">
      <c r="B201" s="1631"/>
    </row>
    <row r="202" spans="2:2" s="1623" customFormat="1" x14ac:dyDescent="0.2">
      <c r="B202" s="1631"/>
    </row>
    <row r="203" spans="2:2" s="1623" customFormat="1" x14ac:dyDescent="0.2">
      <c r="B203" s="1631"/>
    </row>
    <row r="204" spans="2:2" s="1623" customFormat="1" x14ac:dyDescent="0.2">
      <c r="B204" s="1631"/>
    </row>
    <row r="205" spans="2:2" s="1623" customFormat="1" x14ac:dyDescent="0.2">
      <c r="B205" s="1631"/>
    </row>
    <row r="206" spans="2:2" s="1623" customFormat="1" x14ac:dyDescent="0.2">
      <c r="B206" s="1631"/>
    </row>
    <row r="207" spans="2:2" s="1623" customFormat="1" x14ac:dyDescent="0.2">
      <c r="B207" s="1631"/>
    </row>
    <row r="208" spans="2:2" s="1623" customFormat="1" x14ac:dyDescent="0.2">
      <c r="B208" s="1631"/>
    </row>
    <row r="209" spans="2:2" s="1623" customFormat="1" x14ac:dyDescent="0.2">
      <c r="B209" s="1631"/>
    </row>
    <row r="210" spans="2:2" s="1623" customFormat="1" x14ac:dyDescent="0.2">
      <c r="B210" s="1631"/>
    </row>
    <row r="211" spans="2:2" s="1623" customFormat="1" x14ac:dyDescent="0.2">
      <c r="B211" s="1631"/>
    </row>
    <row r="212" spans="2:2" s="1623" customFormat="1" x14ac:dyDescent="0.2">
      <c r="B212" s="1631"/>
    </row>
    <row r="213" spans="2:2" s="1623" customFormat="1" x14ac:dyDescent="0.2">
      <c r="B213" s="1631"/>
    </row>
    <row r="214" spans="2:2" s="1623" customFormat="1" x14ac:dyDescent="0.2">
      <c r="B214" s="1631"/>
    </row>
    <row r="215" spans="2:2" s="1623" customFormat="1" x14ac:dyDescent="0.2">
      <c r="B215" s="1631"/>
    </row>
    <row r="216" spans="2:2" s="1623" customFormat="1" x14ac:dyDescent="0.2">
      <c r="B216" s="1631"/>
    </row>
    <row r="217" spans="2:2" s="1623" customFormat="1" x14ac:dyDescent="0.2">
      <c r="B217" s="1631"/>
    </row>
    <row r="218" spans="2:2" s="1623" customFormat="1" x14ac:dyDescent="0.2">
      <c r="B218" s="1631"/>
    </row>
    <row r="219" spans="2:2" s="1623" customFormat="1" x14ac:dyDescent="0.2">
      <c r="B219" s="1631"/>
    </row>
    <row r="220" spans="2:2" s="1623" customFormat="1" x14ac:dyDescent="0.2">
      <c r="B220" s="1631"/>
    </row>
    <row r="221" spans="2:2" s="1623" customFormat="1" x14ac:dyDescent="0.2">
      <c r="B221" s="1631"/>
    </row>
    <row r="222" spans="2:2" s="1623" customFormat="1" x14ac:dyDescent="0.2">
      <c r="B222" s="1631"/>
    </row>
    <row r="223" spans="2:2" s="1623" customFormat="1" x14ac:dyDescent="0.2">
      <c r="B223" s="1631"/>
    </row>
    <row r="224" spans="2:2" s="1623" customFormat="1" x14ac:dyDescent="0.2">
      <c r="B224" s="1631"/>
    </row>
    <row r="225" spans="2:2" s="1623" customFormat="1" x14ac:dyDescent="0.2">
      <c r="B225" s="1631"/>
    </row>
    <row r="226" spans="2:2" s="1623" customFormat="1" x14ac:dyDescent="0.2">
      <c r="B226" s="1631"/>
    </row>
    <row r="227" spans="2:2" s="1623" customFormat="1" x14ac:dyDescent="0.2">
      <c r="B227" s="1631"/>
    </row>
    <row r="228" spans="2:2" s="1623" customFormat="1" x14ac:dyDescent="0.2">
      <c r="B228" s="1631"/>
    </row>
    <row r="229" spans="2:2" s="1623" customFormat="1" x14ac:dyDescent="0.2">
      <c r="B229" s="1631"/>
    </row>
    <row r="230" spans="2:2" s="1623" customFormat="1" x14ac:dyDescent="0.2">
      <c r="B230" s="1631"/>
    </row>
    <row r="231" spans="2:2" s="1623" customFormat="1" x14ac:dyDescent="0.2">
      <c r="B231" s="1631"/>
    </row>
    <row r="232" spans="2:2" s="1623" customFormat="1" x14ac:dyDescent="0.2">
      <c r="B232" s="1631"/>
    </row>
    <row r="233" spans="2:2" s="1623" customFormat="1" x14ac:dyDescent="0.2">
      <c r="B233" s="1631"/>
    </row>
    <row r="234" spans="2:2" s="1623" customFormat="1" x14ac:dyDescent="0.2">
      <c r="B234" s="1631"/>
    </row>
    <row r="235" spans="2:2" s="1623" customFormat="1" x14ac:dyDescent="0.2">
      <c r="B235" s="1631"/>
    </row>
    <row r="236" spans="2:2" s="1623" customFormat="1" x14ac:dyDescent="0.2">
      <c r="B236" s="1631"/>
    </row>
    <row r="237" spans="2:2" s="1623" customFormat="1" x14ac:dyDescent="0.2">
      <c r="B237" s="1631"/>
    </row>
    <row r="238" spans="2:2" s="1623" customFormat="1" x14ac:dyDescent="0.2">
      <c r="B238" s="1631"/>
    </row>
    <row r="239" spans="2:2" s="1623" customFormat="1" x14ac:dyDescent="0.2">
      <c r="B239" s="1631"/>
    </row>
    <row r="240" spans="2:2" s="1623" customFormat="1" x14ac:dyDescent="0.2">
      <c r="B240" s="1631"/>
    </row>
    <row r="241" spans="2:2" s="1623" customFormat="1" x14ac:dyDescent="0.2">
      <c r="B241" s="1631"/>
    </row>
    <row r="242" spans="2:2" s="1623" customFormat="1" x14ac:dyDescent="0.2">
      <c r="B242" s="1631"/>
    </row>
    <row r="243" spans="2:2" s="1623" customFormat="1" x14ac:dyDescent="0.2">
      <c r="B243" s="1631"/>
    </row>
    <row r="244" spans="2:2" s="1623" customFormat="1" x14ac:dyDescent="0.2">
      <c r="B244" s="1631"/>
    </row>
    <row r="245" spans="2:2" s="1623" customFormat="1" x14ac:dyDescent="0.2">
      <c r="B245" s="1631"/>
    </row>
    <row r="246" spans="2:2" s="1623" customFormat="1" x14ac:dyDescent="0.2">
      <c r="B246" s="1631"/>
    </row>
    <row r="247" spans="2:2" s="1623" customFormat="1" x14ac:dyDescent="0.2">
      <c r="B247" s="1631"/>
    </row>
    <row r="248" spans="2:2" s="1623" customFormat="1" x14ac:dyDescent="0.2">
      <c r="B248" s="1631"/>
    </row>
    <row r="249" spans="2:2" s="1623" customFormat="1" x14ac:dyDescent="0.2">
      <c r="B249" s="1631"/>
    </row>
    <row r="250" spans="2:2" s="1623" customFormat="1" x14ac:dyDescent="0.2">
      <c r="B250" s="1631"/>
    </row>
    <row r="251" spans="2:2" s="1623" customFormat="1" x14ac:dyDescent="0.2">
      <c r="B251" s="1631"/>
    </row>
    <row r="252" spans="2:2" s="1623" customFormat="1" x14ac:dyDescent="0.2">
      <c r="B252" s="1631"/>
    </row>
    <row r="253" spans="2:2" s="1623" customFormat="1" x14ac:dyDescent="0.2">
      <c r="B253" s="1631"/>
    </row>
    <row r="254" spans="2:2" s="1623" customFormat="1" x14ac:dyDescent="0.2">
      <c r="B254" s="1631"/>
    </row>
    <row r="255" spans="2:2" s="1623" customFormat="1" x14ac:dyDescent="0.2">
      <c r="B255" s="1631"/>
    </row>
    <row r="256" spans="2:2" s="1623" customFormat="1" x14ac:dyDescent="0.2">
      <c r="B256" s="1631"/>
    </row>
    <row r="257" spans="2:2" s="1623" customFormat="1" x14ac:dyDescent="0.2">
      <c r="B257" s="1631"/>
    </row>
    <row r="258" spans="2:2" s="1623" customFormat="1" x14ac:dyDescent="0.2">
      <c r="B258" s="1631"/>
    </row>
    <row r="259" spans="2:2" s="1623" customFormat="1" x14ac:dyDescent="0.2">
      <c r="B259" s="1631"/>
    </row>
    <row r="260" spans="2:2" s="1623" customFormat="1" x14ac:dyDescent="0.2">
      <c r="B260" s="1631"/>
    </row>
    <row r="261" spans="2:2" s="1623" customFormat="1" x14ac:dyDescent="0.2">
      <c r="B261" s="1631"/>
    </row>
    <row r="262" spans="2:2" s="1623" customFormat="1" x14ac:dyDescent="0.2">
      <c r="B262" s="1631"/>
    </row>
    <row r="263" spans="2:2" s="1623" customFormat="1" x14ac:dyDescent="0.2">
      <c r="B263" s="1631"/>
    </row>
    <row r="264" spans="2:2" s="1623" customFormat="1" x14ac:dyDescent="0.2">
      <c r="B264" s="1631"/>
    </row>
    <row r="265" spans="2:2" s="1623" customFormat="1" x14ac:dyDescent="0.2">
      <c r="B265" s="1631"/>
    </row>
    <row r="266" spans="2:2" s="1623" customFormat="1" x14ac:dyDescent="0.2">
      <c r="B266" s="1631"/>
    </row>
    <row r="267" spans="2:2" s="1623" customFormat="1" x14ac:dyDescent="0.2">
      <c r="B267" s="1631"/>
    </row>
    <row r="268" spans="2:2" s="1623" customFormat="1" x14ac:dyDescent="0.2">
      <c r="B268" s="1631"/>
    </row>
    <row r="269" spans="2:2" s="1623" customFormat="1" x14ac:dyDescent="0.2">
      <c r="B269" s="1631"/>
    </row>
    <row r="270" spans="2:2" s="1623" customFormat="1" x14ac:dyDescent="0.2">
      <c r="B270" s="1631"/>
    </row>
    <row r="271" spans="2:2" s="1623" customFormat="1" x14ac:dyDescent="0.2">
      <c r="B271" s="1631"/>
    </row>
    <row r="272" spans="2:2" s="1623" customFormat="1" x14ac:dyDescent="0.2">
      <c r="B272" s="1631"/>
    </row>
    <row r="273" spans="2:2" s="1623" customFormat="1" x14ac:dyDescent="0.2">
      <c r="B273" s="1631"/>
    </row>
    <row r="274" spans="2:2" s="1623" customFormat="1" x14ac:dyDescent="0.2">
      <c r="B274" s="1631"/>
    </row>
    <row r="275" spans="2:2" s="1623" customFormat="1" x14ac:dyDescent="0.2">
      <c r="B275" s="1631"/>
    </row>
    <row r="276" spans="2:2" s="1623" customFormat="1" x14ac:dyDescent="0.2">
      <c r="B276" s="1631"/>
    </row>
    <row r="277" spans="2:2" s="1623" customFormat="1" x14ac:dyDescent="0.2">
      <c r="B277" s="1631"/>
    </row>
    <row r="278" spans="2:2" s="1623" customFormat="1" x14ac:dyDescent="0.2">
      <c r="B278" s="1631"/>
    </row>
    <row r="279" spans="2:2" s="1623" customFormat="1" x14ac:dyDescent="0.2">
      <c r="B279" s="1631"/>
    </row>
    <row r="280" spans="2:2" s="1623" customFormat="1" x14ac:dyDescent="0.2">
      <c r="B280" s="1631"/>
    </row>
    <row r="281" spans="2:2" s="1623" customFormat="1" x14ac:dyDescent="0.2">
      <c r="B281" s="1631"/>
    </row>
    <row r="282" spans="2:2" s="1623" customFormat="1" x14ac:dyDescent="0.2">
      <c r="B282" s="1631"/>
    </row>
    <row r="283" spans="2:2" s="1623" customFormat="1" x14ac:dyDescent="0.2">
      <c r="B283" s="1631"/>
    </row>
    <row r="284" spans="2:2" s="1623" customFormat="1" x14ac:dyDescent="0.2">
      <c r="B284" s="1631"/>
    </row>
    <row r="285" spans="2:2" s="1623" customFormat="1" x14ac:dyDescent="0.2">
      <c r="B285" s="1631"/>
    </row>
    <row r="286" spans="2:2" s="1623" customFormat="1" x14ac:dyDescent="0.2">
      <c r="B286" s="1631"/>
    </row>
    <row r="287" spans="2:2" s="1623" customFormat="1" x14ac:dyDescent="0.2">
      <c r="B287" s="1631"/>
    </row>
    <row r="288" spans="2:2" s="1623" customFormat="1" x14ac:dyDescent="0.2">
      <c r="B288" s="1631"/>
    </row>
    <row r="289" spans="2:2" s="1623" customFormat="1" x14ac:dyDescent="0.2">
      <c r="B289" s="1631"/>
    </row>
    <row r="290" spans="2:2" s="1623" customFormat="1" x14ac:dyDescent="0.2">
      <c r="B290" s="1631"/>
    </row>
    <row r="291" spans="2:2" s="1623" customFormat="1" x14ac:dyDescent="0.2">
      <c r="B291" s="1631"/>
    </row>
    <row r="292" spans="2:2" s="1623" customFormat="1" x14ac:dyDescent="0.2">
      <c r="B292" s="1631"/>
    </row>
    <row r="293" spans="2:2" s="1623" customFormat="1" x14ac:dyDescent="0.2">
      <c r="B293" s="1631"/>
    </row>
    <row r="294" spans="2:2" s="1623" customFormat="1" x14ac:dyDescent="0.2">
      <c r="B294" s="1631"/>
    </row>
    <row r="295" spans="2:2" s="1623" customFormat="1" x14ac:dyDescent="0.2">
      <c r="B295" s="1631"/>
    </row>
    <row r="296" spans="2:2" s="1623" customFormat="1" x14ac:dyDescent="0.2">
      <c r="B296" s="1631"/>
    </row>
    <row r="297" spans="2:2" s="1623" customFormat="1" x14ac:dyDescent="0.2">
      <c r="B297" s="1631"/>
    </row>
    <row r="298" spans="2:2" s="1623" customFormat="1" x14ac:dyDescent="0.2">
      <c r="B298" s="1631"/>
    </row>
    <row r="299" spans="2:2" s="1623" customFormat="1" x14ac:dyDescent="0.2">
      <c r="B299" s="1631"/>
    </row>
    <row r="300" spans="2:2" s="1623" customFormat="1" x14ac:dyDescent="0.2">
      <c r="B300" s="1631"/>
    </row>
    <row r="301" spans="2:2" s="1623" customFormat="1" x14ac:dyDescent="0.2">
      <c r="B301" s="1631"/>
    </row>
    <row r="302" spans="2:2" s="1623" customFormat="1" x14ac:dyDescent="0.2">
      <c r="B302" s="1631"/>
    </row>
    <row r="303" spans="2:2" s="1623" customFormat="1" x14ac:dyDescent="0.2">
      <c r="B303" s="1631"/>
    </row>
    <row r="304" spans="2:2" s="1623" customFormat="1" x14ac:dyDescent="0.2">
      <c r="B304" s="1631"/>
    </row>
    <row r="305" spans="2:2" s="1623" customFormat="1" x14ac:dyDescent="0.2">
      <c r="B305" s="1631"/>
    </row>
    <row r="306" spans="2:2" s="1623" customFormat="1" x14ac:dyDescent="0.2">
      <c r="B306" s="1631"/>
    </row>
    <row r="307" spans="2:2" s="1623" customFormat="1" x14ac:dyDescent="0.2">
      <c r="B307" s="1631"/>
    </row>
    <row r="308" spans="2:2" s="1623" customFormat="1" x14ac:dyDescent="0.2">
      <c r="B308" s="1631"/>
    </row>
    <row r="309" spans="2:2" s="1623" customFormat="1" x14ac:dyDescent="0.2">
      <c r="B309" s="1631"/>
    </row>
    <row r="310" spans="2:2" s="1623" customFormat="1" x14ac:dyDescent="0.2">
      <c r="B310" s="1631"/>
    </row>
    <row r="311" spans="2:2" s="1623" customFormat="1" x14ac:dyDescent="0.2">
      <c r="B311" s="1631"/>
    </row>
    <row r="312" spans="2:2" s="1623" customFormat="1" x14ac:dyDescent="0.2">
      <c r="B312" s="1631"/>
    </row>
    <row r="313" spans="2:2" s="1623" customFormat="1" x14ac:dyDescent="0.2">
      <c r="B313" s="1631"/>
    </row>
    <row r="314" spans="2:2" s="1623" customFormat="1" x14ac:dyDescent="0.2">
      <c r="B314" s="1631"/>
    </row>
    <row r="315" spans="2:2" s="1623" customFormat="1" x14ac:dyDescent="0.2">
      <c r="B315" s="1631"/>
    </row>
    <row r="316" spans="2:2" s="1623" customFormat="1" x14ac:dyDescent="0.2">
      <c r="B316" s="1631"/>
    </row>
    <row r="317" spans="2:2" s="1623" customFormat="1" x14ac:dyDescent="0.2">
      <c r="B317" s="1631"/>
    </row>
    <row r="318" spans="2:2" s="1623" customFormat="1" x14ac:dyDescent="0.2">
      <c r="B318" s="1631"/>
    </row>
    <row r="319" spans="2:2" s="1623" customFormat="1" x14ac:dyDescent="0.2">
      <c r="B319" s="1631"/>
    </row>
    <row r="320" spans="2:2" s="1623" customFormat="1" x14ac:dyDescent="0.2">
      <c r="B320" s="1631"/>
    </row>
    <row r="321" spans="2:2" s="1623" customFormat="1" x14ac:dyDescent="0.2">
      <c r="B321" s="1631"/>
    </row>
    <row r="322" spans="2:2" s="1623" customFormat="1" x14ac:dyDescent="0.2">
      <c r="B322" s="1631"/>
    </row>
    <row r="323" spans="2:2" s="1623" customFormat="1" x14ac:dyDescent="0.2">
      <c r="B323" s="1631"/>
    </row>
    <row r="324" spans="2:2" s="1623" customFormat="1" x14ac:dyDescent="0.2">
      <c r="B324" s="1631"/>
    </row>
    <row r="325" spans="2:2" s="1623" customFormat="1" x14ac:dyDescent="0.2">
      <c r="B325" s="1631"/>
    </row>
    <row r="326" spans="2:2" s="1623" customFormat="1" x14ac:dyDescent="0.2">
      <c r="B326" s="1631"/>
    </row>
    <row r="327" spans="2:2" s="1623" customFormat="1" x14ac:dyDescent="0.2">
      <c r="B327" s="1631"/>
    </row>
    <row r="328" spans="2:2" s="1623" customFormat="1" x14ac:dyDescent="0.2">
      <c r="B328" s="1631"/>
    </row>
    <row r="329" spans="2:2" s="1623" customFormat="1" x14ac:dyDescent="0.2">
      <c r="B329" s="1631"/>
    </row>
    <row r="330" spans="2:2" s="1623" customFormat="1" x14ac:dyDescent="0.2">
      <c r="B330" s="1631"/>
    </row>
    <row r="331" spans="2:2" s="1623" customFormat="1" x14ac:dyDescent="0.2">
      <c r="B331" s="1631"/>
    </row>
    <row r="332" spans="2:2" s="1623" customFormat="1" x14ac:dyDescent="0.2">
      <c r="B332" s="1631"/>
    </row>
    <row r="333" spans="2:2" s="1623" customFormat="1" x14ac:dyDescent="0.2">
      <c r="B333" s="1631"/>
    </row>
    <row r="334" spans="2:2" s="1623" customFormat="1" x14ac:dyDescent="0.2">
      <c r="B334" s="1631"/>
    </row>
    <row r="335" spans="2:2" s="1623" customFormat="1" x14ac:dyDescent="0.2">
      <c r="B335" s="1631"/>
    </row>
    <row r="336" spans="2:2" s="1623" customFormat="1" x14ac:dyDescent="0.2">
      <c r="B336" s="1631"/>
    </row>
    <row r="337" spans="2:2" s="1623" customFormat="1" x14ac:dyDescent="0.2">
      <c r="B337" s="1631"/>
    </row>
    <row r="338" spans="2:2" s="1623" customFormat="1" x14ac:dyDescent="0.2">
      <c r="B338" s="1631"/>
    </row>
    <row r="339" spans="2:2" s="1623" customFormat="1" x14ac:dyDescent="0.2">
      <c r="B339" s="1631"/>
    </row>
    <row r="340" spans="2:2" s="1623" customFormat="1" x14ac:dyDescent="0.2">
      <c r="B340" s="1631"/>
    </row>
    <row r="341" spans="2:2" s="1623" customFormat="1" x14ac:dyDescent="0.2">
      <c r="B341" s="1631"/>
    </row>
    <row r="342" spans="2:2" s="1623" customFormat="1" x14ac:dyDescent="0.2">
      <c r="B342" s="1631"/>
    </row>
    <row r="343" spans="2:2" s="1623" customFormat="1" x14ac:dyDescent="0.2">
      <c r="B343" s="1631"/>
    </row>
    <row r="344" spans="2:2" s="1623" customFormat="1" x14ac:dyDescent="0.2">
      <c r="B344" s="1631"/>
    </row>
    <row r="345" spans="2:2" s="1623" customFormat="1" x14ac:dyDescent="0.2">
      <c r="B345" s="1631"/>
    </row>
    <row r="346" spans="2:2" s="1623" customFormat="1" x14ac:dyDescent="0.2">
      <c r="B346" s="1631"/>
    </row>
    <row r="347" spans="2:2" s="1623" customFormat="1" x14ac:dyDescent="0.2">
      <c r="B347" s="1631"/>
    </row>
    <row r="348" spans="2:2" s="1623" customFormat="1" x14ac:dyDescent="0.2">
      <c r="B348" s="1631"/>
    </row>
    <row r="349" spans="2:2" s="1623" customFormat="1" x14ac:dyDescent="0.2">
      <c r="B349" s="1631"/>
    </row>
    <row r="350" spans="2:2" s="1623" customFormat="1" x14ac:dyDescent="0.2">
      <c r="B350" s="1631"/>
    </row>
    <row r="351" spans="2:2" s="1623" customFormat="1" x14ac:dyDescent="0.2">
      <c r="B351" s="1631"/>
    </row>
    <row r="352" spans="2:2" s="1623" customFormat="1" x14ac:dyDescent="0.2">
      <c r="B352" s="1631"/>
    </row>
    <row r="353" spans="2:2" s="1623" customFormat="1" x14ac:dyDescent="0.2">
      <c r="B353" s="1631"/>
    </row>
    <row r="354" spans="2:2" s="1623" customFormat="1" x14ac:dyDescent="0.2">
      <c r="B354" s="1631"/>
    </row>
    <row r="355" spans="2:2" s="1623" customFormat="1" x14ac:dyDescent="0.2">
      <c r="B355" s="1631"/>
    </row>
    <row r="356" spans="2:2" s="1623" customFormat="1" x14ac:dyDescent="0.2">
      <c r="B356" s="1631"/>
    </row>
    <row r="357" spans="2:2" s="1623" customFormat="1" x14ac:dyDescent="0.2">
      <c r="B357" s="1631"/>
    </row>
    <row r="358" spans="2:2" s="1623" customFormat="1" x14ac:dyDescent="0.2">
      <c r="B358" s="1631"/>
    </row>
    <row r="359" spans="2:2" s="1623" customFormat="1" x14ac:dyDescent="0.2">
      <c r="B359" s="1631"/>
    </row>
    <row r="360" spans="2:2" s="1623" customFormat="1" x14ac:dyDescent="0.2">
      <c r="B360" s="1631"/>
    </row>
    <row r="361" spans="2:2" s="1623" customFormat="1" x14ac:dyDescent="0.2">
      <c r="B361" s="1631"/>
    </row>
    <row r="362" spans="2:2" s="1623" customFormat="1" x14ac:dyDescent="0.2">
      <c r="B362" s="1631"/>
    </row>
    <row r="363" spans="2:2" s="1623" customFormat="1" x14ac:dyDescent="0.2">
      <c r="B363" s="1631"/>
    </row>
    <row r="364" spans="2:2" s="1623" customFormat="1" x14ac:dyDescent="0.2">
      <c r="B364" s="1631"/>
    </row>
    <row r="365" spans="2:2" s="1623" customFormat="1" x14ac:dyDescent="0.2">
      <c r="B365" s="1631"/>
    </row>
    <row r="366" spans="2:2" s="1623" customFormat="1" x14ac:dyDescent="0.2">
      <c r="B366" s="1631"/>
    </row>
    <row r="367" spans="2:2" s="1623" customFormat="1" x14ac:dyDescent="0.2">
      <c r="B367" s="1631"/>
    </row>
    <row r="368" spans="2:2" s="1623" customFormat="1" x14ac:dyDescent="0.2">
      <c r="B368" s="1631"/>
    </row>
    <row r="369" spans="2:2" s="1623" customFormat="1" x14ac:dyDescent="0.2">
      <c r="B369" s="1631"/>
    </row>
    <row r="370" spans="2:2" s="1623" customFormat="1" x14ac:dyDescent="0.2">
      <c r="B370" s="1631"/>
    </row>
    <row r="371" spans="2:2" s="1623" customFormat="1" x14ac:dyDescent="0.2">
      <c r="B371" s="1631"/>
    </row>
    <row r="372" spans="2:2" s="1623" customFormat="1" x14ac:dyDescent="0.2">
      <c r="B372" s="1631"/>
    </row>
    <row r="373" spans="2:2" s="1623" customFormat="1" x14ac:dyDescent="0.2">
      <c r="B373" s="1631"/>
    </row>
    <row r="374" spans="2:2" s="1623" customFormat="1" x14ac:dyDescent="0.2">
      <c r="B374" s="1631"/>
    </row>
    <row r="375" spans="2:2" s="1623" customFormat="1" x14ac:dyDescent="0.2">
      <c r="B375" s="1631"/>
    </row>
    <row r="376" spans="2:2" s="1623" customFormat="1" x14ac:dyDescent="0.2">
      <c r="B376" s="1631"/>
    </row>
    <row r="377" spans="2:2" s="1623" customFormat="1" x14ac:dyDescent="0.2">
      <c r="B377" s="1631"/>
    </row>
    <row r="378" spans="2:2" s="1623" customFormat="1" x14ac:dyDescent="0.2">
      <c r="B378" s="1631"/>
    </row>
    <row r="379" spans="2:2" s="1623" customFormat="1" x14ac:dyDescent="0.2">
      <c r="B379" s="1631"/>
    </row>
    <row r="380" spans="2:2" s="1623" customFormat="1" x14ac:dyDescent="0.2">
      <c r="B380" s="1631"/>
    </row>
    <row r="381" spans="2:2" s="1623" customFormat="1" x14ac:dyDescent="0.2">
      <c r="B381" s="1631"/>
    </row>
    <row r="382" spans="2:2" s="1623" customFormat="1" x14ac:dyDescent="0.2">
      <c r="B382" s="1631"/>
    </row>
    <row r="383" spans="2:2" s="1623" customFormat="1" x14ac:dyDescent="0.2">
      <c r="B383" s="1631"/>
    </row>
    <row r="384" spans="2:2" s="1623" customFormat="1" x14ac:dyDescent="0.2">
      <c r="B384" s="1631"/>
    </row>
    <row r="385" spans="2:2" s="1623" customFormat="1" x14ac:dyDescent="0.2">
      <c r="B385" s="1631"/>
    </row>
    <row r="386" spans="2:2" s="1623" customFormat="1" x14ac:dyDescent="0.2">
      <c r="B386" s="1631"/>
    </row>
    <row r="387" spans="2:2" s="1623" customFormat="1" x14ac:dyDescent="0.2">
      <c r="B387" s="1631"/>
    </row>
    <row r="388" spans="2:2" s="1623" customFormat="1" x14ac:dyDescent="0.2">
      <c r="B388" s="1631"/>
    </row>
    <row r="389" spans="2:2" s="1623" customFormat="1" x14ac:dyDescent="0.2">
      <c r="B389" s="1631"/>
    </row>
    <row r="390" spans="2:2" s="1623" customFormat="1" x14ac:dyDescent="0.2">
      <c r="B390" s="1631"/>
    </row>
    <row r="391" spans="2:2" s="1623" customFormat="1" x14ac:dyDescent="0.2">
      <c r="B391" s="1631"/>
    </row>
    <row r="392" spans="2:2" s="1623" customFormat="1" x14ac:dyDescent="0.2">
      <c r="B392" s="1631"/>
    </row>
    <row r="393" spans="2:2" s="1623" customFormat="1" x14ac:dyDescent="0.2">
      <c r="B393" s="1631"/>
    </row>
    <row r="394" spans="2:2" s="1623" customFormat="1" x14ac:dyDescent="0.2">
      <c r="B394" s="1631"/>
    </row>
    <row r="395" spans="2:2" s="1623" customFormat="1" x14ac:dyDescent="0.2">
      <c r="B395" s="1631"/>
    </row>
    <row r="396" spans="2:2" s="1623" customFormat="1" x14ac:dyDescent="0.2">
      <c r="B396" s="1631"/>
    </row>
    <row r="397" spans="2:2" s="1623" customFormat="1" x14ac:dyDescent="0.2">
      <c r="B397" s="1631"/>
    </row>
    <row r="398" spans="2:2" s="1623" customFormat="1" x14ac:dyDescent="0.2">
      <c r="B398" s="1631"/>
    </row>
    <row r="399" spans="2:2" s="1623" customFormat="1" x14ac:dyDescent="0.2">
      <c r="B399" s="1631"/>
    </row>
    <row r="400" spans="2:2" s="1623" customFormat="1" x14ac:dyDescent="0.2">
      <c r="B400" s="1631"/>
    </row>
    <row r="401" spans="2:2" s="1623" customFormat="1" x14ac:dyDescent="0.2">
      <c r="B401" s="1631"/>
    </row>
    <row r="402" spans="2:2" s="1623" customFormat="1" x14ac:dyDescent="0.2">
      <c r="B402" s="1631"/>
    </row>
    <row r="403" spans="2:2" s="1623" customFormat="1" x14ac:dyDescent="0.2">
      <c r="B403" s="1631"/>
    </row>
    <row r="404" spans="2:2" s="1623" customFormat="1" x14ac:dyDescent="0.2">
      <c r="B404" s="1631"/>
    </row>
    <row r="405" spans="2:2" s="1623" customFormat="1" x14ac:dyDescent="0.2">
      <c r="B405" s="1631"/>
    </row>
    <row r="406" spans="2:2" s="1623" customFormat="1" x14ac:dyDescent="0.2">
      <c r="B406" s="1631"/>
    </row>
    <row r="407" spans="2:2" s="1623" customFormat="1" x14ac:dyDescent="0.2">
      <c r="B407" s="1631"/>
    </row>
    <row r="408" spans="2:2" s="1623" customFormat="1" x14ac:dyDescent="0.2">
      <c r="B408" s="1631"/>
    </row>
    <row r="409" spans="2:2" s="1623" customFormat="1" x14ac:dyDescent="0.2">
      <c r="B409" s="1631"/>
    </row>
    <row r="410" spans="2:2" s="1623" customFormat="1" x14ac:dyDescent="0.2">
      <c r="B410" s="1631"/>
    </row>
    <row r="411" spans="2:2" s="1623" customFormat="1" x14ac:dyDescent="0.2">
      <c r="B411" s="1631"/>
    </row>
    <row r="412" spans="2:2" s="1623" customFormat="1" x14ac:dyDescent="0.2">
      <c r="B412" s="1631"/>
    </row>
    <row r="413" spans="2:2" s="1623" customFormat="1" x14ac:dyDescent="0.2">
      <c r="B413" s="1631"/>
    </row>
    <row r="414" spans="2:2" s="1623" customFormat="1" x14ac:dyDescent="0.2">
      <c r="B414" s="1631"/>
    </row>
    <row r="415" spans="2:2" s="1623" customFormat="1" x14ac:dyDescent="0.2">
      <c r="B415" s="1631"/>
    </row>
    <row r="416" spans="2:2" s="1623" customFormat="1" x14ac:dyDescent="0.2">
      <c r="B416" s="1631"/>
    </row>
    <row r="417" spans="2:2" s="1623" customFormat="1" x14ac:dyDescent="0.2">
      <c r="B417" s="1631"/>
    </row>
    <row r="418" spans="2:2" s="1623" customFormat="1" x14ac:dyDescent="0.2">
      <c r="B418" s="1631"/>
    </row>
    <row r="419" spans="2:2" s="1623" customFormat="1" x14ac:dyDescent="0.2">
      <c r="B419" s="1631"/>
    </row>
    <row r="420" spans="2:2" s="1623" customFormat="1" x14ac:dyDescent="0.2">
      <c r="B420" s="1631"/>
    </row>
    <row r="421" spans="2:2" s="1623" customFormat="1" x14ac:dyDescent="0.2">
      <c r="B421" s="1631"/>
    </row>
    <row r="422" spans="2:2" s="1623" customFormat="1" x14ac:dyDescent="0.2">
      <c r="B422" s="1631"/>
    </row>
    <row r="423" spans="2:2" s="1623" customFormat="1" x14ac:dyDescent="0.2">
      <c r="B423" s="1631"/>
    </row>
    <row r="424" spans="2:2" s="1623" customFormat="1" x14ac:dyDescent="0.2">
      <c r="B424" s="1631"/>
    </row>
    <row r="425" spans="2:2" s="1623" customFormat="1" x14ac:dyDescent="0.2">
      <c r="B425" s="1631"/>
    </row>
    <row r="426" spans="2:2" s="1623" customFormat="1" x14ac:dyDescent="0.2">
      <c r="B426" s="1631"/>
    </row>
    <row r="427" spans="2:2" s="1623" customFormat="1" x14ac:dyDescent="0.2">
      <c r="B427" s="1631"/>
    </row>
    <row r="428" spans="2:2" s="1623" customFormat="1" x14ac:dyDescent="0.2">
      <c r="B428" s="1631"/>
    </row>
    <row r="429" spans="2:2" s="1623" customFormat="1" x14ac:dyDescent="0.2">
      <c r="B429" s="1631"/>
    </row>
    <row r="430" spans="2:2" s="1623" customFormat="1" x14ac:dyDescent="0.2">
      <c r="B430" s="1631"/>
    </row>
    <row r="431" spans="2:2" s="1623" customFormat="1" x14ac:dyDescent="0.2">
      <c r="B431" s="1631"/>
    </row>
    <row r="432" spans="2:2" s="1623" customFormat="1" x14ac:dyDescent="0.2">
      <c r="B432" s="1631"/>
    </row>
    <row r="433" spans="2:2" s="1623" customFormat="1" x14ac:dyDescent="0.2">
      <c r="B433" s="1631"/>
    </row>
    <row r="434" spans="2:2" s="1623" customFormat="1" x14ac:dyDescent="0.2">
      <c r="B434" s="1631"/>
    </row>
    <row r="435" spans="2:2" s="1623" customFormat="1" x14ac:dyDescent="0.2">
      <c r="B435" s="1631"/>
    </row>
    <row r="436" spans="2:2" s="1623" customFormat="1" x14ac:dyDescent="0.2">
      <c r="B436" s="1631"/>
    </row>
    <row r="437" spans="2:2" s="1623" customFormat="1" x14ac:dyDescent="0.2">
      <c r="B437" s="1631"/>
    </row>
    <row r="438" spans="2:2" s="1623" customFormat="1" x14ac:dyDescent="0.2">
      <c r="B438" s="1631"/>
    </row>
    <row r="439" spans="2:2" s="1623" customFormat="1" x14ac:dyDescent="0.2">
      <c r="B439" s="1631"/>
    </row>
    <row r="440" spans="2:2" s="1623" customFormat="1" x14ac:dyDescent="0.2">
      <c r="B440" s="1631"/>
    </row>
    <row r="441" spans="2:2" s="1623" customFormat="1" x14ac:dyDescent="0.2">
      <c r="B441" s="1631"/>
    </row>
    <row r="442" spans="2:2" s="1623" customFormat="1" x14ac:dyDescent="0.2">
      <c r="B442" s="1631"/>
    </row>
    <row r="443" spans="2:2" s="1623" customFormat="1" x14ac:dyDescent="0.2">
      <c r="B443" s="1631"/>
    </row>
    <row r="444" spans="2:2" s="1623" customFormat="1" x14ac:dyDescent="0.2">
      <c r="B444" s="1631"/>
    </row>
    <row r="445" spans="2:2" s="1623" customFormat="1" x14ac:dyDescent="0.2">
      <c r="B445" s="1631"/>
    </row>
    <row r="446" spans="2:2" s="1623" customFormat="1" x14ac:dyDescent="0.2">
      <c r="B446" s="1631"/>
    </row>
    <row r="447" spans="2:2" s="1623" customFormat="1" x14ac:dyDescent="0.2">
      <c r="B447" s="1631"/>
    </row>
    <row r="448" spans="2:2" s="1623" customFormat="1" x14ac:dyDescent="0.2">
      <c r="B448" s="1631"/>
    </row>
    <row r="449" spans="2:2" s="1623" customFormat="1" x14ac:dyDescent="0.2">
      <c r="B449" s="1631"/>
    </row>
    <row r="450" spans="2:2" s="1623" customFormat="1" x14ac:dyDescent="0.2">
      <c r="B450" s="1631"/>
    </row>
    <row r="451" spans="2:2" s="1623" customFormat="1" x14ac:dyDescent="0.2">
      <c r="B451" s="1631"/>
    </row>
    <row r="452" spans="2:2" s="1623" customFormat="1" x14ac:dyDescent="0.2">
      <c r="B452" s="1631"/>
    </row>
    <row r="453" spans="2:2" s="1623" customFormat="1" x14ac:dyDescent="0.2">
      <c r="B453" s="1631"/>
    </row>
    <row r="454" spans="2:2" s="1623" customFormat="1" x14ac:dyDescent="0.2">
      <c r="B454" s="1631"/>
    </row>
    <row r="455" spans="2:2" s="1623" customFormat="1" x14ac:dyDescent="0.2">
      <c r="B455" s="1631"/>
    </row>
    <row r="456" spans="2:2" s="1623" customFormat="1" x14ac:dyDescent="0.2">
      <c r="B456" s="1631"/>
    </row>
    <row r="457" spans="2:2" s="1623" customFormat="1" x14ac:dyDescent="0.2">
      <c r="B457" s="1631"/>
    </row>
    <row r="458" spans="2:2" s="1623" customFormat="1" x14ac:dyDescent="0.2">
      <c r="B458" s="1631"/>
    </row>
    <row r="459" spans="2:2" s="1623" customFormat="1" x14ac:dyDescent="0.2">
      <c r="B459" s="1631"/>
    </row>
    <row r="460" spans="2:2" s="1623" customFormat="1" x14ac:dyDescent="0.2">
      <c r="B460" s="1631"/>
    </row>
    <row r="461" spans="2:2" s="1623" customFormat="1" x14ac:dyDescent="0.2">
      <c r="B461" s="1631"/>
    </row>
    <row r="462" spans="2:2" s="1623" customFormat="1" x14ac:dyDescent="0.2">
      <c r="B462" s="1631"/>
    </row>
    <row r="463" spans="2:2" s="1623" customFormat="1" x14ac:dyDescent="0.2">
      <c r="B463" s="1631"/>
    </row>
    <row r="464" spans="2:2" s="1623" customFormat="1" x14ac:dyDescent="0.2">
      <c r="B464" s="1631"/>
    </row>
    <row r="465" spans="2:2" s="1623" customFormat="1" x14ac:dyDescent="0.2">
      <c r="B465" s="1631"/>
    </row>
    <row r="466" spans="2:2" s="1623" customFormat="1" x14ac:dyDescent="0.2">
      <c r="B466" s="1631"/>
    </row>
    <row r="467" spans="2:2" s="1623" customFormat="1" x14ac:dyDescent="0.2">
      <c r="B467" s="1631"/>
    </row>
    <row r="468" spans="2:2" s="1623" customFormat="1" x14ac:dyDescent="0.2">
      <c r="B468" s="1631"/>
    </row>
    <row r="469" spans="2:2" s="1623" customFormat="1" x14ac:dyDescent="0.2">
      <c r="B469" s="1631"/>
    </row>
    <row r="470" spans="2:2" s="1623" customFormat="1" x14ac:dyDescent="0.2">
      <c r="B470" s="1631"/>
    </row>
    <row r="471" spans="2:2" s="1623" customFormat="1" x14ac:dyDescent="0.2">
      <c r="B471" s="1631"/>
    </row>
    <row r="472" spans="2:2" s="1623" customFormat="1" x14ac:dyDescent="0.2">
      <c r="B472" s="1631"/>
    </row>
    <row r="473" spans="2:2" s="1623" customFormat="1" x14ac:dyDescent="0.2">
      <c r="B473" s="1631"/>
    </row>
    <row r="474" spans="2:2" s="1623" customFormat="1" x14ac:dyDescent="0.2">
      <c r="B474" s="1631"/>
    </row>
    <row r="475" spans="2:2" s="1623" customFormat="1" x14ac:dyDescent="0.2">
      <c r="B475" s="1631"/>
    </row>
    <row r="476" spans="2:2" s="1623" customFormat="1" x14ac:dyDescent="0.2">
      <c r="B476" s="1631"/>
    </row>
    <row r="477" spans="2:2" s="1623" customFormat="1" x14ac:dyDescent="0.2">
      <c r="B477" s="1631"/>
    </row>
    <row r="478" spans="2:2" s="1623" customFormat="1" x14ac:dyDescent="0.2">
      <c r="B478" s="1631"/>
    </row>
    <row r="479" spans="2:2" s="1623" customFormat="1" x14ac:dyDescent="0.2">
      <c r="B479" s="1631"/>
    </row>
    <row r="480" spans="2:2" s="1623" customFormat="1" x14ac:dyDescent="0.2">
      <c r="B480" s="1631"/>
    </row>
    <row r="481" spans="2:2" s="1623" customFormat="1" x14ac:dyDescent="0.2">
      <c r="B481" s="1631"/>
    </row>
    <row r="482" spans="2:2" s="1623" customFormat="1" x14ac:dyDescent="0.2">
      <c r="B482" s="1631"/>
    </row>
    <row r="483" spans="2:2" s="1623" customFormat="1" x14ac:dyDescent="0.2">
      <c r="B483" s="1631"/>
    </row>
    <row r="484" spans="2:2" s="1623" customFormat="1" x14ac:dyDescent="0.2">
      <c r="B484" s="1631"/>
    </row>
    <row r="485" spans="2:2" s="1623" customFormat="1" x14ac:dyDescent="0.2">
      <c r="B485" s="1631"/>
    </row>
    <row r="486" spans="2:2" s="1623" customFormat="1" x14ac:dyDescent="0.2">
      <c r="B486" s="1631"/>
    </row>
    <row r="487" spans="2:2" s="1623" customFormat="1" x14ac:dyDescent="0.2">
      <c r="B487" s="1631"/>
    </row>
    <row r="488" spans="2:2" s="1623" customFormat="1" x14ac:dyDescent="0.2">
      <c r="B488" s="1631"/>
    </row>
    <row r="489" spans="2:2" s="1623" customFormat="1" x14ac:dyDescent="0.2">
      <c r="B489" s="1631"/>
    </row>
    <row r="490" spans="2:2" s="1623" customFormat="1" x14ac:dyDescent="0.2">
      <c r="B490" s="1631"/>
    </row>
    <row r="491" spans="2:2" s="1623" customFormat="1" x14ac:dyDescent="0.2">
      <c r="B491" s="1631"/>
    </row>
    <row r="492" spans="2:2" s="1623" customFormat="1" x14ac:dyDescent="0.2">
      <c r="B492" s="1631"/>
    </row>
    <row r="493" spans="2:2" s="1623" customFormat="1" x14ac:dyDescent="0.2">
      <c r="B493" s="1631"/>
    </row>
    <row r="494" spans="2:2" s="1623" customFormat="1" x14ac:dyDescent="0.2">
      <c r="B494" s="1631"/>
    </row>
    <row r="495" spans="2:2" s="1623" customFormat="1" x14ac:dyDescent="0.2">
      <c r="B495" s="1631"/>
    </row>
    <row r="496" spans="2:2" s="1623" customFormat="1" x14ac:dyDescent="0.2">
      <c r="B496" s="1631"/>
    </row>
    <row r="497" spans="2:2" s="1623" customFormat="1" x14ac:dyDescent="0.2">
      <c r="B497" s="1631"/>
    </row>
    <row r="498" spans="2:2" s="1623" customFormat="1" x14ac:dyDescent="0.2">
      <c r="B498" s="1631"/>
    </row>
    <row r="499" spans="2:2" s="1623" customFormat="1" x14ac:dyDescent="0.2">
      <c r="B499" s="1631"/>
    </row>
    <row r="500" spans="2:2" s="1623" customFormat="1" x14ac:dyDescent="0.2">
      <c r="B500" s="1631"/>
    </row>
    <row r="501" spans="2:2" s="1623" customFormat="1" x14ac:dyDescent="0.2">
      <c r="B501" s="1631"/>
    </row>
    <row r="502" spans="2:2" s="1623" customFormat="1" x14ac:dyDescent="0.2">
      <c r="B502" s="1631"/>
    </row>
    <row r="503" spans="2:2" s="1623" customFormat="1" x14ac:dyDescent="0.2">
      <c r="B503" s="1631"/>
    </row>
    <row r="504" spans="2:2" s="1623" customFormat="1" x14ac:dyDescent="0.2">
      <c r="B504" s="1631"/>
    </row>
    <row r="505" spans="2:2" s="1623" customFormat="1" x14ac:dyDescent="0.2">
      <c r="B505" s="1631"/>
    </row>
    <row r="506" spans="2:2" s="1623" customFormat="1" x14ac:dyDescent="0.2">
      <c r="B506" s="1631"/>
    </row>
    <row r="507" spans="2:2" s="1623" customFormat="1" x14ac:dyDescent="0.2">
      <c r="B507" s="1631"/>
    </row>
    <row r="508" spans="2:2" s="1623" customFormat="1" x14ac:dyDescent="0.2">
      <c r="B508" s="1631"/>
    </row>
    <row r="509" spans="2:2" s="1623" customFormat="1" x14ac:dyDescent="0.2">
      <c r="B509" s="1631"/>
    </row>
    <row r="510" spans="2:2" s="1623" customFormat="1" x14ac:dyDescent="0.2">
      <c r="B510" s="1631"/>
    </row>
    <row r="511" spans="2:2" s="1623" customFormat="1" x14ac:dyDescent="0.2">
      <c r="B511" s="1631"/>
    </row>
    <row r="512" spans="2:2" s="1623" customFormat="1" x14ac:dyDescent="0.2">
      <c r="B512" s="1631"/>
    </row>
    <row r="513" spans="2:2" s="1623" customFormat="1" x14ac:dyDescent="0.2">
      <c r="B513" s="1631"/>
    </row>
    <row r="514" spans="2:2" s="1623" customFormat="1" x14ac:dyDescent="0.2">
      <c r="B514" s="1631"/>
    </row>
    <row r="515" spans="2:2" s="1623" customFormat="1" x14ac:dyDescent="0.2">
      <c r="B515" s="1631"/>
    </row>
    <row r="516" spans="2:2" s="1623" customFormat="1" x14ac:dyDescent="0.2">
      <c r="B516" s="1631"/>
    </row>
    <row r="517" spans="2:2" s="1623" customFormat="1" x14ac:dyDescent="0.2">
      <c r="B517" s="1631"/>
    </row>
    <row r="518" spans="2:2" s="1623" customFormat="1" x14ac:dyDescent="0.2">
      <c r="B518" s="1631"/>
    </row>
    <row r="519" spans="2:2" s="1623" customFormat="1" x14ac:dyDescent="0.2">
      <c r="B519" s="1631"/>
    </row>
    <row r="520" spans="2:2" s="1623" customFormat="1" x14ac:dyDescent="0.2">
      <c r="B520" s="1631"/>
    </row>
    <row r="521" spans="2:2" s="1623" customFormat="1" x14ac:dyDescent="0.2">
      <c r="B521" s="1631"/>
    </row>
    <row r="522" spans="2:2" s="1623" customFormat="1" x14ac:dyDescent="0.2">
      <c r="B522" s="1631"/>
    </row>
    <row r="523" spans="2:2" s="1623" customFormat="1" x14ac:dyDescent="0.2">
      <c r="B523" s="1631"/>
    </row>
    <row r="524" spans="2:2" s="1623" customFormat="1" x14ac:dyDescent="0.2">
      <c r="B524" s="1631"/>
    </row>
    <row r="525" spans="2:2" s="1623" customFormat="1" x14ac:dyDescent="0.2">
      <c r="B525" s="1631"/>
    </row>
    <row r="526" spans="2:2" s="1623" customFormat="1" x14ac:dyDescent="0.2">
      <c r="B526" s="1631"/>
    </row>
    <row r="527" spans="2:2" s="1623" customFormat="1" x14ac:dyDescent="0.2">
      <c r="B527" s="1631"/>
    </row>
    <row r="528" spans="2:2" s="1623" customFormat="1" x14ac:dyDescent="0.2">
      <c r="B528" s="1631"/>
    </row>
    <row r="529" spans="2:2" s="1623" customFormat="1" x14ac:dyDescent="0.2">
      <c r="B529" s="1631"/>
    </row>
    <row r="530" spans="2:2" s="1623" customFormat="1" x14ac:dyDescent="0.2">
      <c r="B530" s="1631"/>
    </row>
    <row r="531" spans="2:2" s="1623" customFormat="1" x14ac:dyDescent="0.2">
      <c r="B531" s="1631"/>
    </row>
    <row r="532" spans="2:2" s="1623" customFormat="1" x14ac:dyDescent="0.2">
      <c r="B532" s="1631"/>
    </row>
    <row r="533" spans="2:2" s="1623" customFormat="1" x14ac:dyDescent="0.2">
      <c r="B533" s="1631"/>
    </row>
    <row r="534" spans="2:2" s="1623" customFormat="1" x14ac:dyDescent="0.2">
      <c r="B534" s="1631"/>
    </row>
    <row r="535" spans="2:2" s="1623" customFormat="1" x14ac:dyDescent="0.2">
      <c r="B535" s="1631"/>
    </row>
    <row r="536" spans="2:2" s="1623" customFormat="1" x14ac:dyDescent="0.2">
      <c r="B536" s="1631"/>
    </row>
    <row r="537" spans="2:2" s="1623" customFormat="1" x14ac:dyDescent="0.2">
      <c r="B537" s="1631"/>
    </row>
    <row r="538" spans="2:2" s="1623" customFormat="1" x14ac:dyDescent="0.2">
      <c r="B538" s="1631"/>
    </row>
    <row r="539" spans="2:2" s="1623" customFormat="1" x14ac:dyDescent="0.2">
      <c r="B539" s="1631"/>
    </row>
    <row r="540" spans="2:2" s="1623" customFormat="1" x14ac:dyDescent="0.2">
      <c r="B540" s="1631"/>
    </row>
    <row r="541" spans="2:2" s="1623" customFormat="1" x14ac:dyDescent="0.2">
      <c r="B541" s="1631"/>
    </row>
    <row r="542" spans="2:2" s="1623" customFormat="1" x14ac:dyDescent="0.2">
      <c r="B542" s="1631"/>
    </row>
    <row r="543" spans="2:2" s="1623" customFormat="1" x14ac:dyDescent="0.2">
      <c r="B543" s="1631"/>
    </row>
    <row r="544" spans="2:2" s="1623" customFormat="1" x14ac:dyDescent="0.2">
      <c r="B544" s="1631"/>
    </row>
    <row r="545" spans="2:2" s="1623" customFormat="1" x14ac:dyDescent="0.2">
      <c r="B545" s="1631"/>
    </row>
    <row r="546" spans="2:2" s="1623" customFormat="1" x14ac:dyDescent="0.2">
      <c r="B546" s="1631"/>
    </row>
    <row r="547" spans="2:2" s="1623" customFormat="1" x14ac:dyDescent="0.2">
      <c r="B547" s="1631"/>
    </row>
    <row r="548" spans="2:2" s="1623" customFormat="1" x14ac:dyDescent="0.2">
      <c r="B548" s="1631"/>
    </row>
    <row r="549" spans="2:2" s="1623" customFormat="1" x14ac:dyDescent="0.2">
      <c r="B549" s="1631"/>
    </row>
    <row r="550" spans="2:2" s="1623" customFormat="1" x14ac:dyDescent="0.2">
      <c r="B550" s="1631"/>
    </row>
    <row r="551" spans="2:2" s="1623" customFormat="1" x14ac:dyDescent="0.2">
      <c r="B551" s="1631"/>
    </row>
    <row r="552" spans="2:2" s="1623" customFormat="1" x14ac:dyDescent="0.2">
      <c r="B552" s="1631"/>
    </row>
    <row r="553" spans="2:2" s="1623" customFormat="1" x14ac:dyDescent="0.2">
      <c r="B553" s="1631"/>
    </row>
    <row r="554" spans="2:2" s="1623" customFormat="1" x14ac:dyDescent="0.2">
      <c r="B554" s="1631"/>
    </row>
    <row r="555" spans="2:2" s="1623" customFormat="1" x14ac:dyDescent="0.2">
      <c r="B555" s="1631"/>
    </row>
    <row r="556" spans="2:2" s="1623" customFormat="1" x14ac:dyDescent="0.2">
      <c r="B556" s="1631"/>
    </row>
    <row r="557" spans="2:2" s="1623" customFormat="1" x14ac:dyDescent="0.2">
      <c r="B557" s="1631"/>
    </row>
    <row r="558" spans="2:2" s="1623" customFormat="1" x14ac:dyDescent="0.2">
      <c r="B558" s="1631"/>
    </row>
    <row r="559" spans="2:2" s="1623" customFormat="1" x14ac:dyDescent="0.2">
      <c r="B559" s="1631"/>
    </row>
    <row r="560" spans="2:2" s="1623" customFormat="1" x14ac:dyDescent="0.2">
      <c r="B560" s="1631"/>
    </row>
    <row r="561" spans="2:2" s="1623" customFormat="1" x14ac:dyDescent="0.2">
      <c r="B561" s="1631"/>
    </row>
    <row r="562" spans="2:2" s="1623" customFormat="1" x14ac:dyDescent="0.2">
      <c r="B562" s="1631"/>
    </row>
    <row r="563" spans="2:2" s="1623" customFormat="1" x14ac:dyDescent="0.2">
      <c r="B563" s="1631"/>
    </row>
    <row r="564" spans="2:2" s="1623" customFormat="1" x14ac:dyDescent="0.2">
      <c r="B564" s="1631"/>
    </row>
    <row r="565" spans="2:2" s="1623" customFormat="1" x14ac:dyDescent="0.2">
      <c r="B565" s="1631"/>
    </row>
    <row r="566" spans="2:2" s="1623" customFormat="1" x14ac:dyDescent="0.2">
      <c r="B566" s="1631"/>
    </row>
    <row r="567" spans="2:2" s="1623" customFormat="1" x14ac:dyDescent="0.2">
      <c r="B567" s="1631"/>
    </row>
    <row r="568" spans="2:2" s="1623" customFormat="1" x14ac:dyDescent="0.2">
      <c r="B568" s="1631"/>
    </row>
    <row r="569" spans="2:2" s="1623" customFormat="1" x14ac:dyDescent="0.2">
      <c r="B569" s="1631"/>
    </row>
    <row r="570" spans="2:2" s="1623" customFormat="1" x14ac:dyDescent="0.2">
      <c r="B570" s="1631"/>
    </row>
    <row r="571" spans="2:2" s="1623" customFormat="1" x14ac:dyDescent="0.2">
      <c r="B571" s="1631"/>
    </row>
    <row r="572" spans="2:2" s="1623" customFormat="1" x14ac:dyDescent="0.2">
      <c r="B572" s="1631"/>
    </row>
    <row r="573" spans="2:2" s="1623" customFormat="1" x14ac:dyDescent="0.2">
      <c r="B573" s="1631"/>
    </row>
    <row r="574" spans="2:2" s="1623" customFormat="1" x14ac:dyDescent="0.2">
      <c r="B574" s="1631"/>
    </row>
    <row r="575" spans="2:2" s="1623" customFormat="1" x14ac:dyDescent="0.2">
      <c r="B575" s="1631"/>
    </row>
    <row r="576" spans="2:2" s="1623" customFormat="1" x14ac:dyDescent="0.2">
      <c r="B576" s="1631"/>
    </row>
    <row r="577" spans="2:2" s="1623" customFormat="1" x14ac:dyDescent="0.2">
      <c r="B577" s="1631"/>
    </row>
    <row r="578" spans="2:2" s="1623" customFormat="1" x14ac:dyDescent="0.2">
      <c r="B578" s="1631"/>
    </row>
    <row r="579" spans="2:2" s="1623" customFormat="1" x14ac:dyDescent="0.2">
      <c r="B579" s="1631"/>
    </row>
    <row r="580" spans="2:2" s="1623" customFormat="1" x14ac:dyDescent="0.2">
      <c r="B580" s="1631"/>
    </row>
    <row r="581" spans="2:2" s="1623" customFormat="1" x14ac:dyDescent="0.2">
      <c r="B581" s="1631"/>
    </row>
    <row r="582" spans="2:2" s="1623" customFormat="1" x14ac:dyDescent="0.2">
      <c r="B582" s="1631"/>
    </row>
    <row r="583" spans="2:2" s="1623" customFormat="1" x14ac:dyDescent="0.2">
      <c r="B583" s="1631"/>
    </row>
    <row r="584" spans="2:2" s="1623" customFormat="1" x14ac:dyDescent="0.2">
      <c r="B584" s="1631"/>
    </row>
    <row r="585" spans="2:2" s="1623" customFormat="1" x14ac:dyDescent="0.2">
      <c r="B585" s="1631"/>
    </row>
    <row r="586" spans="2:2" s="1623" customFormat="1" x14ac:dyDescent="0.2">
      <c r="B586" s="1631"/>
    </row>
    <row r="587" spans="2:2" s="1623" customFormat="1" x14ac:dyDescent="0.2">
      <c r="B587" s="1631"/>
    </row>
    <row r="588" spans="2:2" s="1623" customFormat="1" x14ac:dyDescent="0.2">
      <c r="B588" s="1631"/>
    </row>
    <row r="589" spans="2:2" s="1623" customFormat="1" x14ac:dyDescent="0.2">
      <c r="B589" s="1631"/>
    </row>
    <row r="590" spans="2:2" s="1623" customFormat="1" x14ac:dyDescent="0.2">
      <c r="B590" s="1631"/>
    </row>
    <row r="591" spans="2:2" s="1623" customFormat="1" x14ac:dyDescent="0.2">
      <c r="B591" s="1631"/>
    </row>
    <row r="592" spans="2:2" s="1623" customFormat="1" x14ac:dyDescent="0.2">
      <c r="B592" s="1631"/>
    </row>
    <row r="593" spans="2:2" s="1623" customFormat="1" x14ac:dyDescent="0.2">
      <c r="B593" s="1631"/>
    </row>
    <row r="594" spans="2:2" s="1623" customFormat="1" x14ac:dyDescent="0.2">
      <c r="B594" s="1631"/>
    </row>
    <row r="595" spans="2:2" s="1623" customFormat="1" x14ac:dyDescent="0.2">
      <c r="B595" s="1631"/>
    </row>
    <row r="596" spans="2:2" s="1623" customFormat="1" x14ac:dyDescent="0.2">
      <c r="B596" s="1631"/>
    </row>
    <row r="597" spans="2:2" s="1623" customFormat="1" x14ac:dyDescent="0.2">
      <c r="B597" s="1631"/>
    </row>
    <row r="598" spans="2:2" s="1623" customFormat="1" x14ac:dyDescent="0.2">
      <c r="B598" s="1631"/>
    </row>
    <row r="599" spans="2:2" s="1623" customFormat="1" x14ac:dyDescent="0.2">
      <c r="B599" s="1631"/>
    </row>
    <row r="600" spans="2:2" s="1623" customFormat="1" x14ac:dyDescent="0.2">
      <c r="B600" s="1631"/>
    </row>
    <row r="601" spans="2:2" s="1623" customFormat="1" x14ac:dyDescent="0.2">
      <c r="B601" s="1631"/>
    </row>
    <row r="602" spans="2:2" s="1623" customFormat="1" x14ac:dyDescent="0.2">
      <c r="B602" s="1631"/>
    </row>
    <row r="603" spans="2:2" s="1623" customFormat="1" x14ac:dyDescent="0.2">
      <c r="B603" s="1631"/>
    </row>
    <row r="604" spans="2:2" s="1623" customFormat="1" x14ac:dyDescent="0.2">
      <c r="B604" s="1631"/>
    </row>
    <row r="605" spans="2:2" s="1623" customFormat="1" x14ac:dyDescent="0.2">
      <c r="B605" s="1631"/>
    </row>
    <row r="606" spans="2:2" s="1623" customFormat="1" x14ac:dyDescent="0.2">
      <c r="B606" s="1631"/>
    </row>
    <row r="607" spans="2:2" s="1623" customFormat="1" x14ac:dyDescent="0.2">
      <c r="B607" s="1631"/>
    </row>
    <row r="608" spans="2:2" s="1623" customFormat="1" x14ac:dyDescent="0.2">
      <c r="B608" s="1631"/>
    </row>
    <row r="609" spans="2:2" s="1623" customFormat="1" x14ac:dyDescent="0.2">
      <c r="B609" s="1631"/>
    </row>
    <row r="610" spans="2:2" s="1623" customFormat="1" x14ac:dyDescent="0.2">
      <c r="B610" s="1631"/>
    </row>
    <row r="611" spans="2:2" s="1623" customFormat="1" x14ac:dyDescent="0.2">
      <c r="B611" s="1631"/>
    </row>
    <row r="612" spans="2:2" s="1623" customFormat="1" x14ac:dyDescent="0.2">
      <c r="B612" s="1631"/>
    </row>
    <row r="613" spans="2:2" s="1623" customFormat="1" x14ac:dyDescent="0.2">
      <c r="B613" s="1631"/>
    </row>
    <row r="614" spans="2:2" s="1623" customFormat="1" x14ac:dyDescent="0.2">
      <c r="B614" s="1631"/>
    </row>
    <row r="615" spans="2:2" s="1623" customFormat="1" x14ac:dyDescent="0.2">
      <c r="B615" s="1631"/>
    </row>
    <row r="616" spans="2:2" s="1623" customFormat="1" x14ac:dyDescent="0.2">
      <c r="B616" s="1631"/>
    </row>
    <row r="617" spans="2:2" s="1623" customFormat="1" x14ac:dyDescent="0.2">
      <c r="B617" s="1631"/>
    </row>
    <row r="618" spans="2:2" s="1623" customFormat="1" x14ac:dyDescent="0.2">
      <c r="B618" s="1631"/>
    </row>
    <row r="619" spans="2:2" s="1623" customFormat="1" x14ac:dyDescent="0.2">
      <c r="B619" s="1631"/>
    </row>
    <row r="620" spans="2:2" s="1623" customFormat="1" x14ac:dyDescent="0.2">
      <c r="B620" s="1631"/>
    </row>
    <row r="621" spans="2:2" s="1623" customFormat="1" x14ac:dyDescent="0.2">
      <c r="B621" s="1631"/>
    </row>
    <row r="622" spans="2:2" s="1623" customFormat="1" x14ac:dyDescent="0.2">
      <c r="B622" s="1631"/>
    </row>
    <row r="623" spans="2:2" s="1623" customFormat="1" x14ac:dyDescent="0.2">
      <c r="B623" s="1631"/>
    </row>
    <row r="624" spans="2:2" s="1623" customFormat="1" x14ac:dyDescent="0.2">
      <c r="B624" s="1631"/>
    </row>
    <row r="625" spans="2:2" s="1623" customFormat="1" x14ac:dyDescent="0.2">
      <c r="B625" s="1631"/>
    </row>
    <row r="626" spans="2:2" s="1623" customFormat="1" x14ac:dyDescent="0.2">
      <c r="B626" s="1631"/>
    </row>
    <row r="627" spans="2:2" s="1623" customFormat="1" x14ac:dyDescent="0.2">
      <c r="B627" s="1631"/>
    </row>
    <row r="628" spans="2:2" s="1623" customFormat="1" x14ac:dyDescent="0.2">
      <c r="B628" s="1631"/>
    </row>
    <row r="629" spans="2:2" s="1623" customFormat="1" x14ac:dyDescent="0.2">
      <c r="B629" s="1631"/>
    </row>
    <row r="630" spans="2:2" s="1623" customFormat="1" x14ac:dyDescent="0.2">
      <c r="B630" s="1631"/>
    </row>
    <row r="631" spans="2:2" s="1623" customFormat="1" x14ac:dyDescent="0.2">
      <c r="B631" s="1631"/>
    </row>
    <row r="632" spans="2:2" s="1623" customFormat="1" x14ac:dyDescent="0.2">
      <c r="B632" s="1631"/>
    </row>
    <row r="633" spans="2:2" s="1623" customFormat="1" x14ac:dyDescent="0.2">
      <c r="B633" s="1631"/>
    </row>
    <row r="634" spans="2:2" s="1623" customFormat="1" x14ac:dyDescent="0.2">
      <c r="B634" s="1631"/>
    </row>
    <row r="635" spans="2:2" s="1623" customFormat="1" x14ac:dyDescent="0.2">
      <c r="B635" s="1631"/>
    </row>
    <row r="636" spans="2:2" s="1623" customFormat="1" x14ac:dyDescent="0.2">
      <c r="B636" s="1631"/>
    </row>
    <row r="637" spans="2:2" s="1623" customFormat="1" x14ac:dyDescent="0.2">
      <c r="B637" s="1631"/>
    </row>
    <row r="638" spans="2:2" s="1623" customFormat="1" x14ac:dyDescent="0.2">
      <c r="B638" s="1631"/>
    </row>
    <row r="639" spans="2:2" s="1623" customFormat="1" x14ac:dyDescent="0.2">
      <c r="B639" s="1631"/>
    </row>
    <row r="640" spans="2:2" s="1623" customFormat="1" x14ac:dyDescent="0.2">
      <c r="B640" s="1631"/>
    </row>
    <row r="641" spans="2:2" s="1623" customFormat="1" x14ac:dyDescent="0.2">
      <c r="B641" s="1631"/>
    </row>
    <row r="642" spans="2:2" s="1623" customFormat="1" x14ac:dyDescent="0.2">
      <c r="B642" s="1631"/>
    </row>
    <row r="643" spans="2:2" s="1623" customFormat="1" x14ac:dyDescent="0.2">
      <c r="B643" s="1631"/>
    </row>
    <row r="644" spans="2:2" s="1623" customFormat="1" x14ac:dyDescent="0.2">
      <c r="B644" s="1631"/>
    </row>
    <row r="645" spans="2:2" s="1623" customFormat="1" x14ac:dyDescent="0.2">
      <c r="B645" s="1631"/>
    </row>
    <row r="646" spans="2:2" s="1623" customFormat="1" x14ac:dyDescent="0.2">
      <c r="B646" s="1631"/>
    </row>
    <row r="647" spans="2:2" s="1623" customFormat="1" x14ac:dyDescent="0.2">
      <c r="B647" s="1631"/>
    </row>
    <row r="648" spans="2:2" s="1623" customFormat="1" x14ac:dyDescent="0.2">
      <c r="B648" s="1631"/>
    </row>
    <row r="649" spans="2:2" s="1623" customFormat="1" x14ac:dyDescent="0.2">
      <c r="B649" s="1631"/>
    </row>
    <row r="650" spans="2:2" s="1623" customFormat="1" x14ac:dyDescent="0.2">
      <c r="B650" s="1631"/>
    </row>
    <row r="651" spans="2:2" s="1623" customFormat="1" x14ac:dyDescent="0.2">
      <c r="B651" s="1631"/>
    </row>
    <row r="652" spans="2:2" s="1623" customFormat="1" x14ac:dyDescent="0.2">
      <c r="B652" s="1631"/>
    </row>
    <row r="653" spans="2:2" s="1623" customFormat="1" x14ac:dyDescent="0.2">
      <c r="B653" s="1631"/>
    </row>
    <row r="654" spans="2:2" s="1623" customFormat="1" x14ac:dyDescent="0.2">
      <c r="B654" s="1631"/>
    </row>
    <row r="655" spans="2:2" s="1623" customFormat="1" x14ac:dyDescent="0.2">
      <c r="B655" s="1631"/>
    </row>
    <row r="656" spans="2:2" s="1623" customFormat="1" x14ac:dyDescent="0.2">
      <c r="B656" s="1631"/>
    </row>
    <row r="657" spans="2:2" s="1623" customFormat="1" x14ac:dyDescent="0.2">
      <c r="B657" s="1631"/>
    </row>
    <row r="658" spans="2:2" s="1623" customFormat="1" x14ac:dyDescent="0.2">
      <c r="B658" s="1631"/>
    </row>
    <row r="659" spans="2:2" s="1623" customFormat="1" x14ac:dyDescent="0.2">
      <c r="B659" s="1631"/>
    </row>
    <row r="660" spans="2:2" s="1623" customFormat="1" x14ac:dyDescent="0.2">
      <c r="B660" s="1631"/>
    </row>
    <row r="661" spans="2:2" s="1623" customFormat="1" x14ac:dyDescent="0.2">
      <c r="B661" s="1631"/>
    </row>
    <row r="662" spans="2:2" s="1623" customFormat="1" x14ac:dyDescent="0.2">
      <c r="B662" s="1631"/>
    </row>
    <row r="663" spans="2:2" s="1623" customFormat="1" x14ac:dyDescent="0.2">
      <c r="B663" s="1631"/>
    </row>
    <row r="664" spans="2:2" s="1623" customFormat="1" x14ac:dyDescent="0.2">
      <c r="B664" s="1631"/>
    </row>
    <row r="665" spans="2:2" s="1623" customFormat="1" x14ac:dyDescent="0.2">
      <c r="B665" s="1631"/>
    </row>
    <row r="666" spans="2:2" s="1623" customFormat="1" x14ac:dyDescent="0.2">
      <c r="B666" s="1631"/>
    </row>
    <row r="667" spans="2:2" s="1623" customFormat="1" x14ac:dyDescent="0.2">
      <c r="B667" s="1631"/>
    </row>
    <row r="668" spans="2:2" s="1623" customFormat="1" x14ac:dyDescent="0.2">
      <c r="B668" s="1631"/>
    </row>
    <row r="669" spans="2:2" s="1623" customFormat="1" x14ac:dyDescent="0.2">
      <c r="B669" s="1631"/>
    </row>
    <row r="670" spans="2:2" s="1623" customFormat="1" x14ac:dyDescent="0.2">
      <c r="B670" s="1631"/>
    </row>
    <row r="671" spans="2:2" s="1623" customFormat="1" x14ac:dyDescent="0.2">
      <c r="B671" s="1631"/>
    </row>
    <row r="672" spans="2:2" s="1623" customFormat="1" x14ac:dyDescent="0.2">
      <c r="B672" s="1631"/>
    </row>
    <row r="673" spans="2:2" s="1623" customFormat="1" x14ac:dyDescent="0.2">
      <c r="B673" s="1631"/>
    </row>
    <row r="674" spans="2:2" s="1623" customFormat="1" x14ac:dyDescent="0.2">
      <c r="B674" s="1631"/>
    </row>
    <row r="675" spans="2:2" s="1623" customFormat="1" x14ac:dyDescent="0.2">
      <c r="B675" s="1631"/>
    </row>
    <row r="676" spans="2:2" s="1623" customFormat="1" x14ac:dyDescent="0.2">
      <c r="B676" s="1631"/>
    </row>
    <row r="677" spans="2:2" s="1623" customFormat="1" x14ac:dyDescent="0.2">
      <c r="B677" s="1631"/>
    </row>
    <row r="678" spans="2:2" s="1623" customFormat="1" x14ac:dyDescent="0.2">
      <c r="B678" s="1631"/>
    </row>
    <row r="679" spans="2:2" s="1623" customFormat="1" x14ac:dyDescent="0.2">
      <c r="B679" s="1631"/>
    </row>
    <row r="680" spans="2:2" s="1623" customFormat="1" x14ac:dyDescent="0.2">
      <c r="B680" s="1631"/>
    </row>
    <row r="681" spans="2:2" s="1623" customFormat="1" x14ac:dyDescent="0.2">
      <c r="B681" s="1631"/>
    </row>
    <row r="682" spans="2:2" s="1623" customFormat="1" x14ac:dyDescent="0.2">
      <c r="B682" s="1631"/>
    </row>
    <row r="683" spans="2:2" s="1623" customFormat="1" x14ac:dyDescent="0.2">
      <c r="B683" s="1631"/>
    </row>
    <row r="684" spans="2:2" s="1623" customFormat="1" x14ac:dyDescent="0.2">
      <c r="B684" s="1631"/>
    </row>
    <row r="685" spans="2:2" s="1623" customFormat="1" x14ac:dyDescent="0.2">
      <c r="B685" s="1631"/>
    </row>
    <row r="686" spans="2:2" s="1623" customFormat="1" x14ac:dyDescent="0.2">
      <c r="B686" s="1631"/>
    </row>
    <row r="687" spans="2:2" s="1623" customFormat="1" x14ac:dyDescent="0.2">
      <c r="B687" s="1631"/>
    </row>
    <row r="688" spans="2:2" s="1623" customFormat="1" x14ac:dyDescent="0.2">
      <c r="B688" s="1631"/>
    </row>
    <row r="689" spans="2:2" s="1623" customFormat="1" x14ac:dyDescent="0.2">
      <c r="B689" s="1631"/>
    </row>
    <row r="690" spans="2:2" s="1623" customFormat="1" x14ac:dyDescent="0.2">
      <c r="B690" s="1631"/>
    </row>
    <row r="691" spans="2:2" s="1623" customFormat="1" x14ac:dyDescent="0.2">
      <c r="B691" s="1631"/>
    </row>
    <row r="692" spans="2:2" s="1623" customFormat="1" x14ac:dyDescent="0.2">
      <c r="B692" s="1631"/>
    </row>
    <row r="693" spans="2:2" s="1623" customFormat="1" x14ac:dyDescent="0.2">
      <c r="B693" s="1631"/>
    </row>
    <row r="694" spans="2:2" s="1623" customFormat="1" x14ac:dyDescent="0.2">
      <c r="B694" s="1631"/>
    </row>
    <row r="695" spans="2:2" s="1623" customFormat="1" x14ac:dyDescent="0.2">
      <c r="B695" s="1631"/>
    </row>
    <row r="696" spans="2:2" s="1623" customFormat="1" x14ac:dyDescent="0.2">
      <c r="B696" s="1631"/>
    </row>
    <row r="697" spans="2:2" s="1623" customFormat="1" x14ac:dyDescent="0.2">
      <c r="B697" s="1631"/>
    </row>
    <row r="698" spans="2:2" s="1623" customFormat="1" x14ac:dyDescent="0.2">
      <c r="B698" s="1631"/>
    </row>
    <row r="699" spans="2:2" s="1623" customFormat="1" x14ac:dyDescent="0.2">
      <c r="B699" s="1631"/>
    </row>
    <row r="700" spans="2:2" s="1623" customFormat="1" x14ac:dyDescent="0.2">
      <c r="B700" s="1631"/>
    </row>
    <row r="701" spans="2:2" s="1623" customFormat="1" x14ac:dyDescent="0.2">
      <c r="B701" s="1631"/>
    </row>
    <row r="702" spans="2:2" s="1623" customFormat="1" x14ac:dyDescent="0.2">
      <c r="B702" s="1631"/>
    </row>
    <row r="703" spans="2:2" s="1623" customFormat="1" x14ac:dyDescent="0.2">
      <c r="B703" s="1631"/>
    </row>
    <row r="704" spans="2:2" s="1623" customFormat="1" x14ac:dyDescent="0.2">
      <c r="B704" s="1631"/>
    </row>
    <row r="705" spans="2:2" s="1623" customFormat="1" x14ac:dyDescent="0.2">
      <c r="B705" s="1631"/>
    </row>
    <row r="706" spans="2:2" s="1623" customFormat="1" x14ac:dyDescent="0.2">
      <c r="B706" s="1631"/>
    </row>
  </sheetData>
  <sheetProtection sheet="1" objects="1" scenarios="1"/>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716"/>
  <sheetViews>
    <sheetView topLeftCell="C34" zoomScale="69" zoomScaleNormal="69" zoomScalePageLayoutView="69" workbookViewId="0">
      <selection activeCell="D36" sqref="D36"/>
    </sheetView>
  </sheetViews>
  <sheetFormatPr baseColWidth="10" defaultColWidth="11.5" defaultRowHeight="15" x14ac:dyDescent="0.2"/>
  <cols>
    <col min="1" max="1" width="6" style="1614" customWidth="1"/>
    <col min="2" max="2" width="62.83203125" style="1689" customWidth="1"/>
    <col min="3" max="3" width="6.1640625" style="1614" customWidth="1"/>
    <col min="4" max="5" width="96.6640625" style="1614" customWidth="1"/>
    <col min="6" max="9" width="11.5" style="1614"/>
    <col min="10" max="10" width="11.5" style="1614" customWidth="1"/>
    <col min="11" max="23" width="12" style="1614" customWidth="1"/>
    <col min="24" max="16384" width="11.5" style="1614"/>
  </cols>
  <sheetData>
    <row r="1" spans="2:23" x14ac:dyDescent="0.2">
      <c r="B1" s="1689" t="s">
        <v>755</v>
      </c>
      <c r="D1" s="1778" t="s">
        <v>754</v>
      </c>
      <c r="E1" s="1777" t="s">
        <v>753</v>
      </c>
      <c r="G1" s="1779"/>
      <c r="H1" s="1779"/>
      <c r="I1" s="1779"/>
      <c r="J1" s="1779"/>
      <c r="K1" s="1779"/>
      <c r="L1" s="1779"/>
      <c r="M1" s="1779"/>
      <c r="N1" s="1779"/>
      <c r="O1" s="1779"/>
      <c r="P1" s="1779"/>
      <c r="Q1" s="1779"/>
      <c r="R1" s="1779"/>
      <c r="S1" s="1779"/>
      <c r="T1" s="1779"/>
      <c r="U1" s="1779"/>
      <c r="V1" s="1779"/>
      <c r="W1" s="1779"/>
    </row>
    <row r="2" spans="2:23" s="1623" customFormat="1" x14ac:dyDescent="0.2">
      <c r="B2" s="1631" t="str">
        <f>IF(Presentation!$D$2="Anglais",'TRAD-General Data'!E2,IF(Presentation!$D$2="Français",'TRAD-General Data'!D2,""))</f>
        <v>Etape 1 : Renseignement de données générales</v>
      </c>
      <c r="D2" s="1617" t="s">
        <v>825</v>
      </c>
      <c r="E2" s="1617" t="s">
        <v>1326</v>
      </c>
      <c r="F2" s="1617"/>
      <c r="G2" s="1617"/>
      <c r="H2" s="1617"/>
      <c r="I2" s="1617"/>
      <c r="J2" s="1617"/>
      <c r="K2" s="1617"/>
      <c r="L2" s="1617"/>
      <c r="M2" s="1617"/>
      <c r="N2" s="1617"/>
      <c r="O2" s="1617"/>
      <c r="P2" s="1617"/>
      <c r="Q2" s="1617"/>
      <c r="R2" s="1617"/>
      <c r="S2" s="1617"/>
      <c r="T2" s="1617"/>
      <c r="U2" s="1617"/>
      <c r="V2" s="1617"/>
      <c r="W2" s="1617"/>
    </row>
    <row r="3" spans="2:23" s="1623" customFormat="1" x14ac:dyDescent="0.2">
      <c r="B3" s="1631" t="str">
        <f>IF(Presentation!$D$2="Anglais",'TRAD-General Data'!E3,IF(Presentation!$D$2="Français",'TRAD-General Data'!D3,""))</f>
        <v>Nom du pays concerné</v>
      </c>
      <c r="D3" s="1617" t="s">
        <v>803</v>
      </c>
      <c r="E3" s="1617" t="s">
        <v>558</v>
      </c>
      <c r="F3" s="1617"/>
      <c r="G3" s="1617"/>
      <c r="H3" s="1617"/>
      <c r="I3" s="1617"/>
      <c r="J3" s="1617"/>
      <c r="K3" s="1617"/>
      <c r="L3" s="1617"/>
      <c r="M3" s="1617"/>
      <c r="N3" s="1617"/>
      <c r="O3" s="1617"/>
      <c r="P3" s="1617"/>
      <c r="Q3" s="1617"/>
      <c r="R3" s="1617"/>
      <c r="S3" s="1617"/>
      <c r="T3" s="1617"/>
      <c r="U3" s="1617"/>
      <c r="V3" s="1617"/>
      <c r="W3" s="1617"/>
    </row>
    <row r="4" spans="2:23" s="1623" customFormat="1" ht="150" x14ac:dyDescent="0.2">
      <c r="B4" s="1631" t="str">
        <f>IF(Presentation!$D$2="Anglais",'TRAD-General Data'!E4,IF(Presentation!$D$2="Français",'TRAD-General Data'!D4,""))</f>
        <v>Donateur</v>
      </c>
      <c r="D4" s="1617" t="s">
        <v>823</v>
      </c>
      <c r="E4" s="1617" t="s">
        <v>490</v>
      </c>
      <c r="F4" s="1617"/>
      <c r="G4" s="1617"/>
      <c r="H4" s="1617"/>
      <c r="I4" s="1617"/>
      <c r="J4" s="1617"/>
      <c r="K4" s="1617" t="s">
        <v>804</v>
      </c>
      <c r="L4" s="1617"/>
      <c r="M4" s="1617"/>
      <c r="N4" s="1617"/>
      <c r="O4" s="1617"/>
      <c r="P4" s="1617"/>
      <c r="Q4" s="1617"/>
      <c r="R4" s="1617"/>
      <c r="S4" s="1617"/>
      <c r="T4" s="1617"/>
      <c r="U4" s="1617"/>
      <c r="V4" s="1617"/>
      <c r="W4" s="1617"/>
    </row>
    <row r="5" spans="2:23" s="1623" customFormat="1" x14ac:dyDescent="0.2">
      <c r="B5" s="1631" t="str">
        <f>IF(Presentation!$D$2="Anglais",'TRAD-General Data'!E5,IF(Presentation!$D$2="Français",'TRAD-General Data'!D5,""))</f>
        <v>Date de l'estimation</v>
      </c>
      <c r="D5" s="1617" t="s">
        <v>367</v>
      </c>
      <c r="E5" s="1617" t="s">
        <v>414</v>
      </c>
      <c r="F5" s="1617"/>
      <c r="G5" s="1617"/>
      <c r="H5" s="1617"/>
      <c r="I5" s="1617"/>
      <c r="J5" s="1617"/>
      <c r="K5" s="1617"/>
      <c r="L5" s="1617"/>
      <c r="M5" s="1617"/>
      <c r="N5" s="1617"/>
      <c r="O5" s="1617"/>
      <c r="P5" s="1617"/>
      <c r="Q5" s="1617"/>
      <c r="R5" s="1617"/>
      <c r="S5" s="1617"/>
      <c r="T5" s="1617"/>
      <c r="U5" s="1617"/>
      <c r="V5" s="1617"/>
      <c r="W5" s="1617"/>
    </row>
    <row r="6" spans="2:23" s="1623" customFormat="1" x14ac:dyDescent="0.2">
      <c r="B6" s="1631" t="str">
        <f>IF(Presentation!$D$2="Anglais",'TRAD-General Data'!E6,IF(Presentation!$D$2="Français",'TRAD-General Data'!D6,""))</f>
        <v>Année(s)</v>
      </c>
      <c r="D6" s="1780" t="s">
        <v>815</v>
      </c>
      <c r="E6" s="1617" t="s">
        <v>415</v>
      </c>
      <c r="F6" s="1617"/>
      <c r="G6" s="1617"/>
      <c r="H6" s="1617"/>
      <c r="I6" s="1617"/>
      <c r="J6" s="1617"/>
      <c r="K6" s="1617"/>
      <c r="L6" s="1617"/>
      <c r="M6" s="1617"/>
      <c r="N6" s="1617"/>
      <c r="O6" s="1617"/>
      <c r="P6" s="1617"/>
      <c r="Q6" s="1617"/>
      <c r="R6" s="1617"/>
      <c r="S6" s="1617"/>
      <c r="T6" s="1617"/>
      <c r="U6" s="1617"/>
      <c r="V6" s="1617"/>
      <c r="W6" s="1617"/>
    </row>
    <row r="7" spans="2:23" s="1623" customFormat="1" ht="30" x14ac:dyDescent="0.2">
      <c r="B7" s="1631" t="str">
        <f>IF(Presentation!$D$2="Anglais",'TRAD-General Data'!E7,IF(Presentation!$D$2="Français",'TRAD-General Data'!D7,""))</f>
        <v>Pour combien d'années souhaitez vous faire les estimations ?</v>
      </c>
      <c r="D7" s="1617" t="s">
        <v>805</v>
      </c>
      <c r="E7" s="1617" t="s">
        <v>1451</v>
      </c>
      <c r="F7" s="1617"/>
      <c r="G7" s="1617"/>
      <c r="H7" s="1617"/>
      <c r="I7" s="1781"/>
      <c r="J7" s="1617"/>
      <c r="K7" s="1617"/>
      <c r="L7" s="1617"/>
      <c r="M7" s="1617"/>
      <c r="N7" s="1617"/>
      <c r="O7" s="1617"/>
      <c r="P7" s="1617"/>
      <c r="Q7" s="1617"/>
      <c r="R7" s="1617"/>
      <c r="S7" s="1617"/>
      <c r="T7" s="1617"/>
      <c r="U7" s="1617"/>
      <c r="V7" s="1617"/>
      <c r="W7" s="1617"/>
    </row>
    <row r="8" spans="2:23" s="1623" customFormat="1" x14ac:dyDescent="0.2">
      <c r="B8" s="1631" t="str">
        <f>IF(Presentation!$D$2="Anglais",'TRAD-General Data'!E8,IF(Presentation!$D$2="Français",'TRAD-General Data'!D8,""))</f>
        <v>Précisez les périodes correspondantes</v>
      </c>
      <c r="D8" s="1617" t="s">
        <v>806</v>
      </c>
      <c r="E8" s="1617" t="s">
        <v>1452</v>
      </c>
      <c r="F8" s="1617"/>
      <c r="G8" s="1617"/>
      <c r="H8" s="1617"/>
      <c r="I8" s="1617"/>
      <c r="J8" s="1617"/>
      <c r="K8" s="1617"/>
      <c r="L8" s="1617"/>
      <c r="M8" s="1617"/>
      <c r="N8" s="1617"/>
      <c r="O8" s="1617"/>
      <c r="P8" s="1617"/>
      <c r="Q8" s="1617"/>
      <c r="R8" s="1617"/>
      <c r="S8" s="1617"/>
      <c r="T8" s="1617"/>
      <c r="U8" s="1617"/>
      <c r="V8" s="1617"/>
      <c r="W8" s="1617"/>
    </row>
    <row r="9" spans="2:23" s="1623" customFormat="1" x14ac:dyDescent="0.2">
      <c r="B9" s="1631" t="str">
        <f>IF(Presentation!$D$2="Anglais",'TRAD-General Data'!E9,IF(Presentation!$D$2="Français",'TRAD-General Data'!D9,""))</f>
        <v>(exemple : juillet 2010 - juin 2011)</v>
      </c>
      <c r="D9" s="1617" t="s">
        <v>808</v>
      </c>
      <c r="E9" s="1617" t="s">
        <v>491</v>
      </c>
      <c r="F9" s="1617"/>
      <c r="G9" s="1617"/>
      <c r="H9" s="1617"/>
      <c r="I9" s="1780"/>
      <c r="J9" s="1617"/>
      <c r="K9" s="1617"/>
      <c r="L9" s="1617"/>
      <c r="M9" s="1617"/>
      <c r="N9" s="1617"/>
      <c r="O9" s="1617"/>
      <c r="P9" s="1617"/>
      <c r="Q9" s="1617"/>
      <c r="R9" s="1617"/>
      <c r="S9" s="1617"/>
      <c r="T9" s="1617"/>
      <c r="U9" s="1617"/>
      <c r="V9" s="1617"/>
      <c r="W9" s="1617"/>
    </row>
    <row r="10" spans="2:23" s="1623" customFormat="1" x14ac:dyDescent="0.2">
      <c r="B10" s="1631" t="str">
        <f>IF(Presentation!$D$2="Anglais",'TRAD-General Data'!E10,IF(Presentation!$D$2="Français",'TRAD-General Data'!D10,""))</f>
        <v>Année 1</v>
      </c>
      <c r="D10" s="1617" t="s">
        <v>807</v>
      </c>
      <c r="E10" s="1617" t="s">
        <v>416</v>
      </c>
      <c r="F10" s="1617"/>
      <c r="G10" s="1617"/>
      <c r="H10" s="1617"/>
      <c r="I10" s="1617"/>
      <c r="J10" s="1617"/>
      <c r="K10" s="1617"/>
      <c r="L10" s="1617"/>
      <c r="M10" s="1617"/>
      <c r="N10" s="1617"/>
      <c r="O10" s="1617"/>
      <c r="P10" s="1617"/>
      <c r="Q10" s="1617"/>
      <c r="R10" s="1617"/>
      <c r="S10" s="1617"/>
      <c r="T10" s="1617"/>
      <c r="U10" s="1617"/>
      <c r="V10" s="1617"/>
      <c r="W10" s="1617"/>
    </row>
    <row r="11" spans="2:23" s="1623" customFormat="1" x14ac:dyDescent="0.2">
      <c r="B11" s="1631" t="str">
        <f>IF(Presentation!$D$2="Anglais",'TRAD-General Data'!E11,IF(Presentation!$D$2="Français",'TRAD-General Data'!D11,""))</f>
        <v>Année 2</v>
      </c>
      <c r="D11" s="1617" t="s">
        <v>809</v>
      </c>
      <c r="E11" s="1617" t="s">
        <v>417</v>
      </c>
      <c r="F11" s="1617"/>
      <c r="G11" s="1617"/>
      <c r="H11" s="1617"/>
      <c r="I11" s="1780"/>
      <c r="J11" s="1617"/>
      <c r="K11" s="1617"/>
      <c r="L11" s="1617"/>
      <c r="M11" s="1617"/>
      <c r="N11" s="1617"/>
      <c r="O11" s="1617"/>
      <c r="P11" s="1617"/>
      <c r="Q11" s="1617"/>
      <c r="R11" s="1617"/>
      <c r="S11" s="1617"/>
      <c r="T11" s="1617"/>
      <c r="U11" s="1617"/>
      <c r="V11" s="1617"/>
      <c r="W11" s="1617"/>
    </row>
    <row r="12" spans="2:23" s="1623" customFormat="1" x14ac:dyDescent="0.2">
      <c r="B12" s="1631" t="str">
        <f>IF(Presentation!$D$2="Anglais",'TRAD-General Data'!E12,IF(Presentation!$D$2="Français",'TRAD-General Data'!D12,""))</f>
        <v>Année 3</v>
      </c>
      <c r="D12" s="1617" t="s">
        <v>810</v>
      </c>
      <c r="E12" s="1617" t="s">
        <v>418</v>
      </c>
      <c r="F12" s="1617"/>
      <c r="G12" s="1617"/>
      <c r="H12" s="1617"/>
      <c r="I12" s="1780"/>
      <c r="J12" s="1617"/>
      <c r="K12" s="1617"/>
      <c r="L12" s="1617"/>
      <c r="M12" s="1617"/>
      <c r="N12" s="1617"/>
      <c r="O12" s="1617"/>
      <c r="P12" s="1617"/>
      <c r="Q12" s="1617"/>
      <c r="R12" s="1617"/>
      <c r="S12" s="1617"/>
      <c r="T12" s="1617"/>
      <c r="U12" s="1617"/>
      <c r="V12" s="1617"/>
      <c r="W12" s="1617"/>
    </row>
    <row r="13" spans="2:23" s="1623" customFormat="1" x14ac:dyDescent="0.2">
      <c r="B13" s="1631" t="str">
        <f>IF(Presentation!$D$2="Anglais",'TRAD-General Data'!E13,IF(Presentation!$D$2="Français",'TRAD-General Data'!D13,""))</f>
        <v>Année 4</v>
      </c>
      <c r="D13" s="1617" t="s">
        <v>811</v>
      </c>
      <c r="E13" s="1617" t="s">
        <v>419</v>
      </c>
      <c r="F13" s="1617"/>
      <c r="G13" s="1617"/>
      <c r="H13" s="1617"/>
      <c r="I13" s="1780"/>
      <c r="J13" s="1617"/>
      <c r="K13" s="1617"/>
      <c r="L13" s="1617"/>
      <c r="M13" s="1617"/>
      <c r="N13" s="1617"/>
      <c r="O13" s="1617"/>
      <c r="P13" s="1617"/>
      <c r="Q13" s="1617"/>
      <c r="R13" s="1617"/>
      <c r="S13" s="1617"/>
      <c r="T13" s="1617"/>
      <c r="U13" s="1617"/>
      <c r="V13" s="1617"/>
      <c r="W13" s="1617"/>
    </row>
    <row r="14" spans="2:23" s="1623" customFormat="1" x14ac:dyDescent="0.2">
      <c r="B14" s="1631" t="str">
        <f>IF(Presentation!$D$2="Anglais",'TRAD-General Data'!E14,IF(Presentation!$D$2="Français",'TRAD-General Data'!D14,""))</f>
        <v>Année 5</v>
      </c>
      <c r="D14" s="1617" t="s">
        <v>812</v>
      </c>
      <c r="E14" s="1617" t="s">
        <v>420</v>
      </c>
      <c r="F14" s="1617"/>
      <c r="G14" s="1617"/>
      <c r="H14" s="1617"/>
      <c r="I14" s="1780"/>
      <c r="J14" s="1617"/>
      <c r="K14" s="1617"/>
      <c r="L14" s="1617"/>
      <c r="M14" s="1617"/>
      <c r="N14" s="1617"/>
      <c r="O14" s="1617"/>
      <c r="P14" s="1617"/>
      <c r="Q14" s="1617"/>
      <c r="R14" s="1617"/>
      <c r="S14" s="1617"/>
      <c r="T14" s="1617"/>
      <c r="U14" s="1617"/>
      <c r="V14" s="1617"/>
      <c r="W14" s="1617"/>
    </row>
    <row r="15" spans="2:23" s="1623" customFormat="1" x14ac:dyDescent="0.2">
      <c r="B15" s="1631" t="str">
        <f>IF(Presentation!$D$2="Anglais",'TRAD-General Data'!E15,IF(Presentation!$D$2="Français",'TRAD-General Data'!D15,""))</f>
        <v xml:space="preserve">Option: Cas où la période de quantification  &lt;12 mois </v>
      </c>
      <c r="D15" s="1617" t="s">
        <v>817</v>
      </c>
      <c r="E15" s="1617" t="s">
        <v>560</v>
      </c>
      <c r="F15" s="1617"/>
      <c r="G15" s="1617"/>
      <c r="H15" s="1617"/>
      <c r="I15" s="1780"/>
      <c r="J15" s="1617"/>
      <c r="K15" s="1617"/>
      <c r="L15" s="1617"/>
      <c r="M15" s="1617"/>
      <c r="N15" s="1617"/>
      <c r="O15" s="1617"/>
      <c r="P15" s="1617"/>
      <c r="Q15" s="1617"/>
      <c r="R15" s="1617"/>
      <c r="S15" s="1617"/>
      <c r="T15" s="1617"/>
      <c r="U15" s="1617"/>
      <c r="V15" s="1617"/>
      <c r="W15" s="1617"/>
    </row>
    <row r="16" spans="2:23" s="1623" customFormat="1" x14ac:dyDescent="0.2">
      <c r="B16" s="1631" t="str">
        <f>IF(Presentation!$D$2="Anglais",'TRAD-General Data'!E16,IF(Presentation!$D$2="Français",'TRAD-General Data'!D16,""))</f>
        <v>L'illustrer par des diagrammes</v>
      </c>
      <c r="D16" s="1617" t="s">
        <v>818</v>
      </c>
      <c r="E16" s="1617" t="s">
        <v>422</v>
      </c>
      <c r="F16" s="1617"/>
      <c r="G16" s="1617"/>
      <c r="H16" s="1617"/>
      <c r="I16" s="1617"/>
      <c r="J16" s="1617"/>
      <c r="K16" s="1617"/>
      <c r="L16" s="1617"/>
      <c r="M16" s="1617"/>
      <c r="N16" s="1617"/>
      <c r="O16" s="1617"/>
      <c r="P16" s="1617"/>
      <c r="Q16" s="1617"/>
      <c r="R16" s="1617"/>
      <c r="S16" s="1617"/>
      <c r="T16" s="1617"/>
      <c r="U16" s="1617"/>
      <c r="V16" s="1617"/>
      <c r="W16" s="1617"/>
    </row>
    <row r="17" spans="2:23" s="1623" customFormat="1" x14ac:dyDescent="0.2">
      <c r="B17" s="1631" t="str">
        <f>IF(Presentation!$D$2="Anglais",'TRAD-General Data'!E17,IF(Presentation!$D$2="Français",'TRAD-General Data'!D17,""))</f>
        <v>Si oui, cliquez la case verte par un X</v>
      </c>
      <c r="D17" s="1617" t="s">
        <v>816</v>
      </c>
      <c r="E17" s="1617" t="s">
        <v>561</v>
      </c>
      <c r="F17" s="1617"/>
      <c r="G17" s="1617"/>
      <c r="H17" s="1617"/>
      <c r="I17" s="1617"/>
      <c r="J17" s="1617"/>
      <c r="K17" s="1617"/>
      <c r="L17" s="1617"/>
      <c r="M17" s="1617"/>
      <c r="N17" s="1617"/>
      <c r="O17" s="1617"/>
      <c r="P17" s="1617"/>
      <c r="Q17" s="1617"/>
      <c r="R17" s="1617"/>
      <c r="S17" s="1617"/>
      <c r="T17" s="1617"/>
      <c r="U17" s="1617"/>
      <c r="V17" s="1617"/>
      <c r="W17" s="1617"/>
    </row>
    <row r="18" spans="2:23" s="1623" customFormat="1" ht="30" x14ac:dyDescent="0.2">
      <c r="B18" s="1631" t="str">
        <f>IF(Presentation!$D$2="Anglais",'TRAD-General Data'!E18,IF(Presentation!$D$2="Français",'TRAD-General Data'!D18,""))</f>
        <v>Exprimer les périodes de quantification en mois (3 mois, 6 mois,…)</v>
      </c>
      <c r="D18" s="1617" t="s">
        <v>819</v>
      </c>
      <c r="E18" s="1617" t="s">
        <v>1453</v>
      </c>
      <c r="F18" s="1617"/>
      <c r="G18" s="1617"/>
      <c r="H18" s="1617"/>
      <c r="I18" s="1617"/>
      <c r="J18" s="1617"/>
      <c r="K18" s="1617"/>
      <c r="L18" s="1617"/>
      <c r="M18" s="1617"/>
      <c r="N18" s="1617"/>
      <c r="O18" s="1617"/>
      <c r="P18" s="1617"/>
      <c r="Q18" s="1617"/>
      <c r="R18" s="1617"/>
      <c r="S18" s="1617"/>
      <c r="T18" s="1617"/>
      <c r="U18" s="1617"/>
      <c r="V18" s="1617"/>
      <c r="W18" s="1617"/>
    </row>
    <row r="19" spans="2:23" s="1623" customFormat="1" x14ac:dyDescent="0.2">
      <c r="B19" s="1631" t="str">
        <f>IF(Presentation!$D$2="Anglais",'TRAD-General Data'!E19,IF(Presentation!$D$2="Français",'TRAD-General Data'!D19,""))</f>
        <v>Année 1</v>
      </c>
      <c r="D19" s="1617" t="s">
        <v>807</v>
      </c>
      <c r="E19" s="1617" t="s">
        <v>416</v>
      </c>
      <c r="F19" s="1617"/>
      <c r="G19" s="1617"/>
      <c r="H19" s="1617"/>
      <c r="I19" s="1780"/>
      <c r="J19" s="1617"/>
      <c r="K19" s="1617"/>
      <c r="L19" s="1617"/>
      <c r="M19" s="1617"/>
      <c r="N19" s="1617"/>
      <c r="O19" s="1617"/>
      <c r="P19" s="1617"/>
      <c r="Q19" s="1617"/>
      <c r="R19" s="1617"/>
      <c r="S19" s="1617"/>
      <c r="T19" s="1617"/>
      <c r="U19" s="1617"/>
      <c r="V19" s="1617"/>
      <c r="W19" s="1617"/>
    </row>
    <row r="20" spans="2:23" s="1623" customFormat="1" x14ac:dyDescent="0.2">
      <c r="B20" s="1631" t="str">
        <f>IF(Presentation!$D$2="Anglais",'TRAD-General Data'!E20,IF(Presentation!$D$2="Français",'TRAD-General Data'!D20,""))</f>
        <v>Année 2</v>
      </c>
      <c r="D20" s="1617" t="s">
        <v>809</v>
      </c>
      <c r="E20" s="1617" t="s">
        <v>417</v>
      </c>
      <c r="F20" s="1617"/>
      <c r="G20" s="1617"/>
      <c r="H20" s="1617"/>
      <c r="I20" s="1617"/>
      <c r="J20" s="1617"/>
      <c r="K20" s="1617"/>
      <c r="L20" s="1617"/>
      <c r="M20" s="1617"/>
      <c r="N20" s="1617"/>
      <c r="O20" s="1617"/>
      <c r="P20" s="1617"/>
      <c r="Q20" s="1617"/>
      <c r="R20" s="1617"/>
      <c r="S20" s="1617"/>
      <c r="T20" s="1617"/>
      <c r="U20" s="1617"/>
      <c r="V20" s="1617"/>
      <c r="W20" s="1617"/>
    </row>
    <row r="21" spans="2:23" s="1623" customFormat="1" x14ac:dyDescent="0.2">
      <c r="B21" s="1631" t="str">
        <f>IF(Presentation!$D$2="Anglais",'TRAD-General Data'!E21,IF(Presentation!$D$2="Français",'TRAD-General Data'!D21,""))</f>
        <v>Année 3</v>
      </c>
      <c r="D21" s="1617" t="s">
        <v>810</v>
      </c>
      <c r="E21" s="1617" t="s">
        <v>418</v>
      </c>
      <c r="F21" s="1617"/>
      <c r="G21" s="1617"/>
      <c r="H21" s="1617"/>
      <c r="I21" s="1780"/>
      <c r="J21" s="1617"/>
      <c r="K21" s="1617"/>
      <c r="L21" s="1617"/>
      <c r="M21" s="1617"/>
      <c r="N21" s="1617"/>
      <c r="O21" s="1617"/>
      <c r="P21" s="1617"/>
      <c r="Q21" s="1617"/>
      <c r="R21" s="1617"/>
      <c r="S21" s="1617"/>
      <c r="T21" s="1617"/>
      <c r="U21" s="1617"/>
      <c r="V21" s="1617"/>
      <c r="W21" s="1617"/>
    </row>
    <row r="22" spans="2:23" s="1623" customFormat="1" x14ac:dyDescent="0.2">
      <c r="B22" s="1631" t="str">
        <f>IF(Presentation!$D$2="Anglais",'TRAD-General Data'!E22,IF(Presentation!$D$2="Français",'TRAD-General Data'!D22,""))</f>
        <v>Année 4</v>
      </c>
      <c r="D22" s="1617" t="s">
        <v>811</v>
      </c>
      <c r="E22" s="1617" t="s">
        <v>419</v>
      </c>
      <c r="F22" s="1617"/>
      <c r="G22" s="1617"/>
      <c r="H22" s="1617"/>
      <c r="I22" s="1780"/>
      <c r="J22" s="1617"/>
      <c r="K22" s="1617"/>
      <c r="L22" s="1617"/>
      <c r="M22" s="1617"/>
      <c r="N22" s="1617"/>
      <c r="O22" s="1617"/>
      <c r="P22" s="1617"/>
      <c r="Q22" s="1617"/>
      <c r="R22" s="1617"/>
      <c r="S22" s="1617"/>
      <c r="T22" s="1617"/>
      <c r="U22" s="1617"/>
      <c r="V22" s="1617"/>
      <c r="W22" s="1617"/>
    </row>
    <row r="23" spans="2:23" s="1623" customFormat="1" x14ac:dyDescent="0.2">
      <c r="B23" s="1631" t="str">
        <f>IF(Presentation!$D$2="Anglais",'TRAD-General Data'!E23,IF(Presentation!$D$2="Français",'TRAD-General Data'!D23,""))</f>
        <v>Année 5</v>
      </c>
      <c r="D23" s="1617" t="s">
        <v>812</v>
      </c>
      <c r="E23" s="1617" t="s">
        <v>420</v>
      </c>
      <c r="F23" s="1617"/>
      <c r="G23" s="1617"/>
      <c r="H23" s="1617"/>
      <c r="I23" s="1780"/>
      <c r="J23" s="1617"/>
      <c r="K23" s="1617"/>
      <c r="L23" s="1617"/>
      <c r="M23" s="1617"/>
      <c r="N23" s="1617"/>
      <c r="O23" s="1617"/>
      <c r="P23" s="1617"/>
      <c r="Q23" s="1617"/>
      <c r="R23" s="1617"/>
      <c r="S23" s="1617"/>
      <c r="T23" s="1617"/>
      <c r="U23" s="1617"/>
      <c r="V23" s="1617"/>
      <c r="W23" s="1617"/>
    </row>
    <row r="24" spans="2:23" s="1623" customFormat="1" x14ac:dyDescent="0.2">
      <c r="B24" s="1631" t="str">
        <f>IF(Presentation!$D$2="Anglais",'TRAD-General Data'!E24,IF(Presentation!$D$2="Français",'TRAD-General Data'!D24,""))</f>
        <v>mois</v>
      </c>
      <c r="D24" s="1617" t="s">
        <v>220</v>
      </c>
      <c r="E24" s="1617" t="s">
        <v>421</v>
      </c>
      <c r="F24" s="1617"/>
      <c r="G24" s="1617"/>
      <c r="H24" s="1617"/>
      <c r="I24" s="1780"/>
      <c r="J24" s="1617"/>
      <c r="K24" s="1617"/>
      <c r="L24" s="1617"/>
      <c r="M24" s="1617"/>
      <c r="N24" s="1617"/>
      <c r="O24" s="1617"/>
      <c r="P24" s="1617"/>
      <c r="Q24" s="1617"/>
      <c r="R24" s="1617"/>
      <c r="S24" s="1617"/>
      <c r="T24" s="1617"/>
      <c r="U24" s="1617"/>
      <c r="V24" s="1617"/>
      <c r="W24" s="1617"/>
    </row>
    <row r="25" spans="2:23" s="1623" customFormat="1" x14ac:dyDescent="0.2">
      <c r="B25" s="1631" t="str">
        <f>IF(Presentation!$D$2="Anglais",'TRAD-General Data'!E25,IF(Presentation!$D$2="Français",'TRAD-General Data'!D25,""))</f>
        <v>caps</v>
      </c>
      <c r="D25" s="1617" t="s">
        <v>1481</v>
      </c>
      <c r="E25" s="1617" t="s">
        <v>1483</v>
      </c>
      <c r="F25" s="1617"/>
      <c r="G25" s="1617"/>
      <c r="H25" s="1617"/>
      <c r="I25" s="1780"/>
      <c r="J25" s="1617"/>
      <c r="K25" s="1617"/>
      <c r="L25" s="1617"/>
      <c r="M25" s="1617"/>
      <c r="N25" s="1617"/>
      <c r="O25" s="1617"/>
      <c r="P25" s="1617"/>
      <c r="Q25" s="1617"/>
      <c r="R25" s="1617"/>
      <c r="S25" s="1617"/>
      <c r="T25" s="1617"/>
      <c r="U25" s="1617"/>
      <c r="V25" s="1617"/>
      <c r="W25" s="1617"/>
    </row>
    <row r="26" spans="2:23" s="1623" customFormat="1" x14ac:dyDescent="0.2">
      <c r="B26" s="1631" t="str">
        <f>IF(Presentation!$D$2="Anglais",'TRAD-General Data'!E26,IF(Presentation!$D$2="Français",'TRAD-General Data'!D26,""))</f>
        <v>mois</v>
      </c>
      <c r="D26" s="1617" t="s">
        <v>220</v>
      </c>
      <c r="E26" s="1617" t="s">
        <v>421</v>
      </c>
      <c r="F26" s="1617"/>
      <c r="G26" s="1617"/>
      <c r="H26" s="1617"/>
      <c r="I26" s="1780"/>
      <c r="J26" s="1617"/>
      <c r="K26" s="1617"/>
      <c r="L26" s="1617"/>
      <c r="M26" s="1617"/>
      <c r="N26" s="1617"/>
      <c r="O26" s="1617"/>
      <c r="P26" s="1617"/>
      <c r="Q26" s="1617"/>
      <c r="R26" s="1617"/>
      <c r="S26" s="1617"/>
      <c r="T26" s="1617"/>
      <c r="U26" s="1617"/>
      <c r="V26" s="1617"/>
      <c r="W26" s="1617"/>
    </row>
    <row r="27" spans="2:23" s="1623" customFormat="1" x14ac:dyDescent="0.2">
      <c r="B27" s="1631" t="str">
        <f>IF(Presentation!$D$2="Anglais",'TRAD-General Data'!E27,IF(Presentation!$D$2="Français",'TRAD-General Data'!D27,""))</f>
        <v>mois</v>
      </c>
      <c r="D27" s="1617" t="s">
        <v>220</v>
      </c>
      <c r="E27" s="1617" t="s">
        <v>421</v>
      </c>
      <c r="F27" s="1617"/>
      <c r="G27" s="1617"/>
      <c r="H27" s="1617"/>
      <c r="I27" s="1617"/>
      <c r="J27" s="1617"/>
      <c r="K27" s="1617"/>
      <c r="L27" s="1617"/>
      <c r="M27" s="1617"/>
      <c r="N27" s="1617"/>
      <c r="O27" s="1617"/>
      <c r="P27" s="1617"/>
      <c r="Q27" s="1617"/>
      <c r="R27" s="1617"/>
      <c r="S27" s="1617"/>
      <c r="T27" s="1617"/>
      <c r="U27" s="1617"/>
      <c r="V27" s="1617"/>
      <c r="W27" s="1617"/>
    </row>
    <row r="28" spans="2:23" s="1623" customFormat="1" x14ac:dyDescent="0.2">
      <c r="B28" s="1631" t="str">
        <f>IF(Presentation!$D$2="Anglais",'TRAD-General Data'!E28,IF(Presentation!$D$2="Français",'TRAD-General Data'!D28,""))</f>
        <v>mois</v>
      </c>
      <c r="D28" s="1617" t="s">
        <v>220</v>
      </c>
      <c r="E28" s="1617" t="s">
        <v>421</v>
      </c>
      <c r="F28" s="1617"/>
      <c r="G28" s="1617"/>
      <c r="H28" s="1617"/>
      <c r="I28" s="1617"/>
      <c r="J28" s="1617"/>
      <c r="K28" s="1617"/>
      <c r="L28" s="1617"/>
      <c r="M28" s="1617"/>
      <c r="N28" s="1617"/>
      <c r="O28" s="1617"/>
      <c r="P28" s="1617"/>
      <c r="Q28" s="1617"/>
      <c r="R28" s="1617"/>
      <c r="S28" s="1617"/>
      <c r="T28" s="1617"/>
      <c r="U28" s="1617"/>
      <c r="V28" s="1617"/>
      <c r="W28" s="1617"/>
    </row>
    <row r="29" spans="2:23" s="1623" customFormat="1" x14ac:dyDescent="0.2">
      <c r="B29" s="1631" t="str">
        <f>IF(Presentation!$D$2="Anglais",'TRAD-General Data'!E29,IF(Presentation!$D$2="Français",'TRAD-General Data'!D29,""))</f>
        <v>mois</v>
      </c>
      <c r="D29" s="1617" t="s">
        <v>220</v>
      </c>
      <c r="E29" s="1617" t="s">
        <v>421</v>
      </c>
      <c r="F29" s="1617"/>
      <c r="G29" s="1617"/>
      <c r="H29" s="1617"/>
      <c r="I29" s="1780"/>
      <c r="J29" s="1617"/>
      <c r="K29" s="1617"/>
      <c r="L29" s="1617"/>
      <c r="M29" s="1617"/>
      <c r="N29" s="1617"/>
      <c r="O29" s="1617"/>
      <c r="P29" s="1617"/>
      <c r="Q29" s="1617"/>
      <c r="R29" s="1617"/>
      <c r="S29" s="1617"/>
      <c r="T29" s="1617"/>
      <c r="U29" s="1617"/>
      <c r="V29" s="1617"/>
      <c r="W29" s="1617"/>
    </row>
    <row r="30" spans="2:23" s="1623" customFormat="1" x14ac:dyDescent="0.2">
      <c r="B30" s="1631" t="str">
        <f>IF(Presentation!$D$2="Anglais",'TRAD-General Data'!E30,IF(Presentation!$D$2="Français",'TRAD-General Data'!D30,""))</f>
        <v>Quelle période de sécurité souhaitez vous ajouter ?</v>
      </c>
      <c r="D30" s="1617" t="s">
        <v>813</v>
      </c>
      <c r="E30" s="1617" t="s">
        <v>559</v>
      </c>
      <c r="F30" s="1617"/>
      <c r="G30" s="1617"/>
      <c r="H30" s="1617"/>
      <c r="I30" s="1617"/>
      <c r="J30" s="1617"/>
      <c r="K30" s="1617"/>
      <c r="L30" s="1617"/>
      <c r="M30" s="1617"/>
      <c r="N30" s="1617"/>
      <c r="O30" s="1617"/>
      <c r="P30" s="1617"/>
      <c r="Q30" s="1617"/>
      <c r="R30" s="1617"/>
      <c r="S30" s="1617"/>
      <c r="T30" s="1617"/>
      <c r="U30" s="1617"/>
      <c r="V30" s="1617"/>
      <c r="W30" s="1617"/>
    </row>
    <row r="31" spans="2:23" s="1623" customFormat="1" ht="45" x14ac:dyDescent="0.2">
      <c r="B31" s="1631" t="str">
        <f>IF(Presentation!$D$2="Anglais",'TRAD-General Data'!E31,IF(Presentation!$D$2="Français",'TRAD-General Data'!D31,""))</f>
        <v>Chaque année la quantité est réajustée pour couvrir les besoins sur cette période en fonction de l'augmentation des besoins par rapport à l'année précédente.</v>
      </c>
      <c r="D31" s="1623" t="s">
        <v>814</v>
      </c>
      <c r="E31" s="1617" t="s">
        <v>492</v>
      </c>
    </row>
    <row r="32" spans="2:23" s="1623" customFormat="1" ht="75" x14ac:dyDescent="0.2">
      <c r="B32" s="1631" t="str">
        <f>IF(Presentation!$D$2="Anglais",'TRAD-General Data'!E32,IF(Presentation!$D$2="Français",'TRAD-General Data'!D32,""))</f>
        <v>Les prix utilisés pour les estimations prennent en compte les INCOTERMS EXW. Vous pouvez définir un taux d'augmentation pour les taxes, coût ou condition de transport, assurance, une marge de variation des coûts (habituellement dans l'ordre de 3 à 20%)</v>
      </c>
      <c r="D32" s="1617" t="s">
        <v>820</v>
      </c>
      <c r="E32" s="1617" t="s">
        <v>672</v>
      </c>
      <c r="F32" s="1617"/>
      <c r="G32" s="1782"/>
      <c r="H32" s="1617"/>
      <c r="I32" s="1617"/>
      <c r="J32" s="1617"/>
      <c r="K32" s="1617"/>
      <c r="L32" s="1617"/>
      <c r="M32" s="1617"/>
      <c r="N32" s="1617"/>
      <c r="O32" s="1617"/>
      <c r="P32" s="1617"/>
      <c r="Q32" s="1617"/>
      <c r="R32" s="1617"/>
      <c r="S32" s="1617"/>
      <c r="T32" s="1617"/>
      <c r="U32" s="1617"/>
      <c r="V32" s="1617"/>
      <c r="W32" s="1617"/>
    </row>
    <row r="33" spans="2:23" s="1623" customFormat="1" ht="30" x14ac:dyDescent="0.2">
      <c r="B33" s="1631" t="str">
        <f>IF(Presentation!$D$2="Anglais",'TRAD-General Data'!E33,IF(Presentation!$D$2="Français",'TRAD-General Data'!D33,""))</f>
        <v>Vous pouvez également prendre en compte les frais de gestion. Définir le taux que vous souhaitez</v>
      </c>
      <c r="D33" s="1617" t="s">
        <v>821</v>
      </c>
      <c r="E33" s="1617" t="s">
        <v>671</v>
      </c>
      <c r="F33" s="1617"/>
      <c r="G33" s="1617"/>
      <c r="H33" s="1617"/>
      <c r="I33" s="1617"/>
      <c r="J33" s="1617"/>
      <c r="K33" s="1617"/>
      <c r="L33" s="1617"/>
      <c r="M33" s="1617"/>
      <c r="N33" s="1617"/>
      <c r="O33" s="1617"/>
      <c r="P33" s="1617"/>
      <c r="Q33" s="1617"/>
      <c r="R33" s="1617"/>
      <c r="S33" s="1617"/>
      <c r="T33" s="1617"/>
      <c r="U33" s="1617"/>
      <c r="V33" s="1617"/>
      <c r="W33" s="1617"/>
    </row>
    <row r="34" spans="2:23" s="1623" customFormat="1" ht="30" x14ac:dyDescent="0.2">
      <c r="B34" s="1631" t="str">
        <f>IF(Presentation!$D$2="Anglais",'TRAD-General Data'!E34,IF(Presentation!$D$2="Français",'TRAD-General Data'!D34,""))</f>
        <v>Si vous voulez le prix en euros, vous devez définir le taux de change (pour 1$)</v>
      </c>
      <c r="D34" s="1617" t="s">
        <v>1690</v>
      </c>
      <c r="E34" s="1617" t="s">
        <v>1691</v>
      </c>
      <c r="F34" s="1617"/>
      <c r="G34" s="1617"/>
      <c r="H34" s="1617"/>
      <c r="I34" s="1617"/>
      <c r="J34" s="1617"/>
      <c r="K34" s="1617"/>
      <c r="L34" s="1617"/>
      <c r="M34" s="1617"/>
      <c r="N34" s="1617"/>
      <c r="O34" s="1617"/>
      <c r="P34" s="1617"/>
      <c r="Q34" s="1617"/>
      <c r="R34" s="1617"/>
      <c r="S34" s="1617"/>
      <c r="T34" s="1617"/>
      <c r="U34" s="1617"/>
      <c r="V34" s="1617"/>
      <c r="W34" s="1617"/>
    </row>
    <row r="35" spans="2:23" s="1623" customFormat="1" ht="45" x14ac:dyDescent="0.2">
      <c r="B35" s="1631" t="str">
        <f>IF(Presentation!$D$2="Anglais",'TRAD-General Data'!E35,IF(Presentation!$D$2="Français",'TRAD-General Data'!D35,""))</f>
        <v>Précisez la source des prix que vous souhaitez prendre en compte (attention, les prix doivent être renseignés dans la feuille correspondante)</v>
      </c>
      <c r="D35" s="1617" t="s">
        <v>1728</v>
      </c>
      <c r="E35" s="1617" t="s">
        <v>1729</v>
      </c>
      <c r="F35" s="1617"/>
      <c r="G35" s="1782"/>
      <c r="H35" s="1617"/>
      <c r="I35" s="1617"/>
      <c r="J35" s="1617"/>
      <c r="K35" s="1617"/>
      <c r="L35" s="1617"/>
      <c r="M35" s="1617"/>
      <c r="N35" s="1617"/>
      <c r="O35" s="1617"/>
      <c r="P35" s="1617"/>
      <c r="Q35" s="1617"/>
      <c r="R35" s="1617"/>
      <c r="S35" s="1617"/>
      <c r="T35" s="1617"/>
      <c r="U35" s="1617"/>
      <c r="V35" s="1617"/>
      <c r="W35" s="1617"/>
    </row>
    <row r="36" spans="2:23" s="1623" customFormat="1" ht="30" x14ac:dyDescent="0.2">
      <c r="B36" s="1631" t="str">
        <f>IF(Presentation!$D$2="Anglais",'TRAD-General Data'!E36,IF(Presentation!$D$2="Français",'TRAD-General Data'!D36,""))</f>
        <v>Les prix GPRM n'étant plus actualisés, ils ne sont plus mentionnés dans cet outil</v>
      </c>
      <c r="D36" s="1617" t="s">
        <v>1692</v>
      </c>
      <c r="E36" s="1617" t="s">
        <v>1693</v>
      </c>
      <c r="F36" s="1617"/>
      <c r="G36" s="1782"/>
      <c r="H36" s="1617"/>
      <c r="I36" s="1617"/>
      <c r="J36" s="1617"/>
      <c r="K36" s="1617"/>
      <c r="L36" s="1617"/>
      <c r="M36" s="1617"/>
      <c r="N36" s="1617"/>
      <c r="O36" s="1617"/>
      <c r="P36" s="1617"/>
      <c r="Q36" s="1617"/>
      <c r="R36" s="1617"/>
      <c r="S36" s="1617"/>
      <c r="T36" s="1617"/>
      <c r="U36" s="1617"/>
      <c r="V36" s="1617"/>
      <c r="W36" s="1617"/>
    </row>
    <row r="37" spans="2:23" s="1623" customFormat="1" x14ac:dyDescent="0.2">
      <c r="B37" s="1631" t="str">
        <f>IF(Presentation!$D$2="Anglais",'TRAD-General Data'!E37,IF(Presentation!$D$2="Français",'TRAD-General Data'!D37,""))</f>
        <v>Prix centrale d'achat nationale</v>
      </c>
      <c r="D37" s="1617" t="s">
        <v>1694</v>
      </c>
      <c r="E37" s="1617" t="s">
        <v>1695</v>
      </c>
      <c r="F37" s="1617"/>
      <c r="G37" s="1782"/>
      <c r="H37" s="1617"/>
      <c r="I37" s="1617"/>
      <c r="J37" s="1617"/>
      <c r="K37" s="1617"/>
      <c r="L37" s="1617"/>
      <c r="M37" s="1617"/>
      <c r="N37" s="1617"/>
      <c r="O37" s="1617"/>
      <c r="P37" s="1617"/>
      <c r="Q37" s="1617"/>
      <c r="R37" s="1617"/>
      <c r="S37" s="1617"/>
      <c r="T37" s="1617"/>
      <c r="U37" s="1617"/>
      <c r="V37" s="1617"/>
      <c r="W37" s="1617"/>
    </row>
    <row r="38" spans="2:23" s="1623" customFormat="1" x14ac:dyDescent="0.2">
      <c r="B38" s="1631" t="str">
        <f>IF(Presentation!$D$2="Anglais",'TRAD-General Data'!E38,IF(Presentation!$D$2="Français",'TRAD-General Data'!D38,""))</f>
        <v>Taux de change 1$ =</v>
      </c>
      <c r="D38" s="1617" t="s">
        <v>822</v>
      </c>
      <c r="E38" s="1619" t="s">
        <v>539</v>
      </c>
      <c r="F38" s="1617"/>
      <c r="G38" s="1617"/>
      <c r="H38" s="1617"/>
      <c r="I38" s="1617"/>
      <c r="J38" s="1617"/>
      <c r="K38" s="1617"/>
      <c r="L38" s="1617"/>
      <c r="M38" s="1617"/>
      <c r="N38" s="1617"/>
      <c r="O38" s="1617"/>
      <c r="P38" s="1617"/>
      <c r="Q38" s="1617"/>
      <c r="R38" s="1617"/>
      <c r="S38" s="1617"/>
      <c r="T38" s="1617"/>
      <c r="U38" s="1617"/>
      <c r="V38" s="1617"/>
      <c r="W38" s="1617"/>
    </row>
    <row r="39" spans="2:23" s="1623" customFormat="1" x14ac:dyDescent="0.2">
      <c r="B39" s="1631" t="str">
        <f>IF(Presentation!$D$2="Anglais",'TRAD-General Data'!E39,IF(Presentation!$D$2="Français",'TRAD-General Data'!D39,""))</f>
        <v>Guide international des prix de médicaments - MSH</v>
      </c>
      <c r="D39" s="1617" t="s">
        <v>1704</v>
      </c>
      <c r="E39" s="1619" t="s">
        <v>1698</v>
      </c>
      <c r="F39" s="1617"/>
      <c r="G39" s="1617"/>
      <c r="H39" s="1617"/>
      <c r="I39" s="1617"/>
      <c r="J39" s="1617"/>
      <c r="K39" s="1617"/>
      <c r="L39" s="1617"/>
      <c r="M39" s="1617"/>
      <c r="N39" s="1617"/>
      <c r="O39" s="1617"/>
      <c r="P39" s="1617"/>
      <c r="Q39" s="1617"/>
      <c r="R39" s="1617"/>
      <c r="S39" s="1617"/>
      <c r="T39" s="1617"/>
      <c r="U39" s="1617"/>
      <c r="V39" s="1617"/>
      <c r="W39" s="1617"/>
    </row>
    <row r="40" spans="2:23" s="1623" customFormat="1" x14ac:dyDescent="0.2">
      <c r="B40" s="1631" t="str">
        <f>IF(Presentation!$D$2="Anglais",'TRAD-General Data'!E40,IF(Presentation!$D$2="Français",'TRAD-General Data'!D40,""))</f>
        <v>Prix médian Acheteur</v>
      </c>
      <c r="D40" s="1617" t="s">
        <v>1697</v>
      </c>
      <c r="E40" s="1780" t="s">
        <v>1699</v>
      </c>
      <c r="F40" s="1617"/>
      <c r="G40" s="1617"/>
      <c r="H40" s="1617"/>
      <c r="I40" s="1617"/>
      <c r="J40" s="1617"/>
      <c r="K40" s="1617"/>
      <c r="L40" s="1617"/>
      <c r="M40" s="1617"/>
      <c r="N40" s="1617"/>
      <c r="O40" s="1617"/>
      <c r="P40" s="1617"/>
      <c r="Q40" s="1617"/>
      <c r="R40" s="1617"/>
      <c r="S40" s="1617"/>
      <c r="T40" s="1617"/>
      <c r="U40" s="1617"/>
      <c r="V40" s="1617"/>
      <c r="W40" s="1617"/>
    </row>
    <row r="41" spans="2:23" s="1623" customFormat="1" x14ac:dyDescent="0.2">
      <c r="B41" s="1631" t="str">
        <f>IF(Presentation!$D$2="Anglais",'TRAD-General Data'!E41,IF(Presentation!$D$2="Français",'TRAD-General Data'!D41,""))</f>
        <v>Prix médian Vendeur</v>
      </c>
      <c r="D41" s="1617" t="s">
        <v>1696</v>
      </c>
      <c r="E41" s="1780" t="s">
        <v>1700</v>
      </c>
      <c r="F41" s="1617"/>
      <c r="G41" s="1617"/>
      <c r="H41" s="1617"/>
      <c r="I41" s="1617"/>
      <c r="J41" s="1617"/>
      <c r="K41" s="1617"/>
      <c r="L41" s="1617"/>
      <c r="M41" s="1617"/>
      <c r="N41" s="1617"/>
      <c r="O41" s="1617"/>
      <c r="P41" s="1617"/>
      <c r="Q41" s="1617"/>
      <c r="R41" s="1617"/>
      <c r="S41" s="1617"/>
      <c r="T41" s="1617"/>
      <c r="U41" s="1617"/>
      <c r="V41" s="1617"/>
      <c r="W41" s="1617"/>
    </row>
    <row r="42" spans="2:23" s="1623" customFormat="1" x14ac:dyDescent="0.2">
      <c r="B42" s="1631" t="str">
        <f>IF(Presentation!$D$2="Anglais",'TRAD-General Data'!E42,IF(Presentation!$D$2="Français",'TRAD-General Data'!D42,""))</f>
        <v>Prix VPP</v>
      </c>
      <c r="D42" s="1617" t="s">
        <v>1540</v>
      </c>
      <c r="E42" s="1617" t="s">
        <v>1541</v>
      </c>
      <c r="F42" s="1617"/>
      <c r="G42" s="1782"/>
      <c r="H42" s="1617"/>
      <c r="I42" s="1617"/>
      <c r="J42" s="1617"/>
      <c r="K42" s="1617"/>
      <c r="L42" s="1617"/>
      <c r="M42" s="1617"/>
      <c r="N42" s="1617"/>
      <c r="O42" s="1617"/>
      <c r="P42" s="1617"/>
      <c r="Q42" s="1617"/>
      <c r="R42" s="1617"/>
      <c r="S42" s="1617"/>
      <c r="T42" s="1617"/>
      <c r="U42" s="1617"/>
      <c r="V42" s="1617"/>
      <c r="W42" s="1617"/>
    </row>
    <row r="43" spans="2:23" s="1623" customFormat="1" x14ac:dyDescent="0.2">
      <c r="B43" s="1631" t="str">
        <f>IF(Presentation!$D$2="Anglais",'TRAD-General Data'!E43,IF(Presentation!$D$2="Français",'TRAD-General Data'!D43,""))</f>
        <v>Prix minimum</v>
      </c>
      <c r="D43" s="1617" t="s">
        <v>1546</v>
      </c>
      <c r="E43" s="1780" t="s">
        <v>1547</v>
      </c>
      <c r="F43" s="1617"/>
      <c r="G43" s="1617"/>
      <c r="H43" s="1617"/>
      <c r="I43" s="1617"/>
      <c r="J43" s="1617"/>
      <c r="K43" s="1617"/>
      <c r="L43" s="1617"/>
      <c r="M43" s="1617"/>
      <c r="N43" s="1617"/>
      <c r="O43" s="1617"/>
      <c r="P43" s="1617"/>
      <c r="Q43" s="1617"/>
      <c r="R43" s="1617"/>
      <c r="S43" s="1617"/>
      <c r="T43" s="1617"/>
      <c r="U43" s="1617"/>
      <c r="V43" s="1617"/>
      <c r="W43" s="1617"/>
    </row>
    <row r="44" spans="2:23" s="1841" customFormat="1" x14ac:dyDescent="0.2">
      <c r="B44" s="1631" t="str">
        <f>IF(Presentation!$D$2="Anglais",'TRAD-General Data'!E44,IF(Presentation!$D$2="Français",'TRAD-General Data'!D44,""))</f>
        <v>Prix moyen</v>
      </c>
      <c r="D44" s="1842" t="s">
        <v>1542</v>
      </c>
      <c r="E44" s="1843" t="s">
        <v>1543</v>
      </c>
      <c r="H44" s="1844"/>
      <c r="I44" s="1844"/>
    </row>
    <row r="45" spans="2:23" s="1841" customFormat="1" x14ac:dyDescent="0.2">
      <c r="B45" s="1631" t="str">
        <f>IF(Presentation!$D$2="Anglais",'TRAD-General Data'!E45,IF(Presentation!$D$2="Français",'TRAD-General Data'!D45,""))</f>
        <v>Prix médian</v>
      </c>
      <c r="D45" s="1842" t="s">
        <v>1516</v>
      </c>
      <c r="E45" s="1843" t="s">
        <v>728</v>
      </c>
      <c r="H45" s="1844"/>
      <c r="I45" s="1844"/>
    </row>
    <row r="46" spans="2:23" s="1841" customFormat="1" x14ac:dyDescent="0.2">
      <c r="B46" s="1631" t="str">
        <f>IF(Presentation!$D$2="Anglais",'TRAD-General Data'!E46,IF(Presentation!$D$2="Français",'TRAD-General Data'!D46,""))</f>
        <v>Prix maximum</v>
      </c>
      <c r="D46" s="1842" t="s">
        <v>1544</v>
      </c>
      <c r="E46" s="1843" t="s">
        <v>1545</v>
      </c>
      <c r="H46" s="1844"/>
      <c r="I46" s="1844"/>
    </row>
    <row r="47" spans="2:23" s="1841" customFormat="1" x14ac:dyDescent="0.2">
      <c r="B47" s="1631" t="str">
        <f>IF(Presentation!$D$2="Anglais",'TRAD-General Data'!E47,IF(Presentation!$D$2="Français",'TRAD-General Data'!D47,""))</f>
        <v>Prix CHAI</v>
      </c>
      <c r="D47" s="1842" t="s">
        <v>1707</v>
      </c>
      <c r="E47" s="1843" t="s">
        <v>1705</v>
      </c>
      <c r="H47" s="1844"/>
      <c r="I47" s="1844"/>
    </row>
    <row r="48" spans="2:23" s="1841" customFormat="1" x14ac:dyDescent="0.2">
      <c r="B48" s="1631" t="str">
        <f>IF(Presentation!$D$2="Anglais",'TRAD-General Data'!E48,IF(Presentation!$D$2="Français",'TRAD-General Data'!D48,""))</f>
        <v>Autre source de prix</v>
      </c>
      <c r="D48" s="1842" t="s">
        <v>1706</v>
      </c>
      <c r="E48" s="1843" t="s">
        <v>1703</v>
      </c>
      <c r="H48" s="1844"/>
      <c r="I48" s="1844"/>
    </row>
    <row r="49" spans="2:23" s="1841" customFormat="1" ht="30" x14ac:dyDescent="0.2">
      <c r="B49" s="1631" t="str">
        <f>IF(Presentation!$D$2="Anglais",'TRAD-General Data'!E49,IF(Presentation!$D$2="Français",'TRAD-General Data'!D49,""))</f>
        <v>Vous pouvez également choisir le prix moyen ou maximum de l'ensemble des sources de prix renseignées</v>
      </c>
      <c r="D49" s="1842" t="s">
        <v>1701</v>
      </c>
      <c r="E49" s="1843" t="s">
        <v>1702</v>
      </c>
      <c r="H49" s="1844"/>
      <c r="I49" s="1844"/>
    </row>
    <row r="50" spans="2:23" s="1623" customFormat="1" x14ac:dyDescent="0.2">
      <c r="B50" s="1631" t="str">
        <f>IF(Presentation!$D$2="Anglais",'TRAD-General Data'!E50,IF(Presentation!$D$2="Français",'TRAD-General Data'!D50,""))</f>
        <v>NA</v>
      </c>
      <c r="D50" s="1617" t="s">
        <v>824</v>
      </c>
      <c r="E50" s="1617" t="s">
        <v>824</v>
      </c>
      <c r="F50" s="1617"/>
      <c r="G50" s="1783"/>
      <c r="H50" s="1617"/>
      <c r="I50" s="1617"/>
      <c r="J50" s="1617"/>
      <c r="K50" s="1617"/>
      <c r="L50" s="1617"/>
      <c r="M50" s="1617"/>
      <c r="N50" s="1617"/>
      <c r="O50" s="1617"/>
      <c r="P50" s="1617"/>
      <c r="Q50" s="1617"/>
      <c r="R50" s="1617"/>
      <c r="S50" s="1617"/>
      <c r="T50" s="1617"/>
      <c r="U50" s="1617"/>
      <c r="V50" s="1617"/>
      <c r="W50" s="1617"/>
    </row>
    <row r="51" spans="2:23" s="1623" customFormat="1" ht="30" x14ac:dyDescent="0.2">
      <c r="B51" s="1631" t="str">
        <f>IF(Presentation!$D$2="Anglais",'TRAD-General Data'!E51,IF(Presentation!$D$2="Français",'TRAD-General Data'!D51,""))</f>
        <v>Attention, il ne faut qu'un seul choix, sinon le premier sera retenu.</v>
      </c>
      <c r="D51" s="1617" t="s">
        <v>1531</v>
      </c>
      <c r="E51" s="1623" t="s">
        <v>1530</v>
      </c>
      <c r="F51" s="1617"/>
      <c r="G51" s="1617"/>
      <c r="H51" s="1617"/>
      <c r="I51" s="1617"/>
      <c r="J51" s="1617"/>
      <c r="K51" s="1617"/>
      <c r="L51" s="1617"/>
      <c r="M51" s="1617"/>
      <c r="N51" s="1617"/>
      <c r="O51" s="1617"/>
      <c r="P51" s="1617"/>
      <c r="Q51" s="1617"/>
      <c r="R51" s="1617"/>
      <c r="S51" s="1617"/>
      <c r="T51" s="1617"/>
      <c r="U51" s="1617"/>
      <c r="V51" s="1617"/>
      <c r="W51" s="1617"/>
    </row>
    <row r="52" spans="2:23" s="1623" customFormat="1" x14ac:dyDescent="0.2">
      <c r="B52" s="1631"/>
    </row>
    <row r="53" spans="2:23" s="1623" customFormat="1" x14ac:dyDescent="0.2">
      <c r="B53" s="1631"/>
    </row>
    <row r="54" spans="2:23" s="1623" customFormat="1" x14ac:dyDescent="0.2">
      <c r="B54" s="1631"/>
    </row>
    <row r="55" spans="2:23" s="1623" customFormat="1" x14ac:dyDescent="0.2">
      <c r="B55" s="1631"/>
    </row>
    <row r="56" spans="2:23" s="1623" customFormat="1" x14ac:dyDescent="0.2">
      <c r="B56" s="1631"/>
    </row>
    <row r="57" spans="2:23" s="1623" customFormat="1" x14ac:dyDescent="0.2">
      <c r="B57" s="1631"/>
    </row>
    <row r="58" spans="2:23" s="1623" customFormat="1" x14ac:dyDescent="0.2">
      <c r="B58" s="1631"/>
    </row>
    <row r="59" spans="2:23" s="1623" customFormat="1" x14ac:dyDescent="0.2">
      <c r="B59" s="1631"/>
    </row>
    <row r="60" spans="2:23" s="1623" customFormat="1" x14ac:dyDescent="0.2">
      <c r="B60" s="1631"/>
    </row>
    <row r="61" spans="2:23" s="1623" customFormat="1" x14ac:dyDescent="0.2">
      <c r="B61" s="1631"/>
    </row>
    <row r="62" spans="2:23" s="1623" customFormat="1" x14ac:dyDescent="0.2">
      <c r="B62" s="1631"/>
    </row>
    <row r="63" spans="2:23" s="1623" customFormat="1" x14ac:dyDescent="0.2">
      <c r="B63" s="1631"/>
    </row>
    <row r="64" spans="2:23" s="1623" customFormat="1" x14ac:dyDescent="0.2">
      <c r="B64" s="1631"/>
    </row>
    <row r="65" spans="2:2" s="1623" customFormat="1" x14ac:dyDescent="0.2">
      <c r="B65" s="1631"/>
    </row>
    <row r="66" spans="2:2" s="1623" customFormat="1" x14ac:dyDescent="0.2">
      <c r="B66" s="1631"/>
    </row>
    <row r="67" spans="2:2" s="1623" customFormat="1" x14ac:dyDescent="0.2">
      <c r="B67" s="1631"/>
    </row>
    <row r="68" spans="2:2" s="1623" customFormat="1" x14ac:dyDescent="0.2">
      <c r="B68" s="1631"/>
    </row>
    <row r="69" spans="2:2" s="1623" customFormat="1" x14ac:dyDescent="0.2">
      <c r="B69" s="1631"/>
    </row>
    <row r="70" spans="2:2" s="1623" customFormat="1" x14ac:dyDescent="0.2">
      <c r="B70" s="1631"/>
    </row>
    <row r="71" spans="2:2" s="1623" customFormat="1" x14ac:dyDescent="0.2">
      <c r="B71" s="1631"/>
    </row>
    <row r="72" spans="2:2" s="1623" customFormat="1" x14ac:dyDescent="0.2">
      <c r="B72" s="1631"/>
    </row>
    <row r="73" spans="2:2" s="1623" customFormat="1" x14ac:dyDescent="0.2">
      <c r="B73" s="1631"/>
    </row>
    <row r="74" spans="2:2" s="1623" customFormat="1" x14ac:dyDescent="0.2">
      <c r="B74" s="1631"/>
    </row>
    <row r="75" spans="2:2" s="1623" customFormat="1" x14ac:dyDescent="0.2">
      <c r="B75" s="1631"/>
    </row>
    <row r="76" spans="2:2" s="1623" customFormat="1" x14ac:dyDescent="0.2">
      <c r="B76" s="1631"/>
    </row>
    <row r="77" spans="2:2" s="1623" customFormat="1" x14ac:dyDescent="0.2">
      <c r="B77" s="1631"/>
    </row>
    <row r="78" spans="2:2" s="1623" customFormat="1" x14ac:dyDescent="0.2">
      <c r="B78" s="1631"/>
    </row>
    <row r="79" spans="2:2" s="1623" customFormat="1" x14ac:dyDescent="0.2">
      <c r="B79" s="1631"/>
    </row>
    <row r="80" spans="2:2" s="1623" customFormat="1" x14ac:dyDescent="0.2">
      <c r="B80" s="1631"/>
    </row>
    <row r="81" spans="2:2" s="1623" customFormat="1" x14ac:dyDescent="0.2">
      <c r="B81" s="1631"/>
    </row>
    <row r="82" spans="2:2" s="1623" customFormat="1" x14ac:dyDescent="0.2">
      <c r="B82" s="1631"/>
    </row>
    <row r="83" spans="2:2" s="1623" customFormat="1" x14ac:dyDescent="0.2">
      <c r="B83" s="1631"/>
    </row>
    <row r="84" spans="2:2" s="1623" customFormat="1" x14ac:dyDescent="0.2">
      <c r="B84" s="1631"/>
    </row>
    <row r="85" spans="2:2" s="1623" customFormat="1" x14ac:dyDescent="0.2">
      <c r="B85" s="1631"/>
    </row>
    <row r="86" spans="2:2" s="1623" customFormat="1" x14ac:dyDescent="0.2">
      <c r="B86" s="1631"/>
    </row>
    <row r="87" spans="2:2" s="1623" customFormat="1" x14ac:dyDescent="0.2">
      <c r="B87" s="1631"/>
    </row>
    <row r="88" spans="2:2" s="1623" customFormat="1" x14ac:dyDescent="0.2">
      <c r="B88" s="1631"/>
    </row>
    <row r="89" spans="2:2" s="1623" customFormat="1" x14ac:dyDescent="0.2">
      <c r="B89" s="1631"/>
    </row>
    <row r="90" spans="2:2" s="1623" customFormat="1" x14ac:dyDescent="0.2">
      <c r="B90" s="1631"/>
    </row>
    <row r="91" spans="2:2" s="1623" customFormat="1" x14ac:dyDescent="0.2">
      <c r="B91" s="1631"/>
    </row>
    <row r="92" spans="2:2" s="1623" customFormat="1" x14ac:dyDescent="0.2">
      <c r="B92" s="1631"/>
    </row>
    <row r="93" spans="2:2" s="1623" customFormat="1" x14ac:dyDescent="0.2">
      <c r="B93" s="1631"/>
    </row>
    <row r="94" spans="2:2" s="1623" customFormat="1" x14ac:dyDescent="0.2">
      <c r="B94" s="1631"/>
    </row>
    <row r="95" spans="2:2" s="1623" customFormat="1" x14ac:dyDescent="0.2">
      <c r="B95" s="1631"/>
    </row>
    <row r="96" spans="2:2" s="1623" customFormat="1" x14ac:dyDescent="0.2">
      <c r="B96" s="1631"/>
    </row>
    <row r="97" spans="2:2" s="1623" customFormat="1" x14ac:dyDescent="0.2">
      <c r="B97" s="1631"/>
    </row>
    <row r="98" spans="2:2" s="1623" customFormat="1" x14ac:dyDescent="0.2">
      <c r="B98" s="1631"/>
    </row>
    <row r="99" spans="2:2" s="1623" customFormat="1" x14ac:dyDescent="0.2">
      <c r="B99" s="1631"/>
    </row>
    <row r="100" spans="2:2" s="1623" customFormat="1" x14ac:dyDescent="0.2">
      <c r="B100" s="1631"/>
    </row>
    <row r="101" spans="2:2" s="1623" customFormat="1" x14ac:dyDescent="0.2">
      <c r="B101" s="1631"/>
    </row>
    <row r="102" spans="2:2" s="1623" customFormat="1" x14ac:dyDescent="0.2">
      <c r="B102" s="1631"/>
    </row>
    <row r="103" spans="2:2" s="1623" customFormat="1" x14ac:dyDescent="0.2">
      <c r="B103" s="1631"/>
    </row>
    <row r="104" spans="2:2" s="1623" customFormat="1" x14ac:dyDescent="0.2">
      <c r="B104" s="1631"/>
    </row>
    <row r="105" spans="2:2" s="1623" customFormat="1" x14ac:dyDescent="0.2">
      <c r="B105" s="1631"/>
    </row>
    <row r="106" spans="2:2" s="1623" customFormat="1" x14ac:dyDescent="0.2">
      <c r="B106" s="1631"/>
    </row>
    <row r="107" spans="2:2" s="1623" customFormat="1" x14ac:dyDescent="0.2">
      <c r="B107" s="1631"/>
    </row>
    <row r="108" spans="2:2" s="1623" customFormat="1" x14ac:dyDescent="0.2">
      <c r="B108" s="1631"/>
    </row>
    <row r="109" spans="2:2" s="1623" customFormat="1" x14ac:dyDescent="0.2">
      <c r="B109" s="1631"/>
    </row>
    <row r="110" spans="2:2" s="1623" customFormat="1" x14ac:dyDescent="0.2">
      <c r="B110" s="1631"/>
    </row>
    <row r="111" spans="2:2" s="1623" customFormat="1" x14ac:dyDescent="0.2">
      <c r="B111" s="1631"/>
    </row>
    <row r="112" spans="2:2" s="1623" customFormat="1" x14ac:dyDescent="0.2">
      <c r="B112" s="1631"/>
    </row>
    <row r="113" spans="2:2" s="1623" customFormat="1" x14ac:dyDescent="0.2">
      <c r="B113" s="1631"/>
    </row>
    <row r="114" spans="2:2" s="1623" customFormat="1" x14ac:dyDescent="0.2">
      <c r="B114" s="1631"/>
    </row>
    <row r="115" spans="2:2" s="1623" customFormat="1" x14ac:dyDescent="0.2">
      <c r="B115" s="1631"/>
    </row>
    <row r="116" spans="2:2" s="1623" customFormat="1" x14ac:dyDescent="0.2">
      <c r="B116" s="1631"/>
    </row>
    <row r="117" spans="2:2" s="1623" customFormat="1" x14ac:dyDescent="0.2">
      <c r="B117" s="1631"/>
    </row>
    <row r="118" spans="2:2" s="1623" customFormat="1" x14ac:dyDescent="0.2">
      <c r="B118" s="1631"/>
    </row>
    <row r="119" spans="2:2" s="1623" customFormat="1" x14ac:dyDescent="0.2">
      <c r="B119" s="1631"/>
    </row>
    <row r="120" spans="2:2" s="1623" customFormat="1" x14ac:dyDescent="0.2">
      <c r="B120" s="1631"/>
    </row>
    <row r="121" spans="2:2" s="1623" customFormat="1" x14ac:dyDescent="0.2">
      <c r="B121" s="1631"/>
    </row>
    <row r="122" spans="2:2" s="1623" customFormat="1" x14ac:dyDescent="0.2">
      <c r="B122" s="1631"/>
    </row>
    <row r="123" spans="2:2" s="1623" customFormat="1" x14ac:dyDescent="0.2">
      <c r="B123" s="1631"/>
    </row>
    <row r="124" spans="2:2" s="1623" customFormat="1" x14ac:dyDescent="0.2">
      <c r="B124" s="1631"/>
    </row>
    <row r="125" spans="2:2" s="1623" customFormat="1" x14ac:dyDescent="0.2">
      <c r="B125" s="1631"/>
    </row>
    <row r="126" spans="2:2" s="1623" customFormat="1" x14ac:dyDescent="0.2">
      <c r="B126" s="1631"/>
    </row>
    <row r="127" spans="2:2" s="1623" customFormat="1" x14ac:dyDescent="0.2">
      <c r="B127" s="1631"/>
    </row>
    <row r="128" spans="2:2" s="1623" customFormat="1" x14ac:dyDescent="0.2">
      <c r="B128" s="1631"/>
    </row>
    <row r="129" spans="2:2" s="1623" customFormat="1" x14ac:dyDescent="0.2">
      <c r="B129" s="1631"/>
    </row>
    <row r="130" spans="2:2" s="1623" customFormat="1" x14ac:dyDescent="0.2">
      <c r="B130" s="1631"/>
    </row>
    <row r="131" spans="2:2" s="1623" customFormat="1" x14ac:dyDescent="0.2">
      <c r="B131" s="1631"/>
    </row>
    <row r="132" spans="2:2" s="1623" customFormat="1" x14ac:dyDescent="0.2">
      <c r="B132" s="1631"/>
    </row>
    <row r="133" spans="2:2" s="1623" customFormat="1" x14ac:dyDescent="0.2">
      <c r="B133" s="1631"/>
    </row>
    <row r="134" spans="2:2" s="1623" customFormat="1" x14ac:dyDescent="0.2">
      <c r="B134" s="1631"/>
    </row>
    <row r="135" spans="2:2" s="1623" customFormat="1" x14ac:dyDescent="0.2">
      <c r="B135" s="1631"/>
    </row>
    <row r="136" spans="2:2" s="1623" customFormat="1" x14ac:dyDescent="0.2">
      <c r="B136" s="1631"/>
    </row>
    <row r="137" spans="2:2" s="1623" customFormat="1" x14ac:dyDescent="0.2">
      <c r="B137" s="1631"/>
    </row>
    <row r="138" spans="2:2" s="1623" customFormat="1" x14ac:dyDescent="0.2">
      <c r="B138" s="1631"/>
    </row>
    <row r="139" spans="2:2" s="1623" customFormat="1" x14ac:dyDescent="0.2">
      <c r="B139" s="1631"/>
    </row>
    <row r="140" spans="2:2" s="1623" customFormat="1" x14ac:dyDescent="0.2">
      <c r="B140" s="1631"/>
    </row>
    <row r="141" spans="2:2" s="1623" customFormat="1" x14ac:dyDescent="0.2">
      <c r="B141" s="1631"/>
    </row>
    <row r="142" spans="2:2" s="1623" customFormat="1" x14ac:dyDescent="0.2">
      <c r="B142" s="1631"/>
    </row>
    <row r="143" spans="2:2" s="1623" customFormat="1" x14ac:dyDescent="0.2">
      <c r="B143" s="1631"/>
    </row>
    <row r="144" spans="2:2" s="1623" customFormat="1" x14ac:dyDescent="0.2">
      <c r="B144" s="1631"/>
    </row>
    <row r="145" spans="2:2" s="1623" customFormat="1" x14ac:dyDescent="0.2">
      <c r="B145" s="1631"/>
    </row>
    <row r="146" spans="2:2" s="1623" customFormat="1" x14ac:dyDescent="0.2">
      <c r="B146" s="1631"/>
    </row>
    <row r="147" spans="2:2" s="1623" customFormat="1" x14ac:dyDescent="0.2">
      <c r="B147" s="1631"/>
    </row>
    <row r="148" spans="2:2" s="1623" customFormat="1" x14ac:dyDescent="0.2">
      <c r="B148" s="1631"/>
    </row>
    <row r="149" spans="2:2" s="1623" customFormat="1" x14ac:dyDescent="0.2">
      <c r="B149" s="1631"/>
    </row>
    <row r="150" spans="2:2" s="1623" customFormat="1" x14ac:dyDescent="0.2">
      <c r="B150" s="1631"/>
    </row>
    <row r="151" spans="2:2" s="1623" customFormat="1" x14ac:dyDescent="0.2">
      <c r="B151" s="1631"/>
    </row>
    <row r="152" spans="2:2" s="1623" customFormat="1" x14ac:dyDescent="0.2">
      <c r="B152" s="1631"/>
    </row>
    <row r="153" spans="2:2" s="1623" customFormat="1" x14ac:dyDescent="0.2">
      <c r="B153" s="1631"/>
    </row>
    <row r="154" spans="2:2" s="1623" customFormat="1" x14ac:dyDescent="0.2">
      <c r="B154" s="1631"/>
    </row>
    <row r="155" spans="2:2" s="1623" customFormat="1" x14ac:dyDescent="0.2">
      <c r="B155" s="1631"/>
    </row>
    <row r="156" spans="2:2" s="1623" customFormat="1" x14ac:dyDescent="0.2">
      <c r="B156" s="1631"/>
    </row>
    <row r="157" spans="2:2" s="1623" customFormat="1" x14ac:dyDescent="0.2">
      <c r="B157" s="1631"/>
    </row>
    <row r="158" spans="2:2" s="1623" customFormat="1" x14ac:dyDescent="0.2">
      <c r="B158" s="1631"/>
    </row>
    <row r="159" spans="2:2" s="1623" customFormat="1" x14ac:dyDescent="0.2">
      <c r="B159" s="1631"/>
    </row>
    <row r="160" spans="2:2" s="1623" customFormat="1" x14ac:dyDescent="0.2">
      <c r="B160" s="1631"/>
    </row>
    <row r="161" spans="2:2" s="1623" customFormat="1" x14ac:dyDescent="0.2">
      <c r="B161" s="1631"/>
    </row>
    <row r="162" spans="2:2" s="1623" customFormat="1" x14ac:dyDescent="0.2">
      <c r="B162" s="1631"/>
    </row>
    <row r="163" spans="2:2" s="1623" customFormat="1" x14ac:dyDescent="0.2">
      <c r="B163" s="1631"/>
    </row>
    <row r="164" spans="2:2" s="1623" customFormat="1" x14ac:dyDescent="0.2">
      <c r="B164" s="1631"/>
    </row>
    <row r="165" spans="2:2" s="1623" customFormat="1" x14ac:dyDescent="0.2">
      <c r="B165" s="1631"/>
    </row>
    <row r="166" spans="2:2" s="1623" customFormat="1" x14ac:dyDescent="0.2">
      <c r="B166" s="1631"/>
    </row>
    <row r="167" spans="2:2" s="1623" customFormat="1" x14ac:dyDescent="0.2">
      <c r="B167" s="1631"/>
    </row>
    <row r="168" spans="2:2" s="1623" customFormat="1" x14ac:dyDescent="0.2">
      <c r="B168" s="1631"/>
    </row>
    <row r="169" spans="2:2" s="1623" customFormat="1" x14ac:dyDescent="0.2">
      <c r="B169" s="1631"/>
    </row>
    <row r="170" spans="2:2" s="1623" customFormat="1" x14ac:dyDescent="0.2">
      <c r="B170" s="1631"/>
    </row>
    <row r="171" spans="2:2" s="1623" customFormat="1" x14ac:dyDescent="0.2">
      <c r="B171" s="1631"/>
    </row>
    <row r="172" spans="2:2" s="1623" customFormat="1" x14ac:dyDescent="0.2">
      <c r="B172" s="1631"/>
    </row>
    <row r="173" spans="2:2" s="1623" customFormat="1" x14ac:dyDescent="0.2">
      <c r="B173" s="1631"/>
    </row>
    <row r="174" spans="2:2" s="1623" customFormat="1" x14ac:dyDescent="0.2">
      <c r="B174" s="1631"/>
    </row>
    <row r="175" spans="2:2" s="1623" customFormat="1" x14ac:dyDescent="0.2">
      <c r="B175" s="1631"/>
    </row>
    <row r="176" spans="2:2" s="1623" customFormat="1" x14ac:dyDescent="0.2">
      <c r="B176" s="1631"/>
    </row>
    <row r="177" spans="2:2" s="1623" customFormat="1" x14ac:dyDescent="0.2">
      <c r="B177" s="1631"/>
    </row>
    <row r="178" spans="2:2" s="1623" customFormat="1" x14ac:dyDescent="0.2">
      <c r="B178" s="1631"/>
    </row>
    <row r="179" spans="2:2" s="1623" customFormat="1" x14ac:dyDescent="0.2">
      <c r="B179" s="1631"/>
    </row>
    <row r="180" spans="2:2" s="1623" customFormat="1" x14ac:dyDescent="0.2">
      <c r="B180" s="1631"/>
    </row>
    <row r="181" spans="2:2" s="1623" customFormat="1" x14ac:dyDescent="0.2">
      <c r="B181" s="1631"/>
    </row>
    <row r="182" spans="2:2" s="1623" customFormat="1" x14ac:dyDescent="0.2">
      <c r="B182" s="1631"/>
    </row>
    <row r="183" spans="2:2" s="1623" customFormat="1" x14ac:dyDescent="0.2">
      <c r="B183" s="1631"/>
    </row>
    <row r="184" spans="2:2" s="1623" customFormat="1" x14ac:dyDescent="0.2">
      <c r="B184" s="1631"/>
    </row>
    <row r="185" spans="2:2" s="1623" customFormat="1" x14ac:dyDescent="0.2">
      <c r="B185" s="1631"/>
    </row>
    <row r="186" spans="2:2" s="1623" customFormat="1" x14ac:dyDescent="0.2">
      <c r="B186" s="1631"/>
    </row>
    <row r="187" spans="2:2" s="1623" customFormat="1" x14ac:dyDescent="0.2">
      <c r="B187" s="1631"/>
    </row>
    <row r="188" spans="2:2" s="1623" customFormat="1" x14ac:dyDescent="0.2">
      <c r="B188" s="1631"/>
    </row>
    <row r="189" spans="2:2" s="1623" customFormat="1" x14ac:dyDescent="0.2">
      <c r="B189" s="1631"/>
    </row>
    <row r="190" spans="2:2" s="1623" customFormat="1" x14ac:dyDescent="0.2">
      <c r="B190" s="1631"/>
    </row>
    <row r="191" spans="2:2" s="1623" customFormat="1" x14ac:dyDescent="0.2">
      <c r="B191" s="1631"/>
    </row>
    <row r="192" spans="2:2" s="1623" customFormat="1" x14ac:dyDescent="0.2">
      <c r="B192" s="1631"/>
    </row>
    <row r="193" spans="2:2" s="1623" customFormat="1" x14ac:dyDescent="0.2">
      <c r="B193" s="1631"/>
    </row>
    <row r="194" spans="2:2" s="1623" customFormat="1" x14ac:dyDescent="0.2">
      <c r="B194" s="1631"/>
    </row>
    <row r="195" spans="2:2" s="1623" customFormat="1" x14ac:dyDescent="0.2">
      <c r="B195" s="1631"/>
    </row>
    <row r="196" spans="2:2" s="1623" customFormat="1" x14ac:dyDescent="0.2">
      <c r="B196" s="1631"/>
    </row>
    <row r="197" spans="2:2" s="1623" customFormat="1" x14ac:dyDescent="0.2">
      <c r="B197" s="1631"/>
    </row>
    <row r="198" spans="2:2" s="1623" customFormat="1" x14ac:dyDescent="0.2">
      <c r="B198" s="1631"/>
    </row>
    <row r="199" spans="2:2" s="1623" customFormat="1" x14ac:dyDescent="0.2">
      <c r="B199" s="1631"/>
    </row>
    <row r="200" spans="2:2" s="1623" customFormat="1" x14ac:dyDescent="0.2">
      <c r="B200" s="1631"/>
    </row>
    <row r="201" spans="2:2" s="1623" customFormat="1" x14ac:dyDescent="0.2">
      <c r="B201" s="1631"/>
    </row>
    <row r="202" spans="2:2" s="1623" customFormat="1" x14ac:dyDescent="0.2">
      <c r="B202" s="1631"/>
    </row>
    <row r="203" spans="2:2" s="1623" customFormat="1" x14ac:dyDescent="0.2">
      <c r="B203" s="1631"/>
    </row>
    <row r="204" spans="2:2" s="1623" customFormat="1" x14ac:dyDescent="0.2">
      <c r="B204" s="1631"/>
    </row>
    <row r="205" spans="2:2" s="1623" customFormat="1" x14ac:dyDescent="0.2">
      <c r="B205" s="1631"/>
    </row>
    <row r="206" spans="2:2" s="1623" customFormat="1" x14ac:dyDescent="0.2">
      <c r="B206" s="1631"/>
    </row>
    <row r="207" spans="2:2" s="1623" customFormat="1" x14ac:dyDescent="0.2">
      <c r="B207" s="1631"/>
    </row>
    <row r="208" spans="2:2" s="1623" customFormat="1" x14ac:dyDescent="0.2">
      <c r="B208" s="1631"/>
    </row>
    <row r="209" spans="2:2" s="1623" customFormat="1" x14ac:dyDescent="0.2">
      <c r="B209" s="1631"/>
    </row>
    <row r="210" spans="2:2" s="1623" customFormat="1" x14ac:dyDescent="0.2">
      <c r="B210" s="1631"/>
    </row>
    <row r="211" spans="2:2" s="1623" customFormat="1" x14ac:dyDescent="0.2">
      <c r="B211" s="1631"/>
    </row>
    <row r="212" spans="2:2" s="1623" customFormat="1" x14ac:dyDescent="0.2">
      <c r="B212" s="1631"/>
    </row>
    <row r="213" spans="2:2" s="1623" customFormat="1" x14ac:dyDescent="0.2">
      <c r="B213" s="1631"/>
    </row>
    <row r="214" spans="2:2" s="1623" customFormat="1" x14ac:dyDescent="0.2">
      <c r="B214" s="1631"/>
    </row>
    <row r="215" spans="2:2" s="1623" customFormat="1" x14ac:dyDescent="0.2">
      <c r="B215" s="1631"/>
    </row>
    <row r="216" spans="2:2" s="1623" customFormat="1" x14ac:dyDescent="0.2">
      <c r="B216" s="1631"/>
    </row>
    <row r="217" spans="2:2" s="1623" customFormat="1" x14ac:dyDescent="0.2">
      <c r="B217" s="1631"/>
    </row>
    <row r="218" spans="2:2" s="1623" customFormat="1" x14ac:dyDescent="0.2">
      <c r="B218" s="1631"/>
    </row>
    <row r="219" spans="2:2" s="1623" customFormat="1" x14ac:dyDescent="0.2">
      <c r="B219" s="1631"/>
    </row>
    <row r="220" spans="2:2" s="1623" customFormat="1" x14ac:dyDescent="0.2">
      <c r="B220" s="1631"/>
    </row>
    <row r="221" spans="2:2" s="1623" customFormat="1" x14ac:dyDescent="0.2">
      <c r="B221" s="1631"/>
    </row>
    <row r="222" spans="2:2" s="1623" customFormat="1" x14ac:dyDescent="0.2">
      <c r="B222" s="1631"/>
    </row>
    <row r="223" spans="2:2" s="1623" customFormat="1" x14ac:dyDescent="0.2">
      <c r="B223" s="1631"/>
    </row>
    <row r="224" spans="2:2" s="1623" customFormat="1" x14ac:dyDescent="0.2">
      <c r="B224" s="1631"/>
    </row>
    <row r="225" spans="2:2" s="1623" customFormat="1" x14ac:dyDescent="0.2">
      <c r="B225" s="1631"/>
    </row>
    <row r="226" spans="2:2" s="1623" customFormat="1" x14ac:dyDescent="0.2">
      <c r="B226" s="1631"/>
    </row>
    <row r="227" spans="2:2" s="1623" customFormat="1" x14ac:dyDescent="0.2">
      <c r="B227" s="1631"/>
    </row>
    <row r="228" spans="2:2" s="1623" customFormat="1" x14ac:dyDescent="0.2">
      <c r="B228" s="1631"/>
    </row>
    <row r="229" spans="2:2" s="1623" customFormat="1" x14ac:dyDescent="0.2">
      <c r="B229" s="1631"/>
    </row>
    <row r="230" spans="2:2" s="1623" customFormat="1" x14ac:dyDescent="0.2">
      <c r="B230" s="1631"/>
    </row>
    <row r="231" spans="2:2" s="1623" customFormat="1" x14ac:dyDescent="0.2">
      <c r="B231" s="1631"/>
    </row>
    <row r="232" spans="2:2" s="1623" customFormat="1" x14ac:dyDescent="0.2">
      <c r="B232" s="1631"/>
    </row>
    <row r="233" spans="2:2" s="1623" customFormat="1" x14ac:dyDescent="0.2">
      <c r="B233" s="1631"/>
    </row>
    <row r="234" spans="2:2" s="1623" customFormat="1" x14ac:dyDescent="0.2">
      <c r="B234" s="1631"/>
    </row>
    <row r="235" spans="2:2" s="1623" customFormat="1" x14ac:dyDescent="0.2">
      <c r="B235" s="1631"/>
    </row>
    <row r="236" spans="2:2" s="1623" customFormat="1" x14ac:dyDescent="0.2">
      <c r="B236" s="1631"/>
    </row>
    <row r="237" spans="2:2" s="1623" customFormat="1" x14ac:dyDescent="0.2">
      <c r="B237" s="1631"/>
    </row>
    <row r="238" spans="2:2" s="1623" customFormat="1" x14ac:dyDescent="0.2">
      <c r="B238" s="1631"/>
    </row>
    <row r="239" spans="2:2" s="1623" customFormat="1" x14ac:dyDescent="0.2">
      <c r="B239" s="1631"/>
    </row>
    <row r="240" spans="2:2" s="1623" customFormat="1" x14ac:dyDescent="0.2">
      <c r="B240" s="1631"/>
    </row>
    <row r="241" spans="2:2" s="1623" customFormat="1" x14ac:dyDescent="0.2">
      <c r="B241" s="1631"/>
    </row>
    <row r="242" spans="2:2" s="1623" customFormat="1" x14ac:dyDescent="0.2">
      <c r="B242" s="1631"/>
    </row>
    <row r="243" spans="2:2" s="1623" customFormat="1" x14ac:dyDescent="0.2">
      <c r="B243" s="1631"/>
    </row>
    <row r="244" spans="2:2" s="1623" customFormat="1" x14ac:dyDescent="0.2">
      <c r="B244" s="1631"/>
    </row>
    <row r="245" spans="2:2" s="1623" customFormat="1" x14ac:dyDescent="0.2">
      <c r="B245" s="1631"/>
    </row>
    <row r="246" spans="2:2" s="1623" customFormat="1" x14ac:dyDescent="0.2">
      <c r="B246" s="1631"/>
    </row>
    <row r="247" spans="2:2" s="1623" customFormat="1" x14ac:dyDescent="0.2">
      <c r="B247" s="1631"/>
    </row>
    <row r="248" spans="2:2" s="1623" customFormat="1" x14ac:dyDescent="0.2">
      <c r="B248" s="1631"/>
    </row>
    <row r="249" spans="2:2" s="1623" customFormat="1" x14ac:dyDescent="0.2">
      <c r="B249" s="1631"/>
    </row>
    <row r="250" spans="2:2" s="1623" customFormat="1" x14ac:dyDescent="0.2">
      <c r="B250" s="1631"/>
    </row>
    <row r="251" spans="2:2" s="1623" customFormat="1" x14ac:dyDescent="0.2">
      <c r="B251" s="1631"/>
    </row>
    <row r="252" spans="2:2" s="1623" customFormat="1" x14ac:dyDescent="0.2">
      <c r="B252" s="1631"/>
    </row>
    <row r="253" spans="2:2" s="1623" customFormat="1" x14ac:dyDescent="0.2">
      <c r="B253" s="1631"/>
    </row>
    <row r="254" spans="2:2" s="1623" customFormat="1" x14ac:dyDescent="0.2">
      <c r="B254" s="1631"/>
    </row>
    <row r="255" spans="2:2" s="1623" customFormat="1" x14ac:dyDescent="0.2">
      <c r="B255" s="1631"/>
    </row>
    <row r="256" spans="2:2" s="1623" customFormat="1" x14ac:dyDescent="0.2">
      <c r="B256" s="1631"/>
    </row>
    <row r="257" spans="2:2" s="1623" customFormat="1" x14ac:dyDescent="0.2">
      <c r="B257" s="1631"/>
    </row>
    <row r="258" spans="2:2" s="1623" customFormat="1" x14ac:dyDescent="0.2">
      <c r="B258" s="1631"/>
    </row>
    <row r="259" spans="2:2" s="1623" customFormat="1" x14ac:dyDescent="0.2">
      <c r="B259" s="1631"/>
    </row>
    <row r="260" spans="2:2" s="1623" customFormat="1" x14ac:dyDescent="0.2">
      <c r="B260" s="1631"/>
    </row>
    <row r="261" spans="2:2" s="1623" customFormat="1" x14ac:dyDescent="0.2">
      <c r="B261" s="1631"/>
    </row>
    <row r="262" spans="2:2" s="1623" customFormat="1" x14ac:dyDescent="0.2">
      <c r="B262" s="1631"/>
    </row>
    <row r="263" spans="2:2" s="1623" customFormat="1" x14ac:dyDescent="0.2">
      <c r="B263" s="1631"/>
    </row>
    <row r="264" spans="2:2" s="1623" customFormat="1" x14ac:dyDescent="0.2">
      <c r="B264" s="1631"/>
    </row>
    <row r="265" spans="2:2" s="1623" customFormat="1" x14ac:dyDescent="0.2">
      <c r="B265" s="1631"/>
    </row>
    <row r="266" spans="2:2" s="1623" customFormat="1" x14ac:dyDescent="0.2">
      <c r="B266" s="1631"/>
    </row>
    <row r="267" spans="2:2" s="1623" customFormat="1" x14ac:dyDescent="0.2">
      <c r="B267" s="1631"/>
    </row>
    <row r="268" spans="2:2" s="1623" customFormat="1" x14ac:dyDescent="0.2">
      <c r="B268" s="1631"/>
    </row>
    <row r="269" spans="2:2" s="1623" customFormat="1" x14ac:dyDescent="0.2">
      <c r="B269" s="1631"/>
    </row>
    <row r="270" spans="2:2" s="1623" customFormat="1" x14ac:dyDescent="0.2">
      <c r="B270" s="1631"/>
    </row>
    <row r="271" spans="2:2" s="1623" customFormat="1" x14ac:dyDescent="0.2">
      <c r="B271" s="1631"/>
    </row>
    <row r="272" spans="2:2" s="1623" customFormat="1" x14ac:dyDescent="0.2">
      <c r="B272" s="1631"/>
    </row>
    <row r="273" spans="2:2" s="1623" customFormat="1" x14ac:dyDescent="0.2">
      <c r="B273" s="1631"/>
    </row>
    <row r="274" spans="2:2" s="1623" customFormat="1" x14ac:dyDescent="0.2">
      <c r="B274" s="1631"/>
    </row>
    <row r="275" spans="2:2" s="1623" customFormat="1" x14ac:dyDescent="0.2">
      <c r="B275" s="1631"/>
    </row>
    <row r="276" spans="2:2" s="1623" customFormat="1" x14ac:dyDescent="0.2">
      <c r="B276" s="1631"/>
    </row>
    <row r="277" spans="2:2" s="1623" customFormat="1" x14ac:dyDescent="0.2">
      <c r="B277" s="1631"/>
    </row>
    <row r="278" spans="2:2" s="1623" customFormat="1" x14ac:dyDescent="0.2">
      <c r="B278" s="1631"/>
    </row>
    <row r="279" spans="2:2" s="1623" customFormat="1" x14ac:dyDescent="0.2">
      <c r="B279" s="1631"/>
    </row>
    <row r="280" spans="2:2" s="1623" customFormat="1" x14ac:dyDescent="0.2">
      <c r="B280" s="1631"/>
    </row>
    <row r="281" spans="2:2" s="1623" customFormat="1" x14ac:dyDescent="0.2">
      <c r="B281" s="1631"/>
    </row>
    <row r="282" spans="2:2" s="1623" customFormat="1" x14ac:dyDescent="0.2">
      <c r="B282" s="1631"/>
    </row>
    <row r="283" spans="2:2" s="1623" customFormat="1" x14ac:dyDescent="0.2">
      <c r="B283" s="1631"/>
    </row>
    <row r="284" spans="2:2" s="1623" customFormat="1" x14ac:dyDescent="0.2">
      <c r="B284" s="1631"/>
    </row>
    <row r="285" spans="2:2" s="1623" customFormat="1" x14ac:dyDescent="0.2">
      <c r="B285" s="1631"/>
    </row>
    <row r="286" spans="2:2" s="1623" customFormat="1" x14ac:dyDescent="0.2">
      <c r="B286" s="1631"/>
    </row>
    <row r="287" spans="2:2" s="1623" customFormat="1" x14ac:dyDescent="0.2">
      <c r="B287" s="1631"/>
    </row>
    <row r="288" spans="2:2" s="1623" customFormat="1" x14ac:dyDescent="0.2">
      <c r="B288" s="1631"/>
    </row>
    <row r="289" spans="2:2" s="1623" customFormat="1" x14ac:dyDescent="0.2">
      <c r="B289" s="1631"/>
    </row>
    <row r="290" spans="2:2" s="1623" customFormat="1" x14ac:dyDescent="0.2">
      <c r="B290" s="1631"/>
    </row>
    <row r="291" spans="2:2" s="1623" customFormat="1" x14ac:dyDescent="0.2">
      <c r="B291" s="1631"/>
    </row>
    <row r="292" spans="2:2" s="1623" customFormat="1" x14ac:dyDescent="0.2">
      <c r="B292" s="1631"/>
    </row>
    <row r="293" spans="2:2" s="1623" customFormat="1" x14ac:dyDescent="0.2">
      <c r="B293" s="1631"/>
    </row>
    <row r="294" spans="2:2" s="1623" customFormat="1" x14ac:dyDescent="0.2">
      <c r="B294" s="1631"/>
    </row>
    <row r="295" spans="2:2" s="1623" customFormat="1" x14ac:dyDescent="0.2">
      <c r="B295" s="1631"/>
    </row>
    <row r="296" spans="2:2" s="1623" customFormat="1" x14ac:dyDescent="0.2">
      <c r="B296" s="1631"/>
    </row>
    <row r="297" spans="2:2" s="1623" customFormat="1" x14ac:dyDescent="0.2">
      <c r="B297" s="1631"/>
    </row>
    <row r="298" spans="2:2" s="1623" customFormat="1" x14ac:dyDescent="0.2">
      <c r="B298" s="1631"/>
    </row>
    <row r="299" spans="2:2" s="1623" customFormat="1" x14ac:dyDescent="0.2">
      <c r="B299" s="1631"/>
    </row>
    <row r="300" spans="2:2" s="1623" customFormat="1" x14ac:dyDescent="0.2">
      <c r="B300" s="1631"/>
    </row>
    <row r="301" spans="2:2" s="1623" customFormat="1" x14ac:dyDescent="0.2">
      <c r="B301" s="1631"/>
    </row>
    <row r="302" spans="2:2" s="1623" customFormat="1" x14ac:dyDescent="0.2">
      <c r="B302" s="1631"/>
    </row>
    <row r="303" spans="2:2" s="1623" customFormat="1" x14ac:dyDescent="0.2">
      <c r="B303" s="1631"/>
    </row>
    <row r="304" spans="2:2" s="1623" customFormat="1" x14ac:dyDescent="0.2">
      <c r="B304" s="1631"/>
    </row>
    <row r="305" spans="2:2" s="1623" customFormat="1" x14ac:dyDescent="0.2">
      <c r="B305" s="1631"/>
    </row>
    <row r="306" spans="2:2" s="1623" customFormat="1" x14ac:dyDescent="0.2">
      <c r="B306" s="1631"/>
    </row>
    <row r="307" spans="2:2" s="1623" customFormat="1" x14ac:dyDescent="0.2">
      <c r="B307" s="1631"/>
    </row>
    <row r="308" spans="2:2" s="1623" customFormat="1" x14ac:dyDescent="0.2">
      <c r="B308" s="1631"/>
    </row>
    <row r="309" spans="2:2" s="1623" customFormat="1" x14ac:dyDescent="0.2">
      <c r="B309" s="1631"/>
    </row>
    <row r="310" spans="2:2" s="1623" customFormat="1" x14ac:dyDescent="0.2">
      <c r="B310" s="1631"/>
    </row>
    <row r="311" spans="2:2" s="1623" customFormat="1" x14ac:dyDescent="0.2">
      <c r="B311" s="1631"/>
    </row>
    <row r="312" spans="2:2" s="1623" customFormat="1" x14ac:dyDescent="0.2">
      <c r="B312" s="1631"/>
    </row>
    <row r="313" spans="2:2" s="1623" customFormat="1" x14ac:dyDescent="0.2">
      <c r="B313" s="1631"/>
    </row>
    <row r="314" spans="2:2" s="1623" customFormat="1" x14ac:dyDescent="0.2">
      <c r="B314" s="1631"/>
    </row>
    <row r="315" spans="2:2" s="1623" customFormat="1" x14ac:dyDescent="0.2">
      <c r="B315" s="1631"/>
    </row>
    <row r="316" spans="2:2" s="1623" customFormat="1" x14ac:dyDescent="0.2">
      <c r="B316" s="1631"/>
    </row>
    <row r="317" spans="2:2" s="1623" customFormat="1" x14ac:dyDescent="0.2">
      <c r="B317" s="1631"/>
    </row>
    <row r="318" spans="2:2" s="1623" customFormat="1" x14ac:dyDescent="0.2">
      <c r="B318" s="1631"/>
    </row>
    <row r="319" spans="2:2" s="1623" customFormat="1" x14ac:dyDescent="0.2">
      <c r="B319" s="1631"/>
    </row>
    <row r="320" spans="2:2" s="1623" customFormat="1" x14ac:dyDescent="0.2">
      <c r="B320" s="1631"/>
    </row>
    <row r="321" spans="2:2" s="1623" customFormat="1" x14ac:dyDescent="0.2">
      <c r="B321" s="1631"/>
    </row>
    <row r="322" spans="2:2" s="1623" customFormat="1" x14ac:dyDescent="0.2">
      <c r="B322" s="1631"/>
    </row>
    <row r="323" spans="2:2" s="1623" customFormat="1" x14ac:dyDescent="0.2">
      <c r="B323" s="1631"/>
    </row>
    <row r="324" spans="2:2" s="1623" customFormat="1" x14ac:dyDescent="0.2">
      <c r="B324" s="1631"/>
    </row>
    <row r="325" spans="2:2" s="1623" customFormat="1" x14ac:dyDescent="0.2">
      <c r="B325" s="1631"/>
    </row>
    <row r="326" spans="2:2" s="1623" customFormat="1" x14ac:dyDescent="0.2">
      <c r="B326" s="1631"/>
    </row>
    <row r="327" spans="2:2" s="1623" customFormat="1" x14ac:dyDescent="0.2">
      <c r="B327" s="1631"/>
    </row>
    <row r="328" spans="2:2" s="1623" customFormat="1" x14ac:dyDescent="0.2">
      <c r="B328" s="1631"/>
    </row>
    <row r="329" spans="2:2" s="1623" customFormat="1" x14ac:dyDescent="0.2">
      <c r="B329" s="1631"/>
    </row>
    <row r="330" spans="2:2" s="1623" customFormat="1" x14ac:dyDescent="0.2">
      <c r="B330" s="1631"/>
    </row>
    <row r="331" spans="2:2" s="1623" customFormat="1" x14ac:dyDescent="0.2">
      <c r="B331" s="1631"/>
    </row>
    <row r="332" spans="2:2" s="1623" customFormat="1" x14ac:dyDescent="0.2">
      <c r="B332" s="1631"/>
    </row>
    <row r="333" spans="2:2" s="1623" customFormat="1" x14ac:dyDescent="0.2">
      <c r="B333" s="1631"/>
    </row>
    <row r="334" spans="2:2" s="1623" customFormat="1" x14ac:dyDescent="0.2">
      <c r="B334" s="1631"/>
    </row>
    <row r="335" spans="2:2" s="1623" customFormat="1" x14ac:dyDescent="0.2">
      <c r="B335" s="1631"/>
    </row>
    <row r="336" spans="2:2" s="1623" customFormat="1" x14ac:dyDescent="0.2">
      <c r="B336" s="1631"/>
    </row>
    <row r="337" spans="2:2" s="1623" customFormat="1" x14ac:dyDescent="0.2">
      <c r="B337" s="1631"/>
    </row>
    <row r="338" spans="2:2" s="1623" customFormat="1" x14ac:dyDescent="0.2">
      <c r="B338" s="1631"/>
    </row>
    <row r="339" spans="2:2" s="1623" customFormat="1" x14ac:dyDescent="0.2">
      <c r="B339" s="1631"/>
    </row>
    <row r="340" spans="2:2" s="1623" customFormat="1" x14ac:dyDescent="0.2">
      <c r="B340" s="1631"/>
    </row>
    <row r="341" spans="2:2" s="1623" customFormat="1" x14ac:dyDescent="0.2">
      <c r="B341" s="1631"/>
    </row>
    <row r="342" spans="2:2" s="1623" customFormat="1" x14ac:dyDescent="0.2">
      <c r="B342" s="1631"/>
    </row>
    <row r="343" spans="2:2" s="1623" customFormat="1" x14ac:dyDescent="0.2">
      <c r="B343" s="1631"/>
    </row>
    <row r="344" spans="2:2" s="1623" customFormat="1" x14ac:dyDescent="0.2">
      <c r="B344" s="1631"/>
    </row>
    <row r="345" spans="2:2" s="1623" customFormat="1" x14ac:dyDescent="0.2">
      <c r="B345" s="1631"/>
    </row>
    <row r="346" spans="2:2" s="1623" customFormat="1" x14ac:dyDescent="0.2">
      <c r="B346" s="1631"/>
    </row>
    <row r="347" spans="2:2" s="1623" customFormat="1" x14ac:dyDescent="0.2">
      <c r="B347" s="1631"/>
    </row>
    <row r="348" spans="2:2" s="1623" customFormat="1" x14ac:dyDescent="0.2">
      <c r="B348" s="1631"/>
    </row>
    <row r="349" spans="2:2" s="1623" customFormat="1" x14ac:dyDescent="0.2">
      <c r="B349" s="1631"/>
    </row>
    <row r="350" spans="2:2" s="1623" customFormat="1" x14ac:dyDescent="0.2">
      <c r="B350" s="1631"/>
    </row>
    <row r="351" spans="2:2" s="1623" customFormat="1" x14ac:dyDescent="0.2">
      <c r="B351" s="1631"/>
    </row>
    <row r="352" spans="2:2" s="1623" customFormat="1" x14ac:dyDescent="0.2">
      <c r="B352" s="1631"/>
    </row>
    <row r="353" spans="2:2" s="1623" customFormat="1" x14ac:dyDescent="0.2">
      <c r="B353" s="1631"/>
    </row>
    <row r="354" spans="2:2" s="1623" customFormat="1" x14ac:dyDescent="0.2">
      <c r="B354" s="1631"/>
    </row>
    <row r="355" spans="2:2" s="1623" customFormat="1" x14ac:dyDescent="0.2">
      <c r="B355" s="1631"/>
    </row>
    <row r="356" spans="2:2" s="1623" customFormat="1" x14ac:dyDescent="0.2">
      <c r="B356" s="1631"/>
    </row>
    <row r="357" spans="2:2" s="1623" customFormat="1" x14ac:dyDescent="0.2">
      <c r="B357" s="1631"/>
    </row>
    <row r="358" spans="2:2" s="1623" customFormat="1" x14ac:dyDescent="0.2">
      <c r="B358" s="1631"/>
    </row>
    <row r="359" spans="2:2" s="1623" customFormat="1" x14ac:dyDescent="0.2">
      <c r="B359" s="1631"/>
    </row>
    <row r="360" spans="2:2" s="1623" customFormat="1" x14ac:dyDescent="0.2">
      <c r="B360" s="1631"/>
    </row>
    <row r="361" spans="2:2" s="1623" customFormat="1" x14ac:dyDescent="0.2">
      <c r="B361" s="1631"/>
    </row>
    <row r="362" spans="2:2" s="1623" customFormat="1" x14ac:dyDescent="0.2">
      <c r="B362" s="1631"/>
    </row>
    <row r="363" spans="2:2" s="1623" customFormat="1" x14ac:dyDescent="0.2">
      <c r="B363" s="1631"/>
    </row>
    <row r="364" spans="2:2" s="1623" customFormat="1" x14ac:dyDescent="0.2">
      <c r="B364" s="1631"/>
    </row>
    <row r="365" spans="2:2" s="1623" customFormat="1" x14ac:dyDescent="0.2">
      <c r="B365" s="1631"/>
    </row>
    <row r="366" spans="2:2" s="1623" customFormat="1" x14ac:dyDescent="0.2">
      <c r="B366" s="1631"/>
    </row>
    <row r="367" spans="2:2" s="1623" customFormat="1" x14ac:dyDescent="0.2">
      <c r="B367" s="1631"/>
    </row>
    <row r="368" spans="2:2" s="1623" customFormat="1" x14ac:dyDescent="0.2">
      <c r="B368" s="1631"/>
    </row>
    <row r="369" spans="2:2" s="1623" customFormat="1" x14ac:dyDescent="0.2">
      <c r="B369" s="1631"/>
    </row>
    <row r="370" spans="2:2" s="1623" customFormat="1" x14ac:dyDescent="0.2">
      <c r="B370" s="1631"/>
    </row>
    <row r="371" spans="2:2" s="1623" customFormat="1" x14ac:dyDescent="0.2">
      <c r="B371" s="1631"/>
    </row>
    <row r="372" spans="2:2" s="1623" customFormat="1" x14ac:dyDescent="0.2">
      <c r="B372" s="1631"/>
    </row>
    <row r="373" spans="2:2" s="1623" customFormat="1" x14ac:dyDescent="0.2">
      <c r="B373" s="1631"/>
    </row>
    <row r="374" spans="2:2" s="1623" customFormat="1" x14ac:dyDescent="0.2">
      <c r="B374" s="1631"/>
    </row>
    <row r="375" spans="2:2" s="1623" customFormat="1" x14ac:dyDescent="0.2">
      <c r="B375" s="1631"/>
    </row>
    <row r="376" spans="2:2" s="1623" customFormat="1" x14ac:dyDescent="0.2">
      <c r="B376" s="1631"/>
    </row>
    <row r="377" spans="2:2" s="1623" customFormat="1" x14ac:dyDescent="0.2">
      <c r="B377" s="1631"/>
    </row>
    <row r="378" spans="2:2" s="1623" customFormat="1" x14ac:dyDescent="0.2">
      <c r="B378" s="1631"/>
    </row>
    <row r="379" spans="2:2" s="1623" customFormat="1" x14ac:dyDescent="0.2">
      <c r="B379" s="1631"/>
    </row>
    <row r="380" spans="2:2" s="1623" customFormat="1" x14ac:dyDescent="0.2">
      <c r="B380" s="1631"/>
    </row>
    <row r="381" spans="2:2" s="1623" customFormat="1" x14ac:dyDescent="0.2">
      <c r="B381" s="1631"/>
    </row>
    <row r="382" spans="2:2" s="1623" customFormat="1" x14ac:dyDescent="0.2">
      <c r="B382" s="1631"/>
    </row>
    <row r="383" spans="2:2" s="1623" customFormat="1" x14ac:dyDescent="0.2">
      <c r="B383" s="1631"/>
    </row>
    <row r="384" spans="2:2" s="1623" customFormat="1" x14ac:dyDescent="0.2">
      <c r="B384" s="1631"/>
    </row>
    <row r="385" spans="2:2" s="1623" customFormat="1" x14ac:dyDescent="0.2">
      <c r="B385" s="1631"/>
    </row>
    <row r="386" spans="2:2" s="1623" customFormat="1" x14ac:dyDescent="0.2">
      <c r="B386" s="1631"/>
    </row>
    <row r="387" spans="2:2" s="1623" customFormat="1" x14ac:dyDescent="0.2">
      <c r="B387" s="1631"/>
    </row>
    <row r="388" spans="2:2" s="1623" customFormat="1" x14ac:dyDescent="0.2">
      <c r="B388" s="1631"/>
    </row>
    <row r="389" spans="2:2" s="1623" customFormat="1" x14ac:dyDescent="0.2">
      <c r="B389" s="1631"/>
    </row>
    <row r="390" spans="2:2" s="1623" customFormat="1" x14ac:dyDescent="0.2">
      <c r="B390" s="1631"/>
    </row>
    <row r="391" spans="2:2" s="1623" customFormat="1" x14ac:dyDescent="0.2">
      <c r="B391" s="1631"/>
    </row>
    <row r="392" spans="2:2" s="1623" customFormat="1" x14ac:dyDescent="0.2">
      <c r="B392" s="1631"/>
    </row>
    <row r="393" spans="2:2" s="1623" customFormat="1" x14ac:dyDescent="0.2">
      <c r="B393" s="1631"/>
    </row>
    <row r="394" spans="2:2" s="1623" customFormat="1" x14ac:dyDescent="0.2">
      <c r="B394" s="1631"/>
    </row>
    <row r="395" spans="2:2" s="1623" customFormat="1" x14ac:dyDescent="0.2">
      <c r="B395" s="1631"/>
    </row>
    <row r="396" spans="2:2" s="1623" customFormat="1" x14ac:dyDescent="0.2">
      <c r="B396" s="1631"/>
    </row>
    <row r="397" spans="2:2" s="1623" customFormat="1" x14ac:dyDescent="0.2">
      <c r="B397" s="1631"/>
    </row>
    <row r="398" spans="2:2" s="1623" customFormat="1" x14ac:dyDescent="0.2">
      <c r="B398" s="1631"/>
    </row>
    <row r="399" spans="2:2" s="1623" customFormat="1" x14ac:dyDescent="0.2">
      <c r="B399" s="1631"/>
    </row>
    <row r="400" spans="2:2" s="1623" customFormat="1" x14ac:dyDescent="0.2">
      <c r="B400" s="1631"/>
    </row>
    <row r="401" spans="2:2" s="1623" customFormat="1" x14ac:dyDescent="0.2">
      <c r="B401" s="1631"/>
    </row>
    <row r="402" spans="2:2" s="1623" customFormat="1" x14ac:dyDescent="0.2">
      <c r="B402" s="1631"/>
    </row>
    <row r="403" spans="2:2" s="1623" customFormat="1" x14ac:dyDescent="0.2">
      <c r="B403" s="1631"/>
    </row>
    <row r="404" spans="2:2" s="1623" customFormat="1" x14ac:dyDescent="0.2">
      <c r="B404" s="1631"/>
    </row>
    <row r="405" spans="2:2" s="1623" customFormat="1" x14ac:dyDescent="0.2">
      <c r="B405" s="1631"/>
    </row>
    <row r="406" spans="2:2" s="1623" customFormat="1" x14ac:dyDescent="0.2">
      <c r="B406" s="1631"/>
    </row>
    <row r="407" spans="2:2" s="1623" customFormat="1" x14ac:dyDescent="0.2">
      <c r="B407" s="1631"/>
    </row>
    <row r="408" spans="2:2" s="1623" customFormat="1" x14ac:dyDescent="0.2">
      <c r="B408" s="1631"/>
    </row>
    <row r="409" spans="2:2" s="1623" customFormat="1" x14ac:dyDescent="0.2">
      <c r="B409" s="1631"/>
    </row>
    <row r="410" spans="2:2" s="1623" customFormat="1" x14ac:dyDescent="0.2">
      <c r="B410" s="1631"/>
    </row>
    <row r="411" spans="2:2" s="1623" customFormat="1" x14ac:dyDescent="0.2">
      <c r="B411" s="1631"/>
    </row>
    <row r="412" spans="2:2" s="1623" customFormat="1" x14ac:dyDescent="0.2">
      <c r="B412" s="1631"/>
    </row>
    <row r="413" spans="2:2" s="1623" customFormat="1" x14ac:dyDescent="0.2">
      <c r="B413" s="1631"/>
    </row>
    <row r="414" spans="2:2" s="1623" customFormat="1" x14ac:dyDescent="0.2">
      <c r="B414" s="1631"/>
    </row>
    <row r="415" spans="2:2" s="1623" customFormat="1" x14ac:dyDescent="0.2">
      <c r="B415" s="1631"/>
    </row>
    <row r="416" spans="2:2" s="1623" customFormat="1" x14ac:dyDescent="0.2">
      <c r="B416" s="1631"/>
    </row>
    <row r="417" spans="2:2" s="1623" customFormat="1" x14ac:dyDescent="0.2">
      <c r="B417" s="1631"/>
    </row>
    <row r="418" spans="2:2" s="1623" customFormat="1" x14ac:dyDescent="0.2">
      <c r="B418" s="1631"/>
    </row>
    <row r="419" spans="2:2" s="1623" customFormat="1" x14ac:dyDescent="0.2">
      <c r="B419" s="1631"/>
    </row>
    <row r="420" spans="2:2" s="1623" customFormat="1" x14ac:dyDescent="0.2">
      <c r="B420" s="1631"/>
    </row>
    <row r="421" spans="2:2" s="1623" customFormat="1" x14ac:dyDescent="0.2">
      <c r="B421" s="1631"/>
    </row>
    <row r="422" spans="2:2" s="1623" customFormat="1" x14ac:dyDescent="0.2">
      <c r="B422" s="1631"/>
    </row>
    <row r="423" spans="2:2" s="1623" customFormat="1" x14ac:dyDescent="0.2">
      <c r="B423" s="1631"/>
    </row>
    <row r="424" spans="2:2" s="1623" customFormat="1" x14ac:dyDescent="0.2">
      <c r="B424" s="1631"/>
    </row>
    <row r="425" spans="2:2" s="1623" customFormat="1" x14ac:dyDescent="0.2">
      <c r="B425" s="1631"/>
    </row>
    <row r="426" spans="2:2" s="1623" customFormat="1" x14ac:dyDescent="0.2">
      <c r="B426" s="1631"/>
    </row>
    <row r="427" spans="2:2" s="1623" customFormat="1" x14ac:dyDescent="0.2">
      <c r="B427" s="1631"/>
    </row>
    <row r="428" spans="2:2" s="1623" customFormat="1" x14ac:dyDescent="0.2">
      <c r="B428" s="1631"/>
    </row>
    <row r="429" spans="2:2" s="1623" customFormat="1" x14ac:dyDescent="0.2">
      <c r="B429" s="1631"/>
    </row>
    <row r="430" spans="2:2" s="1623" customFormat="1" x14ac:dyDescent="0.2">
      <c r="B430" s="1631"/>
    </row>
    <row r="431" spans="2:2" s="1623" customFormat="1" x14ac:dyDescent="0.2">
      <c r="B431" s="1631"/>
    </row>
    <row r="432" spans="2:2" s="1623" customFormat="1" x14ac:dyDescent="0.2">
      <c r="B432" s="1631"/>
    </row>
    <row r="433" spans="2:2" s="1623" customFormat="1" x14ac:dyDescent="0.2">
      <c r="B433" s="1631"/>
    </row>
    <row r="434" spans="2:2" s="1623" customFormat="1" x14ac:dyDescent="0.2">
      <c r="B434" s="1631"/>
    </row>
    <row r="435" spans="2:2" s="1623" customFormat="1" x14ac:dyDescent="0.2">
      <c r="B435" s="1631"/>
    </row>
    <row r="436" spans="2:2" s="1623" customFormat="1" x14ac:dyDescent="0.2">
      <c r="B436" s="1631"/>
    </row>
    <row r="437" spans="2:2" s="1623" customFormat="1" x14ac:dyDescent="0.2">
      <c r="B437" s="1631"/>
    </row>
    <row r="438" spans="2:2" s="1623" customFormat="1" x14ac:dyDescent="0.2">
      <c r="B438" s="1631"/>
    </row>
    <row r="439" spans="2:2" s="1623" customFormat="1" x14ac:dyDescent="0.2">
      <c r="B439" s="1631"/>
    </row>
    <row r="440" spans="2:2" s="1623" customFormat="1" x14ac:dyDescent="0.2">
      <c r="B440" s="1631"/>
    </row>
    <row r="441" spans="2:2" s="1623" customFormat="1" x14ac:dyDescent="0.2">
      <c r="B441" s="1631"/>
    </row>
    <row r="442" spans="2:2" s="1623" customFormat="1" x14ac:dyDescent="0.2">
      <c r="B442" s="1631"/>
    </row>
    <row r="443" spans="2:2" s="1623" customFormat="1" x14ac:dyDescent="0.2">
      <c r="B443" s="1631"/>
    </row>
    <row r="444" spans="2:2" s="1623" customFormat="1" x14ac:dyDescent="0.2">
      <c r="B444" s="1631"/>
    </row>
    <row r="445" spans="2:2" s="1623" customFormat="1" x14ac:dyDescent="0.2">
      <c r="B445" s="1631"/>
    </row>
    <row r="446" spans="2:2" s="1623" customFormat="1" x14ac:dyDescent="0.2">
      <c r="B446" s="1631"/>
    </row>
    <row r="447" spans="2:2" s="1623" customFormat="1" x14ac:dyDescent="0.2">
      <c r="B447" s="1631"/>
    </row>
    <row r="448" spans="2:2" s="1623" customFormat="1" x14ac:dyDescent="0.2">
      <c r="B448" s="1631"/>
    </row>
    <row r="449" spans="2:2" s="1623" customFormat="1" x14ac:dyDescent="0.2">
      <c r="B449" s="1631"/>
    </row>
    <row r="450" spans="2:2" s="1623" customFormat="1" x14ac:dyDescent="0.2">
      <c r="B450" s="1631"/>
    </row>
    <row r="451" spans="2:2" s="1623" customFormat="1" x14ac:dyDescent="0.2">
      <c r="B451" s="1631"/>
    </row>
    <row r="452" spans="2:2" s="1623" customFormat="1" x14ac:dyDescent="0.2">
      <c r="B452" s="1631"/>
    </row>
    <row r="453" spans="2:2" s="1623" customFormat="1" x14ac:dyDescent="0.2">
      <c r="B453" s="1631"/>
    </row>
    <row r="454" spans="2:2" s="1623" customFormat="1" x14ac:dyDescent="0.2">
      <c r="B454" s="1631"/>
    </row>
    <row r="455" spans="2:2" s="1623" customFormat="1" x14ac:dyDescent="0.2">
      <c r="B455" s="1631"/>
    </row>
    <row r="456" spans="2:2" s="1623" customFormat="1" x14ac:dyDescent="0.2">
      <c r="B456" s="1631"/>
    </row>
    <row r="457" spans="2:2" s="1623" customFormat="1" x14ac:dyDescent="0.2">
      <c r="B457" s="1631"/>
    </row>
    <row r="458" spans="2:2" s="1623" customFormat="1" x14ac:dyDescent="0.2">
      <c r="B458" s="1631"/>
    </row>
    <row r="459" spans="2:2" s="1623" customFormat="1" x14ac:dyDescent="0.2">
      <c r="B459" s="1631"/>
    </row>
    <row r="460" spans="2:2" s="1623" customFormat="1" x14ac:dyDescent="0.2">
      <c r="B460" s="1631"/>
    </row>
    <row r="461" spans="2:2" s="1623" customFormat="1" x14ac:dyDescent="0.2">
      <c r="B461" s="1631"/>
    </row>
    <row r="462" spans="2:2" s="1623" customFormat="1" x14ac:dyDescent="0.2">
      <c r="B462" s="1631"/>
    </row>
    <row r="463" spans="2:2" s="1623" customFormat="1" x14ac:dyDescent="0.2">
      <c r="B463" s="1631"/>
    </row>
    <row r="464" spans="2:2" s="1623" customFormat="1" x14ac:dyDescent="0.2">
      <c r="B464" s="1631"/>
    </row>
    <row r="465" spans="2:2" s="1623" customFormat="1" x14ac:dyDescent="0.2">
      <c r="B465" s="1631"/>
    </row>
    <row r="466" spans="2:2" s="1623" customFormat="1" x14ac:dyDescent="0.2">
      <c r="B466" s="1631"/>
    </row>
    <row r="467" spans="2:2" s="1623" customFormat="1" x14ac:dyDescent="0.2">
      <c r="B467" s="1631"/>
    </row>
    <row r="468" spans="2:2" s="1623" customFormat="1" x14ac:dyDescent="0.2">
      <c r="B468" s="1631"/>
    </row>
    <row r="469" spans="2:2" s="1623" customFormat="1" x14ac:dyDescent="0.2">
      <c r="B469" s="1631"/>
    </row>
    <row r="470" spans="2:2" s="1623" customFormat="1" x14ac:dyDescent="0.2">
      <c r="B470" s="1631"/>
    </row>
    <row r="471" spans="2:2" s="1623" customFormat="1" x14ac:dyDescent="0.2">
      <c r="B471" s="1631"/>
    </row>
    <row r="472" spans="2:2" s="1623" customFormat="1" x14ac:dyDescent="0.2">
      <c r="B472" s="1631"/>
    </row>
    <row r="473" spans="2:2" s="1623" customFormat="1" x14ac:dyDescent="0.2">
      <c r="B473" s="1631"/>
    </row>
    <row r="474" spans="2:2" s="1623" customFormat="1" x14ac:dyDescent="0.2">
      <c r="B474" s="1631"/>
    </row>
    <row r="475" spans="2:2" s="1623" customFormat="1" x14ac:dyDescent="0.2">
      <c r="B475" s="1631"/>
    </row>
    <row r="476" spans="2:2" s="1623" customFormat="1" x14ac:dyDescent="0.2">
      <c r="B476" s="1631"/>
    </row>
    <row r="477" spans="2:2" s="1623" customFormat="1" x14ac:dyDescent="0.2">
      <c r="B477" s="1631"/>
    </row>
    <row r="478" spans="2:2" s="1623" customFormat="1" x14ac:dyDescent="0.2">
      <c r="B478" s="1631"/>
    </row>
    <row r="479" spans="2:2" s="1623" customFormat="1" x14ac:dyDescent="0.2">
      <c r="B479" s="1631"/>
    </row>
    <row r="480" spans="2:2" s="1623" customFormat="1" x14ac:dyDescent="0.2">
      <c r="B480" s="1631"/>
    </row>
    <row r="481" spans="2:2" s="1623" customFormat="1" x14ac:dyDescent="0.2">
      <c r="B481" s="1631"/>
    </row>
    <row r="482" spans="2:2" s="1623" customFormat="1" x14ac:dyDescent="0.2">
      <c r="B482" s="1631"/>
    </row>
    <row r="483" spans="2:2" s="1623" customFormat="1" x14ac:dyDescent="0.2">
      <c r="B483" s="1631"/>
    </row>
    <row r="484" spans="2:2" s="1623" customFormat="1" x14ac:dyDescent="0.2">
      <c r="B484" s="1631"/>
    </row>
    <row r="485" spans="2:2" s="1623" customFormat="1" x14ac:dyDescent="0.2">
      <c r="B485" s="1631"/>
    </row>
    <row r="486" spans="2:2" s="1623" customFormat="1" x14ac:dyDescent="0.2">
      <c r="B486" s="1631"/>
    </row>
    <row r="487" spans="2:2" s="1623" customFormat="1" x14ac:dyDescent="0.2">
      <c r="B487" s="1631"/>
    </row>
    <row r="488" spans="2:2" s="1623" customFormat="1" x14ac:dyDescent="0.2">
      <c r="B488" s="1631"/>
    </row>
    <row r="489" spans="2:2" s="1623" customFormat="1" x14ac:dyDescent="0.2">
      <c r="B489" s="1631"/>
    </row>
    <row r="490" spans="2:2" s="1623" customFormat="1" x14ac:dyDescent="0.2">
      <c r="B490" s="1631"/>
    </row>
    <row r="491" spans="2:2" s="1623" customFormat="1" x14ac:dyDescent="0.2">
      <c r="B491" s="1631"/>
    </row>
    <row r="492" spans="2:2" s="1623" customFormat="1" x14ac:dyDescent="0.2">
      <c r="B492" s="1631"/>
    </row>
    <row r="493" spans="2:2" s="1623" customFormat="1" x14ac:dyDescent="0.2">
      <c r="B493" s="1631"/>
    </row>
    <row r="494" spans="2:2" s="1623" customFormat="1" x14ac:dyDescent="0.2">
      <c r="B494" s="1631"/>
    </row>
    <row r="495" spans="2:2" s="1623" customFormat="1" x14ac:dyDescent="0.2">
      <c r="B495" s="1631"/>
    </row>
    <row r="496" spans="2:2" s="1623" customFormat="1" x14ac:dyDescent="0.2">
      <c r="B496" s="1631"/>
    </row>
    <row r="497" spans="2:2" s="1623" customFormat="1" x14ac:dyDescent="0.2">
      <c r="B497" s="1631"/>
    </row>
    <row r="498" spans="2:2" s="1623" customFormat="1" x14ac:dyDescent="0.2">
      <c r="B498" s="1631"/>
    </row>
    <row r="499" spans="2:2" s="1623" customFormat="1" x14ac:dyDescent="0.2">
      <c r="B499" s="1631"/>
    </row>
    <row r="500" spans="2:2" s="1623" customFormat="1" x14ac:dyDescent="0.2">
      <c r="B500" s="1631"/>
    </row>
    <row r="501" spans="2:2" s="1623" customFormat="1" x14ac:dyDescent="0.2">
      <c r="B501" s="1631"/>
    </row>
    <row r="502" spans="2:2" s="1623" customFormat="1" x14ac:dyDescent="0.2">
      <c r="B502" s="1631"/>
    </row>
    <row r="503" spans="2:2" s="1623" customFormat="1" x14ac:dyDescent="0.2">
      <c r="B503" s="1631"/>
    </row>
    <row r="504" spans="2:2" s="1623" customFormat="1" x14ac:dyDescent="0.2">
      <c r="B504" s="1631"/>
    </row>
    <row r="505" spans="2:2" s="1623" customFormat="1" x14ac:dyDescent="0.2">
      <c r="B505" s="1631"/>
    </row>
    <row r="506" spans="2:2" s="1623" customFormat="1" x14ac:dyDescent="0.2">
      <c r="B506" s="1631"/>
    </row>
    <row r="507" spans="2:2" s="1623" customFormat="1" x14ac:dyDescent="0.2">
      <c r="B507" s="1631"/>
    </row>
    <row r="508" spans="2:2" s="1623" customFormat="1" x14ac:dyDescent="0.2">
      <c r="B508" s="1631"/>
    </row>
    <row r="509" spans="2:2" s="1623" customFormat="1" x14ac:dyDescent="0.2">
      <c r="B509" s="1631"/>
    </row>
    <row r="510" spans="2:2" s="1623" customFormat="1" x14ac:dyDescent="0.2">
      <c r="B510" s="1631"/>
    </row>
    <row r="511" spans="2:2" s="1623" customFormat="1" x14ac:dyDescent="0.2">
      <c r="B511" s="1631"/>
    </row>
    <row r="512" spans="2:2" s="1623" customFormat="1" x14ac:dyDescent="0.2">
      <c r="B512" s="1631"/>
    </row>
    <row r="513" spans="2:2" s="1623" customFormat="1" x14ac:dyDescent="0.2">
      <c r="B513" s="1631"/>
    </row>
    <row r="514" spans="2:2" s="1623" customFormat="1" x14ac:dyDescent="0.2">
      <c r="B514" s="1631"/>
    </row>
    <row r="515" spans="2:2" s="1623" customFormat="1" x14ac:dyDescent="0.2">
      <c r="B515" s="1631"/>
    </row>
    <row r="516" spans="2:2" s="1623" customFormat="1" x14ac:dyDescent="0.2">
      <c r="B516" s="1631"/>
    </row>
    <row r="517" spans="2:2" s="1623" customFormat="1" x14ac:dyDescent="0.2">
      <c r="B517" s="1631"/>
    </row>
    <row r="518" spans="2:2" s="1623" customFormat="1" x14ac:dyDescent="0.2">
      <c r="B518" s="1631"/>
    </row>
    <row r="519" spans="2:2" s="1623" customFormat="1" x14ac:dyDescent="0.2">
      <c r="B519" s="1631"/>
    </row>
    <row r="520" spans="2:2" s="1623" customFormat="1" x14ac:dyDescent="0.2">
      <c r="B520" s="1631"/>
    </row>
    <row r="521" spans="2:2" s="1623" customFormat="1" x14ac:dyDescent="0.2">
      <c r="B521" s="1631"/>
    </row>
    <row r="522" spans="2:2" s="1623" customFormat="1" x14ac:dyDescent="0.2">
      <c r="B522" s="1631"/>
    </row>
    <row r="523" spans="2:2" s="1623" customFormat="1" x14ac:dyDescent="0.2">
      <c r="B523" s="1631"/>
    </row>
    <row r="524" spans="2:2" s="1623" customFormat="1" x14ac:dyDescent="0.2">
      <c r="B524" s="1631"/>
    </row>
    <row r="525" spans="2:2" s="1623" customFormat="1" x14ac:dyDescent="0.2">
      <c r="B525" s="1631"/>
    </row>
    <row r="526" spans="2:2" s="1623" customFormat="1" x14ac:dyDescent="0.2">
      <c r="B526" s="1631"/>
    </row>
    <row r="527" spans="2:2" s="1623" customFormat="1" x14ac:dyDescent="0.2">
      <c r="B527" s="1631"/>
    </row>
    <row r="528" spans="2:2" s="1623" customFormat="1" x14ac:dyDescent="0.2">
      <c r="B528" s="1631"/>
    </row>
    <row r="529" spans="2:2" s="1623" customFormat="1" x14ac:dyDescent="0.2">
      <c r="B529" s="1631"/>
    </row>
    <row r="530" spans="2:2" s="1623" customFormat="1" x14ac:dyDescent="0.2">
      <c r="B530" s="1631"/>
    </row>
    <row r="531" spans="2:2" s="1623" customFormat="1" x14ac:dyDescent="0.2">
      <c r="B531" s="1631"/>
    </row>
    <row r="532" spans="2:2" s="1623" customFormat="1" x14ac:dyDescent="0.2">
      <c r="B532" s="1631"/>
    </row>
    <row r="533" spans="2:2" s="1623" customFormat="1" x14ac:dyDescent="0.2">
      <c r="B533" s="1631"/>
    </row>
    <row r="534" spans="2:2" s="1623" customFormat="1" x14ac:dyDescent="0.2">
      <c r="B534" s="1631"/>
    </row>
    <row r="535" spans="2:2" s="1623" customFormat="1" x14ac:dyDescent="0.2">
      <c r="B535" s="1631"/>
    </row>
    <row r="536" spans="2:2" s="1623" customFormat="1" x14ac:dyDescent="0.2">
      <c r="B536" s="1631"/>
    </row>
    <row r="537" spans="2:2" s="1623" customFormat="1" x14ac:dyDescent="0.2">
      <c r="B537" s="1631"/>
    </row>
    <row r="538" spans="2:2" s="1623" customFormat="1" x14ac:dyDescent="0.2">
      <c r="B538" s="1631"/>
    </row>
    <row r="539" spans="2:2" s="1623" customFormat="1" x14ac:dyDescent="0.2">
      <c r="B539" s="1631"/>
    </row>
    <row r="540" spans="2:2" s="1623" customFormat="1" x14ac:dyDescent="0.2">
      <c r="B540" s="1631"/>
    </row>
    <row r="541" spans="2:2" s="1623" customFormat="1" x14ac:dyDescent="0.2">
      <c r="B541" s="1631"/>
    </row>
    <row r="542" spans="2:2" s="1623" customFormat="1" x14ac:dyDescent="0.2">
      <c r="B542" s="1631"/>
    </row>
    <row r="543" spans="2:2" s="1623" customFormat="1" x14ac:dyDescent="0.2">
      <c r="B543" s="1631"/>
    </row>
    <row r="544" spans="2:2" s="1623" customFormat="1" x14ac:dyDescent="0.2">
      <c r="B544" s="1631"/>
    </row>
    <row r="545" spans="2:2" s="1623" customFormat="1" x14ac:dyDescent="0.2">
      <c r="B545" s="1631"/>
    </row>
    <row r="546" spans="2:2" s="1623" customFormat="1" x14ac:dyDescent="0.2">
      <c r="B546" s="1631"/>
    </row>
    <row r="547" spans="2:2" s="1623" customFormat="1" x14ac:dyDescent="0.2">
      <c r="B547" s="1631"/>
    </row>
    <row r="548" spans="2:2" s="1623" customFormat="1" x14ac:dyDescent="0.2">
      <c r="B548" s="1631"/>
    </row>
    <row r="549" spans="2:2" s="1623" customFormat="1" x14ac:dyDescent="0.2">
      <c r="B549" s="1631"/>
    </row>
    <row r="550" spans="2:2" s="1623" customFormat="1" x14ac:dyDescent="0.2">
      <c r="B550" s="1631"/>
    </row>
    <row r="551" spans="2:2" s="1623" customFormat="1" x14ac:dyDescent="0.2">
      <c r="B551" s="1631"/>
    </row>
    <row r="552" spans="2:2" s="1623" customFormat="1" x14ac:dyDescent="0.2">
      <c r="B552" s="1631"/>
    </row>
    <row r="553" spans="2:2" s="1623" customFormat="1" x14ac:dyDescent="0.2">
      <c r="B553" s="1631"/>
    </row>
    <row r="554" spans="2:2" s="1623" customFormat="1" x14ac:dyDescent="0.2">
      <c r="B554" s="1631"/>
    </row>
    <row r="555" spans="2:2" s="1623" customFormat="1" x14ac:dyDescent="0.2">
      <c r="B555" s="1631"/>
    </row>
    <row r="556" spans="2:2" s="1623" customFormat="1" x14ac:dyDescent="0.2">
      <c r="B556" s="1631"/>
    </row>
    <row r="557" spans="2:2" s="1623" customFormat="1" x14ac:dyDescent="0.2">
      <c r="B557" s="1631"/>
    </row>
    <row r="558" spans="2:2" s="1623" customFormat="1" x14ac:dyDescent="0.2">
      <c r="B558" s="1631"/>
    </row>
    <row r="559" spans="2:2" s="1623" customFormat="1" x14ac:dyDescent="0.2">
      <c r="B559" s="1631"/>
    </row>
    <row r="560" spans="2:2" s="1623" customFormat="1" x14ac:dyDescent="0.2">
      <c r="B560" s="1631"/>
    </row>
    <row r="561" spans="2:2" s="1623" customFormat="1" x14ac:dyDescent="0.2">
      <c r="B561" s="1631"/>
    </row>
    <row r="562" spans="2:2" s="1623" customFormat="1" x14ac:dyDescent="0.2">
      <c r="B562" s="1631"/>
    </row>
    <row r="563" spans="2:2" s="1623" customFormat="1" x14ac:dyDescent="0.2">
      <c r="B563" s="1631"/>
    </row>
    <row r="564" spans="2:2" s="1623" customFormat="1" x14ac:dyDescent="0.2">
      <c r="B564" s="1631"/>
    </row>
    <row r="565" spans="2:2" s="1623" customFormat="1" x14ac:dyDescent="0.2">
      <c r="B565" s="1631"/>
    </row>
    <row r="566" spans="2:2" s="1623" customFormat="1" x14ac:dyDescent="0.2">
      <c r="B566" s="1631"/>
    </row>
    <row r="567" spans="2:2" s="1623" customFormat="1" x14ac:dyDescent="0.2">
      <c r="B567" s="1631"/>
    </row>
    <row r="568" spans="2:2" s="1623" customFormat="1" x14ac:dyDescent="0.2">
      <c r="B568" s="1631"/>
    </row>
    <row r="569" spans="2:2" s="1623" customFormat="1" x14ac:dyDescent="0.2">
      <c r="B569" s="1631"/>
    </row>
    <row r="570" spans="2:2" s="1623" customFormat="1" x14ac:dyDescent="0.2">
      <c r="B570" s="1631"/>
    </row>
    <row r="571" spans="2:2" s="1623" customFormat="1" x14ac:dyDescent="0.2">
      <c r="B571" s="1631"/>
    </row>
    <row r="572" spans="2:2" s="1623" customFormat="1" x14ac:dyDescent="0.2">
      <c r="B572" s="1631"/>
    </row>
    <row r="573" spans="2:2" s="1623" customFormat="1" x14ac:dyDescent="0.2">
      <c r="B573" s="1631"/>
    </row>
    <row r="574" spans="2:2" s="1623" customFormat="1" x14ac:dyDescent="0.2">
      <c r="B574" s="1631"/>
    </row>
    <row r="575" spans="2:2" s="1623" customFormat="1" x14ac:dyDescent="0.2">
      <c r="B575" s="1631"/>
    </row>
    <row r="576" spans="2:2" s="1623" customFormat="1" x14ac:dyDescent="0.2">
      <c r="B576" s="1631"/>
    </row>
    <row r="577" spans="2:2" s="1623" customFormat="1" x14ac:dyDescent="0.2">
      <c r="B577" s="1631"/>
    </row>
    <row r="578" spans="2:2" s="1623" customFormat="1" x14ac:dyDescent="0.2">
      <c r="B578" s="1631"/>
    </row>
    <row r="579" spans="2:2" s="1623" customFormat="1" x14ac:dyDescent="0.2">
      <c r="B579" s="1631"/>
    </row>
    <row r="580" spans="2:2" s="1623" customFormat="1" x14ac:dyDescent="0.2">
      <c r="B580" s="1631"/>
    </row>
    <row r="581" spans="2:2" s="1623" customFormat="1" x14ac:dyDescent="0.2">
      <c r="B581" s="1631"/>
    </row>
    <row r="582" spans="2:2" s="1623" customFormat="1" x14ac:dyDescent="0.2">
      <c r="B582" s="1631"/>
    </row>
    <row r="583" spans="2:2" s="1623" customFormat="1" x14ac:dyDescent="0.2">
      <c r="B583" s="1631"/>
    </row>
    <row r="584" spans="2:2" s="1623" customFormat="1" x14ac:dyDescent="0.2">
      <c r="B584" s="1631"/>
    </row>
    <row r="585" spans="2:2" s="1623" customFormat="1" x14ac:dyDescent="0.2">
      <c r="B585" s="1631"/>
    </row>
    <row r="586" spans="2:2" s="1623" customFormat="1" x14ac:dyDescent="0.2">
      <c r="B586" s="1631"/>
    </row>
    <row r="587" spans="2:2" s="1623" customFormat="1" x14ac:dyDescent="0.2">
      <c r="B587" s="1631"/>
    </row>
    <row r="588" spans="2:2" s="1623" customFormat="1" x14ac:dyDescent="0.2">
      <c r="B588" s="1631"/>
    </row>
    <row r="589" spans="2:2" s="1623" customFormat="1" x14ac:dyDescent="0.2">
      <c r="B589" s="1631"/>
    </row>
    <row r="590" spans="2:2" s="1623" customFormat="1" x14ac:dyDescent="0.2">
      <c r="B590" s="1631"/>
    </row>
    <row r="591" spans="2:2" s="1623" customFormat="1" x14ac:dyDescent="0.2">
      <c r="B591" s="1631"/>
    </row>
    <row r="592" spans="2:2" s="1623" customFormat="1" x14ac:dyDescent="0.2">
      <c r="B592" s="1631"/>
    </row>
    <row r="593" spans="2:2" s="1623" customFormat="1" x14ac:dyDescent="0.2">
      <c r="B593" s="1631"/>
    </row>
    <row r="594" spans="2:2" s="1623" customFormat="1" x14ac:dyDescent="0.2">
      <c r="B594" s="1631"/>
    </row>
    <row r="595" spans="2:2" s="1623" customFormat="1" x14ac:dyDescent="0.2">
      <c r="B595" s="1631"/>
    </row>
    <row r="596" spans="2:2" s="1623" customFormat="1" x14ac:dyDescent="0.2">
      <c r="B596" s="1631"/>
    </row>
    <row r="597" spans="2:2" s="1623" customFormat="1" x14ac:dyDescent="0.2">
      <c r="B597" s="1631"/>
    </row>
    <row r="598" spans="2:2" s="1623" customFormat="1" x14ac:dyDescent="0.2">
      <c r="B598" s="1631"/>
    </row>
    <row r="599" spans="2:2" s="1623" customFormat="1" x14ac:dyDescent="0.2">
      <c r="B599" s="1631"/>
    </row>
    <row r="600" spans="2:2" s="1623" customFormat="1" x14ac:dyDescent="0.2">
      <c r="B600" s="1631"/>
    </row>
    <row r="601" spans="2:2" s="1623" customFormat="1" x14ac:dyDescent="0.2">
      <c r="B601" s="1631"/>
    </row>
    <row r="602" spans="2:2" s="1623" customFormat="1" x14ac:dyDescent="0.2">
      <c r="B602" s="1631"/>
    </row>
    <row r="603" spans="2:2" s="1623" customFormat="1" x14ac:dyDescent="0.2">
      <c r="B603" s="1631"/>
    </row>
    <row r="604" spans="2:2" s="1623" customFormat="1" x14ac:dyDescent="0.2">
      <c r="B604" s="1631"/>
    </row>
    <row r="605" spans="2:2" s="1623" customFormat="1" x14ac:dyDescent="0.2">
      <c r="B605" s="1631"/>
    </row>
    <row r="606" spans="2:2" s="1623" customFormat="1" x14ac:dyDescent="0.2">
      <c r="B606" s="1631"/>
    </row>
    <row r="607" spans="2:2" s="1623" customFormat="1" x14ac:dyDescent="0.2">
      <c r="B607" s="1631"/>
    </row>
    <row r="608" spans="2:2" s="1623" customFormat="1" x14ac:dyDescent="0.2">
      <c r="B608" s="1631"/>
    </row>
    <row r="609" spans="2:2" s="1623" customFormat="1" x14ac:dyDescent="0.2">
      <c r="B609" s="1631"/>
    </row>
    <row r="610" spans="2:2" s="1623" customFormat="1" x14ac:dyDescent="0.2">
      <c r="B610" s="1631"/>
    </row>
    <row r="611" spans="2:2" s="1623" customFormat="1" x14ac:dyDescent="0.2">
      <c r="B611" s="1631"/>
    </row>
    <row r="612" spans="2:2" s="1623" customFormat="1" x14ac:dyDescent="0.2">
      <c r="B612" s="1631"/>
    </row>
    <row r="613" spans="2:2" s="1623" customFormat="1" x14ac:dyDescent="0.2">
      <c r="B613" s="1631"/>
    </row>
    <row r="614" spans="2:2" s="1623" customFormat="1" x14ac:dyDescent="0.2">
      <c r="B614" s="1631"/>
    </row>
    <row r="615" spans="2:2" s="1623" customFormat="1" x14ac:dyDescent="0.2">
      <c r="B615" s="1631"/>
    </row>
    <row r="616" spans="2:2" s="1623" customFormat="1" x14ac:dyDescent="0.2">
      <c r="B616" s="1631"/>
    </row>
    <row r="617" spans="2:2" s="1623" customFormat="1" x14ac:dyDescent="0.2">
      <c r="B617" s="1631"/>
    </row>
    <row r="618" spans="2:2" s="1623" customFormat="1" x14ac:dyDescent="0.2">
      <c r="B618" s="1631"/>
    </row>
    <row r="619" spans="2:2" s="1623" customFormat="1" x14ac:dyDescent="0.2">
      <c r="B619" s="1631"/>
    </row>
    <row r="620" spans="2:2" s="1623" customFormat="1" x14ac:dyDescent="0.2">
      <c r="B620" s="1631"/>
    </row>
    <row r="621" spans="2:2" s="1623" customFormat="1" x14ac:dyDescent="0.2">
      <c r="B621" s="1631"/>
    </row>
    <row r="622" spans="2:2" s="1623" customFormat="1" x14ac:dyDescent="0.2">
      <c r="B622" s="1631"/>
    </row>
    <row r="623" spans="2:2" s="1623" customFormat="1" x14ac:dyDescent="0.2">
      <c r="B623" s="1631"/>
    </row>
    <row r="624" spans="2:2" s="1623" customFormat="1" x14ac:dyDescent="0.2">
      <c r="B624" s="1631"/>
    </row>
    <row r="625" spans="2:2" s="1623" customFormat="1" x14ac:dyDescent="0.2">
      <c r="B625" s="1631"/>
    </row>
    <row r="626" spans="2:2" s="1623" customFormat="1" x14ac:dyDescent="0.2">
      <c r="B626" s="1631"/>
    </row>
    <row r="627" spans="2:2" s="1623" customFormat="1" x14ac:dyDescent="0.2">
      <c r="B627" s="1631"/>
    </row>
    <row r="628" spans="2:2" s="1623" customFormat="1" x14ac:dyDescent="0.2">
      <c r="B628" s="1631"/>
    </row>
    <row r="629" spans="2:2" s="1623" customFormat="1" x14ac:dyDescent="0.2">
      <c r="B629" s="1631"/>
    </row>
    <row r="630" spans="2:2" s="1623" customFormat="1" x14ac:dyDescent="0.2">
      <c r="B630" s="1631"/>
    </row>
    <row r="631" spans="2:2" s="1623" customFormat="1" x14ac:dyDescent="0.2">
      <c r="B631" s="1631"/>
    </row>
    <row r="632" spans="2:2" s="1623" customFormat="1" x14ac:dyDescent="0.2">
      <c r="B632" s="1631"/>
    </row>
    <row r="633" spans="2:2" s="1623" customFormat="1" x14ac:dyDescent="0.2">
      <c r="B633" s="1631"/>
    </row>
    <row r="634" spans="2:2" s="1623" customFormat="1" x14ac:dyDescent="0.2">
      <c r="B634" s="1631"/>
    </row>
    <row r="635" spans="2:2" s="1623" customFormat="1" x14ac:dyDescent="0.2">
      <c r="B635" s="1631"/>
    </row>
    <row r="636" spans="2:2" s="1623" customFormat="1" x14ac:dyDescent="0.2">
      <c r="B636" s="1631"/>
    </row>
    <row r="637" spans="2:2" s="1623" customFormat="1" x14ac:dyDescent="0.2">
      <c r="B637" s="1631"/>
    </row>
    <row r="638" spans="2:2" s="1623" customFormat="1" x14ac:dyDescent="0.2">
      <c r="B638" s="1631"/>
    </row>
    <row r="639" spans="2:2" s="1623" customFormat="1" x14ac:dyDescent="0.2">
      <c r="B639" s="1631"/>
    </row>
    <row r="640" spans="2:2" s="1623" customFormat="1" x14ac:dyDescent="0.2">
      <c r="B640" s="1631"/>
    </row>
    <row r="641" spans="2:2" s="1623" customFormat="1" x14ac:dyDescent="0.2">
      <c r="B641" s="1631"/>
    </row>
    <row r="642" spans="2:2" s="1623" customFormat="1" x14ac:dyDescent="0.2">
      <c r="B642" s="1631"/>
    </row>
    <row r="643" spans="2:2" s="1623" customFormat="1" x14ac:dyDescent="0.2">
      <c r="B643" s="1631"/>
    </row>
    <row r="644" spans="2:2" s="1623" customFormat="1" x14ac:dyDescent="0.2">
      <c r="B644" s="1631"/>
    </row>
    <row r="645" spans="2:2" s="1623" customFormat="1" x14ac:dyDescent="0.2">
      <c r="B645" s="1631"/>
    </row>
    <row r="646" spans="2:2" s="1623" customFormat="1" x14ac:dyDescent="0.2">
      <c r="B646" s="1631"/>
    </row>
    <row r="647" spans="2:2" s="1623" customFormat="1" x14ac:dyDescent="0.2">
      <c r="B647" s="1631"/>
    </row>
    <row r="648" spans="2:2" s="1623" customFormat="1" x14ac:dyDescent="0.2">
      <c r="B648" s="1631"/>
    </row>
    <row r="649" spans="2:2" s="1623" customFormat="1" x14ac:dyDescent="0.2">
      <c r="B649" s="1631"/>
    </row>
    <row r="650" spans="2:2" s="1623" customFormat="1" x14ac:dyDescent="0.2">
      <c r="B650" s="1631"/>
    </row>
    <row r="651" spans="2:2" s="1623" customFormat="1" x14ac:dyDescent="0.2">
      <c r="B651" s="1631"/>
    </row>
    <row r="652" spans="2:2" s="1623" customFormat="1" x14ac:dyDescent="0.2">
      <c r="B652" s="1631"/>
    </row>
    <row r="653" spans="2:2" s="1623" customFormat="1" x14ac:dyDescent="0.2">
      <c r="B653" s="1631"/>
    </row>
    <row r="654" spans="2:2" s="1623" customFormat="1" x14ac:dyDescent="0.2">
      <c r="B654" s="1631"/>
    </row>
    <row r="655" spans="2:2" s="1623" customFormat="1" x14ac:dyDescent="0.2">
      <c r="B655" s="1631"/>
    </row>
    <row r="656" spans="2:2" s="1623" customFormat="1" x14ac:dyDescent="0.2">
      <c r="B656" s="1631"/>
    </row>
    <row r="657" spans="2:2" s="1623" customFormat="1" x14ac:dyDescent="0.2">
      <c r="B657" s="1631"/>
    </row>
    <row r="658" spans="2:2" s="1623" customFormat="1" x14ac:dyDescent="0.2">
      <c r="B658" s="1631"/>
    </row>
    <row r="659" spans="2:2" s="1623" customFormat="1" x14ac:dyDescent="0.2">
      <c r="B659" s="1631"/>
    </row>
    <row r="660" spans="2:2" s="1623" customFormat="1" x14ac:dyDescent="0.2">
      <c r="B660" s="1631"/>
    </row>
    <row r="661" spans="2:2" s="1623" customFormat="1" x14ac:dyDescent="0.2">
      <c r="B661" s="1631"/>
    </row>
    <row r="662" spans="2:2" s="1623" customFormat="1" x14ac:dyDescent="0.2">
      <c r="B662" s="1631"/>
    </row>
    <row r="663" spans="2:2" s="1623" customFormat="1" x14ac:dyDescent="0.2">
      <c r="B663" s="1631"/>
    </row>
    <row r="664" spans="2:2" s="1623" customFormat="1" x14ac:dyDescent="0.2">
      <c r="B664" s="1631"/>
    </row>
    <row r="665" spans="2:2" s="1623" customFormat="1" x14ac:dyDescent="0.2">
      <c r="B665" s="1631"/>
    </row>
    <row r="666" spans="2:2" s="1623" customFormat="1" x14ac:dyDescent="0.2">
      <c r="B666" s="1631"/>
    </row>
    <row r="667" spans="2:2" s="1623" customFormat="1" x14ac:dyDescent="0.2">
      <c r="B667" s="1631"/>
    </row>
    <row r="668" spans="2:2" s="1623" customFormat="1" x14ac:dyDescent="0.2">
      <c r="B668" s="1631"/>
    </row>
    <row r="669" spans="2:2" s="1623" customFormat="1" x14ac:dyDescent="0.2">
      <c r="B669" s="1631"/>
    </row>
    <row r="670" spans="2:2" s="1623" customFormat="1" x14ac:dyDescent="0.2">
      <c r="B670" s="1631"/>
    </row>
    <row r="671" spans="2:2" s="1623" customFormat="1" x14ac:dyDescent="0.2">
      <c r="B671" s="1631"/>
    </row>
    <row r="672" spans="2:2" s="1623" customFormat="1" x14ac:dyDescent="0.2">
      <c r="B672" s="1631"/>
    </row>
    <row r="673" spans="2:2" s="1623" customFormat="1" x14ac:dyDescent="0.2">
      <c r="B673" s="1631"/>
    </row>
    <row r="674" spans="2:2" s="1623" customFormat="1" x14ac:dyDescent="0.2">
      <c r="B674" s="1631"/>
    </row>
    <row r="675" spans="2:2" s="1623" customFormat="1" x14ac:dyDescent="0.2">
      <c r="B675" s="1631"/>
    </row>
    <row r="676" spans="2:2" s="1623" customFormat="1" x14ac:dyDescent="0.2">
      <c r="B676" s="1631"/>
    </row>
    <row r="677" spans="2:2" s="1623" customFormat="1" x14ac:dyDescent="0.2">
      <c r="B677" s="1631"/>
    </row>
    <row r="678" spans="2:2" s="1623" customFormat="1" x14ac:dyDescent="0.2">
      <c r="B678" s="1631"/>
    </row>
    <row r="679" spans="2:2" s="1623" customFormat="1" x14ac:dyDescent="0.2">
      <c r="B679" s="1631"/>
    </row>
    <row r="680" spans="2:2" s="1623" customFormat="1" x14ac:dyDescent="0.2">
      <c r="B680" s="1631"/>
    </row>
    <row r="681" spans="2:2" s="1623" customFormat="1" x14ac:dyDescent="0.2">
      <c r="B681" s="1631"/>
    </row>
    <row r="682" spans="2:2" s="1623" customFormat="1" x14ac:dyDescent="0.2">
      <c r="B682" s="1631"/>
    </row>
    <row r="683" spans="2:2" s="1623" customFormat="1" x14ac:dyDescent="0.2">
      <c r="B683" s="1631"/>
    </row>
    <row r="684" spans="2:2" s="1623" customFormat="1" x14ac:dyDescent="0.2">
      <c r="B684" s="1631"/>
    </row>
    <row r="685" spans="2:2" s="1623" customFormat="1" x14ac:dyDescent="0.2">
      <c r="B685" s="1631"/>
    </row>
    <row r="686" spans="2:2" s="1623" customFormat="1" x14ac:dyDescent="0.2">
      <c r="B686" s="1631"/>
    </row>
    <row r="687" spans="2:2" s="1623" customFormat="1" x14ac:dyDescent="0.2">
      <c r="B687" s="1631"/>
    </row>
    <row r="688" spans="2:2" s="1623" customFormat="1" x14ac:dyDescent="0.2">
      <c r="B688" s="1631"/>
    </row>
    <row r="689" spans="2:2" s="1623" customFormat="1" x14ac:dyDescent="0.2">
      <c r="B689" s="1631"/>
    </row>
    <row r="690" spans="2:2" s="1623" customFormat="1" x14ac:dyDescent="0.2">
      <c r="B690" s="1631"/>
    </row>
    <row r="691" spans="2:2" s="1623" customFormat="1" x14ac:dyDescent="0.2">
      <c r="B691" s="1631"/>
    </row>
    <row r="692" spans="2:2" s="1623" customFormat="1" x14ac:dyDescent="0.2">
      <c r="B692" s="1631"/>
    </row>
    <row r="693" spans="2:2" s="1623" customFormat="1" x14ac:dyDescent="0.2">
      <c r="B693" s="1631"/>
    </row>
    <row r="694" spans="2:2" s="1623" customFormat="1" x14ac:dyDescent="0.2">
      <c r="B694" s="1631"/>
    </row>
    <row r="695" spans="2:2" s="1623" customFormat="1" x14ac:dyDescent="0.2">
      <c r="B695" s="1631"/>
    </row>
    <row r="696" spans="2:2" s="1623" customFormat="1" x14ac:dyDescent="0.2">
      <c r="B696" s="1631"/>
    </row>
    <row r="697" spans="2:2" s="1623" customFormat="1" x14ac:dyDescent="0.2">
      <c r="B697" s="1631"/>
    </row>
    <row r="698" spans="2:2" s="1623" customFormat="1" x14ac:dyDescent="0.2">
      <c r="B698" s="1631"/>
    </row>
    <row r="699" spans="2:2" s="1623" customFormat="1" x14ac:dyDescent="0.2">
      <c r="B699" s="1631"/>
    </row>
    <row r="700" spans="2:2" s="1623" customFormat="1" x14ac:dyDescent="0.2">
      <c r="B700" s="1631"/>
    </row>
    <row r="701" spans="2:2" s="1623" customFormat="1" x14ac:dyDescent="0.2">
      <c r="B701" s="1631"/>
    </row>
    <row r="702" spans="2:2" s="1623" customFormat="1" x14ac:dyDescent="0.2">
      <c r="B702" s="1631"/>
    </row>
    <row r="703" spans="2:2" s="1623" customFormat="1" x14ac:dyDescent="0.2">
      <c r="B703" s="1631"/>
    </row>
    <row r="704" spans="2:2" s="1623" customFormat="1" x14ac:dyDescent="0.2">
      <c r="B704" s="1631"/>
    </row>
    <row r="705" spans="2:2" s="1623" customFormat="1" x14ac:dyDescent="0.2">
      <c r="B705" s="1631"/>
    </row>
    <row r="706" spans="2:2" s="1623" customFormat="1" x14ac:dyDescent="0.2">
      <c r="B706" s="1631"/>
    </row>
    <row r="707" spans="2:2" s="1623" customFormat="1" x14ac:dyDescent="0.2">
      <c r="B707" s="1631"/>
    </row>
    <row r="708" spans="2:2" s="1623" customFormat="1" x14ac:dyDescent="0.2">
      <c r="B708" s="1631"/>
    </row>
    <row r="709" spans="2:2" s="1623" customFormat="1" x14ac:dyDescent="0.2">
      <c r="B709" s="1631"/>
    </row>
    <row r="710" spans="2:2" s="1623" customFormat="1" x14ac:dyDescent="0.2">
      <c r="B710" s="1631"/>
    </row>
    <row r="711" spans="2:2" s="1623" customFormat="1" x14ac:dyDescent="0.2">
      <c r="B711" s="1631"/>
    </row>
    <row r="712" spans="2:2" s="1623" customFormat="1" x14ac:dyDescent="0.2">
      <c r="B712" s="1631"/>
    </row>
    <row r="713" spans="2:2" s="1623" customFormat="1" x14ac:dyDescent="0.2">
      <c r="B713" s="1631"/>
    </row>
    <row r="714" spans="2:2" s="1623" customFormat="1" x14ac:dyDescent="0.2">
      <c r="B714" s="1631"/>
    </row>
    <row r="715" spans="2:2" s="1623" customFormat="1" x14ac:dyDescent="0.2">
      <c r="B715" s="1631"/>
    </row>
    <row r="716" spans="2:2" s="1623" customFormat="1" x14ac:dyDescent="0.2">
      <c r="B716" s="1631"/>
    </row>
  </sheetData>
  <sheetProtection password="D0E7" sheet="1" objects="1" scenarios="1"/>
  <pageMargins left="0.7" right="0.7" top="0.75" bottom="0.75" header="0.3" footer="0.3"/>
  <pageSetup paperSize="9" orientation="portrait" verticalDpi="0"/>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tabColor rgb="FF92D050"/>
  </sheetPr>
  <dimension ref="A2:AH252"/>
  <sheetViews>
    <sheetView showGridLines="0" topLeftCell="A13" zoomScale="80" zoomScaleNormal="80" zoomScaleSheetLayoutView="55" zoomScalePageLayoutView="85" workbookViewId="0">
      <selection activeCell="D9" sqref="D9"/>
    </sheetView>
  </sheetViews>
  <sheetFormatPr baseColWidth="10" defaultColWidth="12" defaultRowHeight="12.75" x14ac:dyDescent="0.2"/>
  <cols>
    <col min="1" max="1" width="12" style="4"/>
    <col min="2" max="2" width="27" style="4" customWidth="1"/>
    <col min="3" max="3" width="28" style="4" customWidth="1"/>
    <col min="4" max="4" width="20" style="37" customWidth="1"/>
    <col min="5" max="5" width="17.33203125" style="4" customWidth="1"/>
    <col min="6" max="6" width="15.33203125" style="4" customWidth="1"/>
    <col min="7" max="7" width="15.6640625" style="4" customWidth="1"/>
    <col min="8" max="8" width="12" style="4"/>
    <col min="9" max="9" width="15.33203125" style="4" bestFit="1" customWidth="1"/>
    <col min="10" max="10" width="14.83203125" style="4" customWidth="1"/>
    <col min="11" max="11" width="13.83203125" style="4" customWidth="1"/>
    <col min="12" max="16384" width="12" style="4"/>
  </cols>
  <sheetData>
    <row r="2" spans="1:14" s="43" customFormat="1" ht="17.25" customHeight="1" thickBot="1" x14ac:dyDescent="0.25">
      <c r="A2" s="2093" t="str">
        <f>'TRAD-Data &amp; hypothesis Adults'!B2</f>
        <v>Etape 2 : Hypothèses &amp; Données ADULTES</v>
      </c>
      <c r="B2" s="2093"/>
      <c r="C2" s="2093"/>
      <c r="D2" s="2093"/>
      <c r="E2" s="2093"/>
      <c r="F2" s="2093"/>
      <c r="G2" s="2093"/>
      <c r="H2" s="2093"/>
      <c r="I2" s="2093"/>
      <c r="J2" s="2093"/>
      <c r="K2" s="2093"/>
      <c r="L2" s="2093"/>
      <c r="M2" s="2093"/>
    </row>
    <row r="4" spans="1:14" s="41" customFormat="1" ht="15" x14ac:dyDescent="0.25">
      <c r="B4" s="940" t="str">
        <f>'TRAD-Data &amp; hypothesis Adults'!B3</f>
        <v>Evolution du nombre de patients Adultes sous ARV au cours de la période</v>
      </c>
      <c r="C4" s="202"/>
      <c r="D4" s="202"/>
      <c r="E4" s="202"/>
      <c r="F4" s="202"/>
      <c r="G4" s="218"/>
      <c r="H4" s="218"/>
      <c r="I4" s="218"/>
      <c r="J4" s="218"/>
      <c r="K4" s="2099"/>
      <c r="L4" s="2099"/>
      <c r="M4" s="2099"/>
    </row>
    <row r="5" spans="1:14" s="11" customFormat="1" ht="13.5" thickBot="1" x14ac:dyDescent="0.25"/>
    <row r="6" spans="1:14" s="11" customFormat="1" ht="13.5" customHeight="1" thickBot="1" x14ac:dyDescent="0.25">
      <c r="C6" s="169" t="str">
        <f>'TRAD-Data &amp; hypothesis Adults'!B4</f>
        <v>Année</v>
      </c>
      <c r="D6" s="2107" t="str">
        <f>'TRAD-Data &amp; hypothesis Adults'!B5</f>
        <v>Adultes pris en charge dans l'estimation</v>
      </c>
      <c r="E6" s="2108"/>
      <c r="F6" s="2108"/>
      <c r="G6" s="2109"/>
      <c r="I6" s="2106"/>
      <c r="J6" s="2106"/>
    </row>
    <row r="7" spans="1:14" s="11" customFormat="1" ht="64.5" customHeight="1" thickBot="1" x14ac:dyDescent="0.25">
      <c r="B7" s="52"/>
      <c r="C7" s="53"/>
      <c r="D7" s="51" t="str">
        <f>'TRAD-Data &amp; hypothesis Adults'!B3</f>
        <v>Evolution du nombre de patients Adultes sous ARV au cours de la période</v>
      </c>
      <c r="E7" s="932" t="str">
        <f>'TRAD-Data &amp; hypothesis Adults'!B7</f>
        <v>Nb d'inclusion / mois</v>
      </c>
      <c r="F7" s="935" t="str">
        <f>'TRAD-Data &amp; hypothesis Adults'!B8</f>
        <v>Nb d'inclusion / période</v>
      </c>
      <c r="G7" s="51" t="str">
        <f>'TRAD-Data &amp; hypothesis Adults'!B9</f>
        <v>TOTAL à la fin de l'année</v>
      </c>
      <c r="I7" s="2107" t="str">
        <f>'TRAD-Data &amp; hypothesis Adults'!B10</f>
        <v>Période réelle de l'année si ajustement voulu [2]</v>
      </c>
      <c r="J7" s="2109"/>
    </row>
    <row r="8" spans="1:14" s="11" customFormat="1" x14ac:dyDescent="0.2">
      <c r="B8" s="54" t="str">
        <f>'General Data'!E13</f>
        <v>Juillet 2014 - Juin 2015</v>
      </c>
      <c r="C8" s="167" t="str">
        <f>'General Data'!D13</f>
        <v>Année 1</v>
      </c>
      <c r="D8" s="231">
        <v>14543</v>
      </c>
      <c r="E8" s="232">
        <v>412</v>
      </c>
      <c r="F8" s="170">
        <f>IF('General Data'!G23="NA", "0", E8*'General Data'!G23)</f>
        <v>4944</v>
      </c>
      <c r="G8" s="171">
        <f>D8+F8</f>
        <v>19487</v>
      </c>
      <c r="H8" s="174"/>
      <c r="I8" s="903" t="str">
        <f>IF('General Data'!$E$21="X", CONCATENATE("pour une période de ", 'General Data'!G23, " ", 'General Data'!H23), "")</f>
        <v/>
      </c>
      <c r="J8" s="904"/>
      <c r="K8" s="175"/>
    </row>
    <row r="9" spans="1:14" s="11" customFormat="1" x14ac:dyDescent="0.2">
      <c r="B9" s="54">
        <f>'General Data'!E14</f>
        <v>0</v>
      </c>
      <c r="C9" s="167" t="str">
        <f>'General Data'!D14</f>
        <v>Année 2</v>
      </c>
      <c r="D9" s="231"/>
      <c r="E9" s="232"/>
      <c r="F9" s="170" t="str">
        <f>IF('General Data'!G24="NA", "0", E9*'General Data'!G24)</f>
        <v>0</v>
      </c>
      <c r="G9" s="171">
        <f>G8+F9+D9</f>
        <v>19487</v>
      </c>
      <c r="I9" s="905" t="str">
        <f>IF('General Data'!$E$21="X", CONCATENATE("pour une période de ", 'General Data'!G24, " ", 'General Data'!H24), "")</f>
        <v/>
      </c>
      <c r="J9" s="906"/>
    </row>
    <row r="10" spans="1:14" s="11" customFormat="1" x14ac:dyDescent="0.2">
      <c r="B10" s="54">
        <f>'General Data'!E15</f>
        <v>0</v>
      </c>
      <c r="C10" s="167" t="str">
        <f>'General Data'!D15</f>
        <v>Année 3</v>
      </c>
      <c r="D10" s="231"/>
      <c r="E10" s="232"/>
      <c r="F10" s="170" t="str">
        <f>IF('General Data'!G25="NA", "0", E10*'General Data'!G25)</f>
        <v>0</v>
      </c>
      <c r="G10" s="171">
        <f>G9+F10+D10</f>
        <v>19487</v>
      </c>
      <c r="I10" s="905" t="str">
        <f>IF('General Data'!$E$21="X", CONCATENATE("pour une période de ", 'General Data'!G25, " ", 'General Data'!H25), "")</f>
        <v/>
      </c>
      <c r="J10" s="906"/>
    </row>
    <row r="11" spans="1:14" s="11" customFormat="1" x14ac:dyDescent="0.2">
      <c r="B11" s="54">
        <f>'General Data'!E16</f>
        <v>0</v>
      </c>
      <c r="C11" s="167" t="str">
        <f>'General Data'!D16</f>
        <v>Année 4</v>
      </c>
      <c r="D11" s="231"/>
      <c r="E11" s="232"/>
      <c r="F11" s="170" t="str">
        <f>IF('General Data'!G26="NA", "0", E11*'General Data'!G26)</f>
        <v>0</v>
      </c>
      <c r="G11" s="171">
        <f>G10+F11+D11</f>
        <v>19487</v>
      </c>
      <c r="I11" s="905" t="str">
        <f>IF('General Data'!$E$21="X", CONCATENATE("pour une période de ", 'General Data'!G26, " ", 'General Data'!H26), "")</f>
        <v/>
      </c>
      <c r="J11" s="906"/>
    </row>
    <row r="12" spans="1:14" s="11" customFormat="1" ht="13.5" thickBot="1" x14ac:dyDescent="0.25">
      <c r="B12" s="54">
        <f>'General Data'!E17</f>
        <v>0</v>
      </c>
      <c r="C12" s="168" t="str">
        <f>'General Data'!D17</f>
        <v>Année 5</v>
      </c>
      <c r="D12" s="233"/>
      <c r="E12" s="234"/>
      <c r="F12" s="172" t="str">
        <f>IF('General Data'!G27="NA", "0", E12*'General Data'!G27)</f>
        <v>0</v>
      </c>
      <c r="G12" s="173">
        <f>G11+F12+D12</f>
        <v>19487</v>
      </c>
      <c r="I12" s="907" t="str">
        <f>IF('General Data'!$E$21="X", CONCATENATE("pour une période de ", 'General Data'!G27, " ", 'General Data'!H27), "")</f>
        <v/>
      </c>
      <c r="J12" s="908"/>
    </row>
    <row r="13" spans="1:14" s="11" customFormat="1" ht="51.75" thickBot="1" x14ac:dyDescent="0.25">
      <c r="B13" s="55"/>
      <c r="F13" s="57" t="str">
        <f>'TRAD-Data &amp; hypothesis Adults'!B11</f>
        <v>Nombre total de patients  attendu à la fin de la période</v>
      </c>
      <c r="G13" s="176">
        <f>G12</f>
        <v>19487</v>
      </c>
      <c r="H13" s="56"/>
    </row>
    <row r="14" spans="1:14" s="11" customFormat="1" x14ac:dyDescent="0.2">
      <c r="B14" s="158"/>
      <c r="L14" s="56"/>
      <c r="M14" s="177"/>
      <c r="N14" s="178"/>
    </row>
    <row r="15" spans="1:14" s="11" customFormat="1" x14ac:dyDescent="0.2">
      <c r="B15" s="897" t="str">
        <f>'TRAD-Data &amp; hypothesis Adults'!B12</f>
        <v>Commentaires</v>
      </c>
      <c r="C15" s="896"/>
      <c r="D15" s="896"/>
      <c r="E15" s="896"/>
      <c r="F15" s="896"/>
      <c r="G15" s="896"/>
      <c r="L15" s="56"/>
      <c r="M15" s="177"/>
      <c r="N15" s="178"/>
    </row>
    <row r="16" spans="1:14" s="11" customFormat="1" x14ac:dyDescent="0.2">
      <c r="B16" s="158"/>
      <c r="C16" s="11" t="s">
        <v>240</v>
      </c>
      <c r="D16" s="226" t="str">
        <f>'TRAD-Data &amp; hypothesis Adults'!B13</f>
        <v>en début d'année ou au début de la période quantifiée</v>
      </c>
      <c r="L16" s="56"/>
      <c r="M16" s="177"/>
      <c r="N16" s="178"/>
    </row>
    <row r="17" spans="2:14" s="11" customFormat="1" x14ac:dyDescent="0.2">
      <c r="B17" s="158"/>
      <c r="C17" s="11" t="s">
        <v>263</v>
      </c>
      <c r="D17" s="226" t="str">
        <f>'TRAD-Data &amp; hypothesis Adults'!B14</f>
        <v>se reporter aux données saisies dans la feuille "Données générales"</v>
      </c>
      <c r="L17" s="56"/>
      <c r="M17" s="177"/>
      <c r="N17" s="178"/>
    </row>
    <row r="18" spans="2:14" s="11" customFormat="1" x14ac:dyDescent="0.2">
      <c r="B18" s="158"/>
      <c r="D18" s="226"/>
      <c r="L18" s="56"/>
      <c r="M18" s="177"/>
      <c r="N18" s="178"/>
    </row>
    <row r="19" spans="2:14" s="11" customFormat="1" x14ac:dyDescent="0.2">
      <c r="K19" s="56"/>
    </row>
    <row r="20" spans="2:14" s="41" customFormat="1" ht="15" x14ac:dyDescent="0.25">
      <c r="B20" s="931" t="str">
        <f>'TRAD-Data &amp; hypothesis Adults'!B15</f>
        <v>Répartition des adultes par schémas thérapeutiques au début de la période quantifiée</v>
      </c>
      <c r="C20" s="202"/>
      <c r="D20" s="202"/>
      <c r="E20" s="202"/>
      <c r="F20" s="202"/>
      <c r="G20" s="218"/>
      <c r="H20" s="218"/>
      <c r="I20" s="218"/>
      <c r="J20" s="218"/>
      <c r="K20" s="2099"/>
      <c r="L20" s="2099"/>
      <c r="M20" s="2099"/>
    </row>
    <row r="22" spans="2:14" x14ac:dyDescent="0.2">
      <c r="B22" s="2113" t="str">
        <f>'TRAD-Data &amp; hypothesis Adults'!B16</f>
        <v>Préciser les schémas thérapeutiques utilisés. Ces schémas apparaitront ensuite ainsi dans l'ensemble du document</v>
      </c>
      <c r="C22" s="2113"/>
      <c r="D22" s="2113"/>
      <c r="E22" s="2113"/>
      <c r="F22" s="2113"/>
      <c r="G22" s="2113"/>
      <c r="H22" s="2113"/>
      <c r="I22" s="2113"/>
      <c r="J22" s="2113"/>
      <c r="K22" s="2113"/>
      <c r="L22" s="2113"/>
    </row>
    <row r="23" spans="2:14" ht="25.5" customHeight="1" x14ac:dyDescent="0.2">
      <c r="B23" s="2113" t="str">
        <f>'TRAD-Data &amp; hypothesis Adults'!B17</f>
        <v>Préciser la proportion d'adultes dans chaque schéma thérapeutique. Le nombre de patients est calculé automatiquement à partir du nombre total de patients en début d'année (cellule D9)</v>
      </c>
      <c r="C23" s="2113"/>
      <c r="D23" s="2113"/>
      <c r="E23" s="2113"/>
      <c r="F23" s="2113"/>
      <c r="G23" s="2113"/>
      <c r="H23" s="2113"/>
      <c r="I23" s="2113"/>
      <c r="J23" s="2113"/>
      <c r="K23" s="2113"/>
      <c r="L23" s="2113"/>
    </row>
    <row r="24" spans="2:14" ht="13.5" thickBot="1" x14ac:dyDescent="0.25">
      <c r="B24" s="942"/>
    </row>
    <row r="25" spans="2:14" ht="51.75" thickBot="1" x14ac:dyDescent="0.25">
      <c r="C25" s="62" t="str">
        <f>'TRAD-Data &amp; hypothesis Adults'!B18</f>
        <v>Schémas thérapeutiques</v>
      </c>
      <c r="D25" s="62" t="str">
        <f>'TRAD-Data &amp; hypothesis Adults'!B19</f>
        <v>Proportion (%)</v>
      </c>
      <c r="E25" s="62" t="str">
        <f>'TRAD-Data &amp; hypothesis Adults'!B20</f>
        <v>Nb de patients prévus au début de la période quantifiée</v>
      </c>
    </row>
    <row r="26" spans="2:14" x14ac:dyDescent="0.2">
      <c r="B26" s="13" t="str">
        <f>'TRAD-Data &amp; hypothesis Adults'!B21</f>
        <v>1ères lignes</v>
      </c>
      <c r="C26" s="1983" t="s">
        <v>7</v>
      </c>
      <c r="D26" s="1984">
        <v>0.72399999999999998</v>
      </c>
      <c r="E26" s="193">
        <f t="shared" ref="E26:E44" si="0">D$8*D26</f>
        <v>10529.132</v>
      </c>
    </row>
    <row r="27" spans="2:14" x14ac:dyDescent="0.2">
      <c r="C27" s="1929" t="s">
        <v>49</v>
      </c>
      <c r="D27" s="197">
        <v>9.4E-2</v>
      </c>
      <c r="E27" s="194">
        <f t="shared" si="0"/>
        <v>1367.0419999999999</v>
      </c>
    </row>
    <row r="28" spans="2:14" x14ac:dyDescent="0.2">
      <c r="C28" s="1929" t="s">
        <v>140</v>
      </c>
      <c r="D28" s="197">
        <v>2E-3</v>
      </c>
      <c r="E28" s="194">
        <f t="shared" si="0"/>
        <v>29.086000000000002</v>
      </c>
    </row>
    <row r="29" spans="2:14" x14ac:dyDescent="0.2">
      <c r="C29" s="1930" t="s">
        <v>55</v>
      </c>
      <c r="D29" s="197">
        <v>4.3999999999999997E-2</v>
      </c>
      <c r="E29" s="194">
        <f t="shared" si="0"/>
        <v>639.89199999999994</v>
      </c>
    </row>
    <row r="30" spans="2:14" x14ac:dyDescent="0.2">
      <c r="C30" s="1930" t="s">
        <v>730</v>
      </c>
      <c r="D30" s="197">
        <v>3.0000000000000001E-3</v>
      </c>
      <c r="E30" s="194">
        <f t="shared" si="0"/>
        <v>43.628999999999998</v>
      </c>
    </row>
    <row r="31" spans="2:14" x14ac:dyDescent="0.2">
      <c r="C31" s="1929" t="s">
        <v>348</v>
      </c>
      <c r="D31" s="197">
        <v>0.1</v>
      </c>
      <c r="E31" s="194">
        <f t="shared" ref="E31:E35" si="1">D$8*D31</f>
        <v>1454.3000000000002</v>
      </c>
    </row>
    <row r="32" spans="2:14" x14ac:dyDescent="0.2">
      <c r="C32" s="1932" t="s">
        <v>352</v>
      </c>
      <c r="D32" s="197"/>
      <c r="E32" s="194">
        <f t="shared" si="1"/>
        <v>0</v>
      </c>
    </row>
    <row r="33" spans="2:12" x14ac:dyDescent="0.2">
      <c r="C33" s="1929" t="s">
        <v>1621</v>
      </c>
      <c r="D33" s="197"/>
      <c r="E33" s="194">
        <f t="shared" si="1"/>
        <v>0</v>
      </c>
    </row>
    <row r="34" spans="2:12" x14ac:dyDescent="0.2">
      <c r="C34" s="1930" t="s">
        <v>1620</v>
      </c>
      <c r="D34" s="197">
        <v>2E-3</v>
      </c>
      <c r="E34" s="194">
        <f t="shared" si="1"/>
        <v>29.086000000000002</v>
      </c>
    </row>
    <row r="35" spans="2:12" x14ac:dyDescent="0.2">
      <c r="C35" s="1931"/>
      <c r="D35" s="199"/>
      <c r="E35" s="194">
        <f t="shared" si="1"/>
        <v>0</v>
      </c>
    </row>
    <row r="36" spans="2:12" x14ac:dyDescent="0.2">
      <c r="B36" s="17" t="str">
        <f>'TRAD-Data &amp; hypothesis Adults'!B22</f>
        <v>2èmes lignes</v>
      </c>
      <c r="C36" s="1932" t="s">
        <v>352</v>
      </c>
      <c r="D36" s="198">
        <v>2.86E-2</v>
      </c>
      <c r="E36" s="195">
        <f t="shared" si="0"/>
        <v>415.9298</v>
      </c>
    </row>
    <row r="37" spans="2:12" x14ac:dyDescent="0.2">
      <c r="B37" s="19"/>
      <c r="C37" s="1930" t="s">
        <v>598</v>
      </c>
      <c r="D37" s="197">
        <v>2.3999999999999998E-3</v>
      </c>
      <c r="E37" s="194">
        <f t="shared" si="0"/>
        <v>34.903199999999998</v>
      </c>
    </row>
    <row r="38" spans="2:12" x14ac:dyDescent="0.2">
      <c r="C38" s="1930" t="s">
        <v>67</v>
      </c>
      <c r="D38" s="197">
        <v>0</v>
      </c>
      <c r="E38" s="194">
        <f t="shared" si="0"/>
        <v>0</v>
      </c>
    </row>
    <row r="39" spans="2:12" x14ac:dyDescent="0.2">
      <c r="C39" s="1930" t="s">
        <v>1620</v>
      </c>
      <c r="D39" s="197">
        <v>0</v>
      </c>
      <c r="E39" s="194">
        <f t="shared" si="0"/>
        <v>0</v>
      </c>
    </row>
    <row r="40" spans="2:12" x14ac:dyDescent="0.2">
      <c r="C40" s="1930" t="s">
        <v>55</v>
      </c>
      <c r="D40" s="197"/>
      <c r="E40" s="194">
        <f t="shared" si="0"/>
        <v>0</v>
      </c>
    </row>
    <row r="41" spans="2:12" x14ac:dyDescent="0.2">
      <c r="C41" s="1930"/>
      <c r="D41" s="197"/>
      <c r="E41" s="194">
        <f t="shared" si="0"/>
        <v>0</v>
      </c>
    </row>
    <row r="42" spans="2:12" x14ac:dyDescent="0.2">
      <c r="C42" s="1931"/>
      <c r="D42" s="199"/>
      <c r="E42" s="196">
        <f t="shared" si="0"/>
        <v>0</v>
      </c>
    </row>
    <row r="43" spans="2:12" ht="12.75" customHeight="1" x14ac:dyDescent="0.2">
      <c r="B43" s="17" t="str">
        <f>'TRAD-Data &amp; hypothesis Adults'!B23</f>
        <v>3èmes lignes</v>
      </c>
      <c r="C43" s="18" t="str">
        <f>'TRAD-Data &amp; hypothesis Adults'!B24</f>
        <v>nb de patient total 3èmes lignes</v>
      </c>
      <c r="D43" s="198">
        <v>0</v>
      </c>
      <c r="E43" s="195">
        <f t="shared" si="0"/>
        <v>0</v>
      </c>
    </row>
    <row r="44" spans="2:12" ht="13.5" thickBot="1" x14ac:dyDescent="0.25">
      <c r="C44" s="1155"/>
      <c r="D44" s="199"/>
      <c r="E44" s="196">
        <f t="shared" si="0"/>
        <v>0</v>
      </c>
    </row>
    <row r="45" spans="2:12" ht="14.25" thickTop="1" thickBot="1" x14ac:dyDescent="0.25">
      <c r="B45" s="20"/>
      <c r="C45" s="205" t="s">
        <v>6</v>
      </c>
      <c r="D45" s="250">
        <f>SUM(D26:D44)</f>
        <v>0.99999999999999989</v>
      </c>
      <c r="E45" s="249">
        <f>SUM(E26:E44)</f>
        <v>14542.999999999998</v>
      </c>
    </row>
    <row r="47" spans="2:12" s="19" customFormat="1" x14ac:dyDescent="0.2">
      <c r="B47" s="180"/>
      <c r="C47" s="23"/>
      <c r="D47" s="23"/>
      <c r="E47" s="23"/>
      <c r="F47" s="23"/>
      <c r="G47" s="23"/>
      <c r="H47" s="23"/>
      <c r="I47" s="23"/>
      <c r="J47" s="23"/>
      <c r="K47" s="23"/>
      <c r="L47" s="23"/>
    </row>
    <row r="48" spans="2:12" s="19" customFormat="1" x14ac:dyDescent="0.2">
      <c r="B48" s="181"/>
      <c r="C48" s="929"/>
    </row>
    <row r="49" spans="2:13" x14ac:dyDescent="0.2">
      <c r="B49" s="10"/>
      <c r="C49" s="8"/>
      <c r="D49" s="4"/>
    </row>
    <row r="50" spans="2:13" x14ac:dyDescent="0.2">
      <c r="C50" s="942"/>
    </row>
    <row r="51" spans="2:13" s="41" customFormat="1" ht="15" x14ac:dyDescent="0.25">
      <c r="B51" s="931" t="str">
        <f>'TRAD-Data &amp; hypothesis Adults'!B25</f>
        <v>Répartition des Initiations en 1ère lignes</v>
      </c>
      <c r="C51" s="202"/>
      <c r="D51" s="202"/>
      <c r="E51" s="202"/>
      <c r="F51" s="202"/>
      <c r="G51" s="21"/>
      <c r="H51" s="21"/>
      <c r="I51" s="21"/>
      <c r="J51" s="21"/>
      <c r="K51" s="2105"/>
      <c r="L51" s="2105"/>
      <c r="M51" s="2105"/>
    </row>
    <row r="52" spans="2:13" x14ac:dyDescent="0.2">
      <c r="D52" s="22"/>
      <c r="E52" s="23"/>
      <c r="F52" s="23"/>
      <c r="G52" s="23"/>
      <c r="H52" s="23"/>
    </row>
    <row r="53" spans="2:13" x14ac:dyDescent="0.2">
      <c r="D53" s="2114" t="str">
        <f>'TRAD-Data &amp; hypothesis Adults'!B27</f>
        <v>Répartition</v>
      </c>
      <c r="E53" s="2114"/>
      <c r="F53" s="2114"/>
      <c r="G53" s="2114"/>
      <c r="H53" s="2114"/>
    </row>
    <row r="54" spans="2:13" ht="25.5" x14ac:dyDescent="0.2">
      <c r="B54" s="23"/>
      <c r="C54" s="23"/>
      <c r="D54" s="24" t="str">
        <f>'General Data'!$E$13</f>
        <v>Juillet 2014 - Juin 2015</v>
      </c>
      <c r="E54" s="24">
        <f>'General Data'!$E$14</f>
        <v>0</v>
      </c>
      <c r="F54" s="24">
        <f>'General Data'!$E$15</f>
        <v>0</v>
      </c>
      <c r="G54" s="24">
        <f>'General Data'!$E$16</f>
        <v>0</v>
      </c>
      <c r="H54" s="24">
        <f>'General Data'!$E$17</f>
        <v>0</v>
      </c>
    </row>
    <row r="55" spans="2:13" ht="13.5" thickBot="1" x14ac:dyDescent="0.25">
      <c r="B55" s="25" t="str">
        <f>'TRAD-Data &amp; hypothesis Adults'!B26</f>
        <v>Initiations</v>
      </c>
      <c r="C55" s="25" t="str">
        <f>'TRAD-Data &amp; hypothesis Adults'!B28</f>
        <v>Critère</v>
      </c>
      <c r="D55" s="25" t="str">
        <f>'General Data'!$D$13</f>
        <v>Année 1</v>
      </c>
      <c r="E55" s="25" t="str">
        <f>'General Data'!$D$14</f>
        <v>Année 2</v>
      </c>
      <c r="F55" s="26" t="str">
        <f>'General Data'!$D$15</f>
        <v>Année 3</v>
      </c>
      <c r="G55" s="26" t="str">
        <f>'General Data'!$D$16</f>
        <v>Année 4</v>
      </c>
      <c r="H55" s="26" t="str">
        <f>'General Data'!$D$17</f>
        <v>Année 5</v>
      </c>
    </row>
    <row r="56" spans="2:13" x14ac:dyDescent="0.2">
      <c r="B56" s="14" t="str">
        <f>C26</f>
        <v>AZT+3TC+NVP</v>
      </c>
      <c r="C56" s="1928"/>
      <c r="D56" s="1985">
        <v>0.05</v>
      </c>
      <c r="E56" s="1513">
        <v>0</v>
      </c>
      <c r="F56" s="1513">
        <v>0</v>
      </c>
      <c r="G56" s="1514">
        <v>0</v>
      </c>
      <c r="H56" s="1514">
        <v>0</v>
      </c>
    </row>
    <row r="57" spans="2:13" x14ac:dyDescent="0.2">
      <c r="B57" s="15" t="str">
        <f t="shared" ref="B57:B65" si="2">C27</f>
        <v>AZT+3TC+EFV</v>
      </c>
      <c r="C57" s="1929"/>
      <c r="D57" s="1515">
        <v>5.0000000000000001E-3</v>
      </c>
      <c r="E57" s="1515">
        <v>0</v>
      </c>
      <c r="F57" s="1515">
        <v>0</v>
      </c>
      <c r="G57" s="1515">
        <v>0</v>
      </c>
      <c r="H57" s="1515">
        <v>0</v>
      </c>
    </row>
    <row r="58" spans="2:13" x14ac:dyDescent="0.2">
      <c r="B58" s="27" t="str">
        <f t="shared" si="2"/>
        <v>AZT+3TC+ABC</v>
      </c>
      <c r="C58" s="1933"/>
      <c r="D58" s="1516">
        <v>0.01</v>
      </c>
      <c r="E58" s="1516">
        <v>0</v>
      </c>
      <c r="F58" s="1516">
        <v>0</v>
      </c>
      <c r="G58" s="1516">
        <v>0</v>
      </c>
      <c r="H58" s="1516">
        <v>0</v>
      </c>
    </row>
    <row r="59" spans="2:13" x14ac:dyDescent="0.2">
      <c r="B59" s="27" t="str">
        <f t="shared" si="2"/>
        <v>AZT+3TC+LPV/r</v>
      </c>
      <c r="C59" s="1933"/>
      <c r="D59" s="1516">
        <v>0.01</v>
      </c>
      <c r="E59" s="1516">
        <v>0</v>
      </c>
      <c r="F59" s="1516">
        <v>0</v>
      </c>
      <c r="G59" s="1516">
        <v>0</v>
      </c>
      <c r="H59" s="1516">
        <v>0</v>
      </c>
    </row>
    <row r="60" spans="2:13" x14ac:dyDescent="0.2">
      <c r="B60" s="27" t="str">
        <f t="shared" si="2"/>
        <v>ABC+3TC+EFV</v>
      </c>
      <c r="C60" s="1933"/>
      <c r="D60" s="1516">
        <v>0</v>
      </c>
      <c r="E60" s="1516">
        <v>0</v>
      </c>
      <c r="F60" s="1516">
        <v>0</v>
      </c>
      <c r="G60" s="1516">
        <v>0</v>
      </c>
      <c r="H60" s="1516">
        <v>0</v>
      </c>
    </row>
    <row r="61" spans="2:13" x14ac:dyDescent="0.2">
      <c r="B61" s="15" t="str">
        <f t="shared" si="2"/>
        <v>TDF+FTC/3TC+EFV</v>
      </c>
      <c r="C61" s="1929"/>
      <c r="D61" s="1515">
        <v>0.92</v>
      </c>
      <c r="E61" s="1515">
        <v>0</v>
      </c>
      <c r="F61" s="1515">
        <v>0</v>
      </c>
      <c r="G61" s="1515">
        <v>0</v>
      </c>
      <c r="H61" s="1515">
        <v>0</v>
      </c>
    </row>
    <row r="62" spans="2:13" x14ac:dyDescent="0.2">
      <c r="B62" s="27" t="str">
        <f t="shared" si="2"/>
        <v>TDF+FTC/3TC+LPV/r</v>
      </c>
      <c r="C62" s="1933"/>
      <c r="D62" s="1516">
        <v>0</v>
      </c>
      <c r="E62" s="1516">
        <v>0</v>
      </c>
      <c r="F62" s="1516">
        <v>0</v>
      </c>
      <c r="G62" s="1516">
        <v>0</v>
      </c>
      <c r="H62" s="1516">
        <v>0</v>
      </c>
    </row>
    <row r="63" spans="2:13" x14ac:dyDescent="0.2">
      <c r="B63" s="27" t="str">
        <f t="shared" si="2"/>
        <v>ABC+3TC+LPV/r</v>
      </c>
      <c r="C63" s="1933"/>
      <c r="D63" s="1516">
        <v>5.0000000000000001E-3</v>
      </c>
      <c r="E63" s="1516">
        <v>0</v>
      </c>
      <c r="F63" s="1516">
        <v>0</v>
      </c>
      <c r="G63" s="1516">
        <v>0</v>
      </c>
      <c r="H63" s="1516">
        <v>0</v>
      </c>
    </row>
    <row r="64" spans="2:13" x14ac:dyDescent="0.2">
      <c r="B64" s="27" t="str">
        <f>C34</f>
        <v>TDF+3TC/FTC+ABC</v>
      </c>
      <c r="C64" s="1933"/>
      <c r="D64" s="1516">
        <v>0</v>
      </c>
      <c r="E64" s="1516">
        <v>0</v>
      </c>
      <c r="F64" s="1516">
        <v>0</v>
      </c>
      <c r="G64" s="1516">
        <v>0</v>
      </c>
      <c r="H64" s="1516">
        <v>0</v>
      </c>
    </row>
    <row r="65" spans="2:13" ht="13.5" thickBot="1" x14ac:dyDescent="0.25">
      <c r="B65" s="27">
        <f t="shared" si="2"/>
        <v>0</v>
      </c>
      <c r="C65" s="1934"/>
      <c r="D65" s="1516">
        <v>0</v>
      </c>
      <c r="E65" s="1516">
        <v>0</v>
      </c>
      <c r="F65" s="1516">
        <v>0</v>
      </c>
      <c r="G65" s="1516">
        <v>0</v>
      </c>
      <c r="H65" s="1516">
        <v>0</v>
      </c>
    </row>
    <row r="66" spans="2:13" ht="14.25" thickTop="1" thickBot="1" x14ac:dyDescent="0.25">
      <c r="B66" s="248" t="str">
        <f>'TRAD-Data &amp; hypothesis Adults'!B29</f>
        <v>TOTAL</v>
      </c>
      <c r="C66" s="208"/>
      <c r="D66" s="1517">
        <f>SUM(D56:D64)</f>
        <v>1</v>
      </c>
      <c r="E66" s="1517">
        <f>SUM(E56:E64)</f>
        <v>0</v>
      </c>
      <c r="F66" s="1517">
        <f>SUM(F56:F64)</f>
        <v>0</v>
      </c>
      <c r="G66" s="1517">
        <f>SUM(G56:G64)</f>
        <v>0</v>
      </c>
      <c r="H66" s="1517">
        <f>SUM(H56:H64)</f>
        <v>0</v>
      </c>
    </row>
    <row r="67" spans="2:13" x14ac:dyDescent="0.2">
      <c r="C67" s="19"/>
      <c r="D67" s="4"/>
    </row>
    <row r="69" spans="2:13" s="42" customFormat="1" ht="16.5" customHeight="1" x14ac:dyDescent="0.2">
      <c r="B69" s="2094" t="str">
        <f>'TRAD-Data &amp; hypothesis Adults'!B38</f>
        <v>Proportion de patients en 2ème lignes</v>
      </c>
      <c r="C69" s="2094"/>
      <c r="D69" s="2094"/>
      <c r="E69" s="2094"/>
      <c r="F69" s="2094"/>
      <c r="G69" s="218"/>
      <c r="H69" s="218"/>
      <c r="I69" s="218"/>
      <c r="J69" s="218"/>
      <c r="K69" s="2099"/>
      <c r="L69" s="2099"/>
      <c r="M69" s="2099"/>
    </row>
    <row r="70" spans="2:13" x14ac:dyDescent="0.2">
      <c r="B70" s="23"/>
      <c r="C70" s="946"/>
      <c r="D70" s="22"/>
      <c r="E70" s="23"/>
      <c r="F70" s="23"/>
    </row>
    <row r="71" spans="2:13" ht="115.5" thickBot="1" x14ac:dyDescent="0.25">
      <c r="B71" s="25" t="str">
        <f>'TRAD-Data &amp; hypothesis Adults'!B39</f>
        <v>Année</v>
      </c>
      <c r="C71" s="25" t="str">
        <f>'TRAD-Data &amp; hypothesis Adults'!B40</f>
        <v>Année</v>
      </c>
      <c r="D71" s="26" t="str">
        <f>'TRAD-Data &amp; hypothesis Adults'!B41</f>
        <v>Proportion de patients en échappement thérapeutique en 1ère ligne entrainant un passage en 2ème ligne (à la fin de la période)</v>
      </c>
      <c r="E71" s="1605" t="str">
        <f>'TRAD-Data &amp; hypothesis Adults'!B42</f>
        <v>Nb de patients prévus en 2ème lignes à la fin de la période quantifiée</v>
      </c>
      <c r="F71" s="1605" t="str">
        <f>'TRAD-Data &amp; hypothesis Adults'!B43</f>
        <v>Nb total de patients suivis à la fin de l'année</v>
      </c>
    </row>
    <row r="72" spans="2:13" x14ac:dyDescent="0.2">
      <c r="B72" s="1153" t="str">
        <f>'General Data'!$E$13</f>
        <v>Juillet 2014 - Juin 2015</v>
      </c>
      <c r="C72" s="1153" t="str">
        <f>'General Data'!$D$13</f>
        <v>Année 1</v>
      </c>
      <c r="D72" s="1525">
        <v>5.5E-2</v>
      </c>
      <c r="E72" s="30">
        <f>'Adults YEAR1'!H70+'Adults YEAR1'!I12</f>
        <v>1072</v>
      </c>
      <c r="F72" s="30">
        <f>'Adults YEAR1'!$D$29+'Adults YEAR1'!$F$49</f>
        <v>19487</v>
      </c>
      <c r="H72" s="2115" t="str">
        <f>IF(ISERROR('Adults YEAR1'!I13), "", IF('Adults YEAR1'!I13&gt;D72, "Attention la ratio actuelle de patients en 2ème ligne est supérieure à cette valeur", ""))</f>
        <v/>
      </c>
      <c r="I72" s="2116"/>
      <c r="J72" s="2116"/>
      <c r="K72" s="2116"/>
      <c r="L72" s="2117"/>
    </row>
    <row r="73" spans="2:13" ht="13.5" thickBot="1" x14ac:dyDescent="0.25">
      <c r="B73" s="1153">
        <f>'General Data'!$E$14</f>
        <v>0</v>
      </c>
      <c r="C73" s="1153" t="str">
        <f>'General Data'!$D$14</f>
        <v>Année 2</v>
      </c>
      <c r="D73" s="1525">
        <v>0</v>
      </c>
      <c r="E73" s="30">
        <f>IF('General Data'!$E$11&gt;=2, 'Adults YEAR2'!H70+'Adults YEAR2'!I12, 0)</f>
        <v>0</v>
      </c>
      <c r="F73" s="30">
        <f>IF('General Data'!$E$11&gt;=2, 'Adults YEAR2'!$D$29+'Adults YEAR2'!$F$49, 0)</f>
        <v>0</v>
      </c>
      <c r="H73" s="2118"/>
      <c r="I73" s="2119"/>
      <c r="J73" s="2119"/>
      <c r="K73" s="2119"/>
      <c r="L73" s="2120"/>
    </row>
    <row r="74" spans="2:13" x14ac:dyDescent="0.2">
      <c r="B74" s="1153">
        <f>'General Data'!$E$15</f>
        <v>0</v>
      </c>
      <c r="C74" s="1153" t="str">
        <f>'General Data'!$D$15</f>
        <v>Année 3</v>
      </c>
      <c r="D74" s="1525">
        <v>0</v>
      </c>
      <c r="E74" s="30">
        <f>IF('General Data'!$E$11&gt;=3, 'Adults YEAR3'!H70+'Adults YEAR3'!I12, 0)</f>
        <v>0</v>
      </c>
      <c r="F74" s="30">
        <f>IF('General Data'!$E$11&gt;=3, 'Adults YEAR3'!$D$29+'Adults YEAR3'!$F$49, 0)</f>
        <v>0</v>
      </c>
    </row>
    <row r="75" spans="2:13" x14ac:dyDescent="0.2">
      <c r="B75" s="1153">
        <f>'General Data'!$E$16</f>
        <v>0</v>
      </c>
      <c r="C75" s="1153" t="str">
        <f>'General Data'!$D$16</f>
        <v>Année 4</v>
      </c>
      <c r="D75" s="1525">
        <v>0</v>
      </c>
      <c r="E75" s="30">
        <f>IF('General Data'!$E$11&gt;=4, 'Adults YEAR4'!H70+'Adults YEAR4'!I12, 0)</f>
        <v>0</v>
      </c>
      <c r="F75" s="30">
        <f>IF('General Data'!$E$11&gt;=4, 'Adults YEAR4'!$D$29+'Adults YEAR4'!$F$49, 0)</f>
        <v>0</v>
      </c>
    </row>
    <row r="76" spans="2:13" ht="13.5" thickBot="1" x14ac:dyDescent="0.25">
      <c r="B76" s="1154">
        <f>'General Data'!$E$17</f>
        <v>0</v>
      </c>
      <c r="C76" s="1154" t="str">
        <f>'General Data'!$D$17</f>
        <v>Année 5</v>
      </c>
      <c r="D76" s="1526">
        <v>0</v>
      </c>
      <c r="E76" s="31">
        <f>IF('General Data'!$E$11&gt;=5, 'Adults YEAR5'!H70+'Adults YEAR5'!I12, 0 )</f>
        <v>0</v>
      </c>
      <c r="F76" s="31">
        <f>IF('General Data'!$E$11&gt;=5, 'Adults YEAR5'!$D$29+'Adults YEAR5'!$F$49, 0)</f>
        <v>0</v>
      </c>
    </row>
    <row r="77" spans="2:13" ht="13.5" thickTop="1" x14ac:dyDescent="0.2">
      <c r="B77" s="32"/>
      <c r="C77" s="32"/>
      <c r="D77" s="33"/>
    </row>
    <row r="78" spans="2:13" ht="13.5" thickBot="1" x14ac:dyDescent="0.25">
      <c r="B78" s="34"/>
      <c r="C78" s="34"/>
      <c r="D78" s="35"/>
    </row>
    <row r="79" spans="2:13" ht="13.5" thickBot="1" x14ac:dyDescent="0.25">
      <c r="B79" s="2100" t="str">
        <f>'TRAD-Data &amp; hypothesis Adults'!B44</f>
        <v xml:space="preserve">Passage de 1ère à 2ème ligne </v>
      </c>
      <c r="C79" s="2101"/>
      <c r="D79" s="2101"/>
      <c r="E79" s="2101"/>
      <c r="F79" s="2102"/>
    </row>
    <row r="80" spans="2:13" x14ac:dyDescent="0.2">
      <c r="B80" s="34"/>
      <c r="C80" s="34"/>
      <c r="D80" s="35"/>
    </row>
    <row r="81" spans="2:34" s="1858" customFormat="1" x14ac:dyDescent="0.2">
      <c r="B81" s="878" t="str">
        <f>'TRAD-Data &amp; hypothesis Adults'!B50</f>
        <v>Consigne d'utilisation</v>
      </c>
      <c r="C81" s="1876" t="str">
        <f>'TRAD-Data &amp; hypothesis Adults'!D46</f>
        <v>Pour chaque schéma de première ligne, précisez le(s) schéma(s) de 2ème ligne souhaité(s) à l'aide des menus déroulants</v>
      </c>
      <c r="AD81" s="1860"/>
      <c r="AE81" s="1860"/>
      <c r="AF81" s="1860"/>
      <c r="AG81" s="1860"/>
      <c r="AH81" s="1860"/>
    </row>
    <row r="82" spans="2:34" s="1858" customFormat="1" x14ac:dyDescent="0.2">
      <c r="C82" s="1859" t="str">
        <f>'TRAD-Data &amp; hypothesis Adults'!D47</f>
        <v>Ensuite, pour chacun des schémas sélectionnés, précisez ensuite les proportions attendues</v>
      </c>
      <c r="AD82" s="1860"/>
      <c r="AE82" s="1860"/>
      <c r="AF82" s="1860"/>
      <c r="AG82" s="1860"/>
      <c r="AH82" s="1860"/>
    </row>
    <row r="83" spans="2:34" s="1858" customFormat="1" x14ac:dyDescent="0.2">
      <c r="B83" s="212" t="str">
        <f>'TRAD-Data &amp; hypothesis Adults'!B51</f>
        <v>Attention</v>
      </c>
      <c r="C83" s="1861" t="str">
        <f>'TRAD-Data &amp; hypothesis Adults'!D48</f>
        <v>Si vous changez le détail des schémas dans le tableau 1 tout en haut de cette feuille, vous devez actualiser la sélection des schémas dans ce tableau</v>
      </c>
      <c r="AD83" s="1860"/>
      <c r="AE83" s="1860"/>
      <c r="AF83" s="1860"/>
      <c r="AG83" s="1860"/>
      <c r="AH83" s="1860"/>
    </row>
    <row r="84" spans="2:34" s="1858" customFormat="1" x14ac:dyDescent="0.2">
      <c r="B84" s="212"/>
      <c r="C84" s="1861" t="str">
        <f>'TRAD-Data &amp; hypothesis Adults'!D49</f>
        <v>Les paramètres renseignés ici sont les mêmes pour toute la période quantifiée</v>
      </c>
      <c r="AD84" s="1860"/>
      <c r="AE84" s="1860"/>
      <c r="AF84" s="1860"/>
      <c r="AG84" s="1860"/>
      <c r="AH84" s="1860"/>
    </row>
    <row r="85" spans="2:34" s="1858" customFormat="1" ht="13.5" thickBot="1" x14ac:dyDescent="0.25">
      <c r="AD85" s="1860"/>
      <c r="AE85" s="1860"/>
      <c r="AF85" s="1860"/>
      <c r="AG85" s="1860"/>
      <c r="AH85" s="1860"/>
    </row>
    <row r="86" spans="2:34" s="1862" customFormat="1" ht="13.5" thickBot="1" x14ac:dyDescent="0.25">
      <c r="B86" s="1863" t="str">
        <f>'TRAD-Data &amp; hypothesis Adults'!$B$18</f>
        <v>Schémas thérapeutiques</v>
      </c>
      <c r="C86" s="1882" t="s">
        <v>1588</v>
      </c>
      <c r="D86" s="1883"/>
      <c r="E86" s="1882" t="s">
        <v>1589</v>
      </c>
      <c r="F86" s="1883"/>
      <c r="G86" s="1882" t="s">
        <v>1590</v>
      </c>
      <c r="H86" s="1884"/>
      <c r="P86" s="1864"/>
      <c r="Q86" s="1864"/>
      <c r="R86" s="1864"/>
      <c r="S86" s="1864"/>
      <c r="T86" s="1864"/>
    </row>
    <row r="87" spans="2:34" s="1862" customFormat="1" ht="26.25" thickBot="1" x14ac:dyDescent="0.25">
      <c r="B87" s="1865" t="str">
        <f>'TRAD-Data &amp; hypothesis Adults'!$B$52</f>
        <v>Premières lignes</v>
      </c>
      <c r="C87" s="1866" t="str">
        <f>'TRAD-Data &amp; hypothesis Adults'!$B$55</f>
        <v>Schéma thérapeutique</v>
      </c>
      <c r="D87" s="1867" t="str">
        <f>'TRAD-Data &amp; hypothesis Adults'!$B$56</f>
        <v>Proportion %</v>
      </c>
      <c r="E87" s="1866" t="str">
        <f>'TRAD-Data &amp; hypothesis Adults'!$B$55</f>
        <v>Schéma thérapeutique</v>
      </c>
      <c r="F87" s="1867" t="str">
        <f>'TRAD-Data &amp; hypothesis Adults'!$B$56</f>
        <v>Proportion %</v>
      </c>
      <c r="G87" s="1866" t="str">
        <f>'TRAD-Data &amp; hypothesis Adults'!$B$55</f>
        <v>Schéma thérapeutique</v>
      </c>
      <c r="H87" s="1879" t="str">
        <f>'TRAD-Data &amp; hypothesis Adults'!$B$56</f>
        <v>Proportion %</v>
      </c>
      <c r="P87" s="1864"/>
      <c r="Q87" s="1864"/>
      <c r="R87" s="1864"/>
      <c r="S87" s="1864"/>
      <c r="T87" s="1864"/>
    </row>
    <row r="88" spans="2:34" s="1862" customFormat="1" ht="13.5" thickBot="1" x14ac:dyDescent="0.25">
      <c r="B88" s="1868" t="str">
        <f>$C$26</f>
        <v>AZT+3TC+NVP</v>
      </c>
      <c r="C88" s="1869" t="s">
        <v>352</v>
      </c>
      <c r="D88" s="1870">
        <v>1</v>
      </c>
      <c r="E88" s="1869"/>
      <c r="F88" s="1870"/>
      <c r="G88" s="1869"/>
      <c r="H88" s="1880"/>
      <c r="P88" s="1864"/>
      <c r="Q88" s="1864"/>
      <c r="R88" s="1864"/>
      <c r="S88" s="1864"/>
      <c r="T88" s="1864"/>
    </row>
    <row r="89" spans="2:34" s="1862" customFormat="1" ht="13.5" thickBot="1" x14ac:dyDescent="0.25">
      <c r="B89" s="1871" t="str">
        <f>$C$27</f>
        <v>AZT+3TC+EFV</v>
      </c>
      <c r="C89" s="1869" t="s">
        <v>352</v>
      </c>
      <c r="D89" s="1870">
        <v>1</v>
      </c>
      <c r="E89" s="1869"/>
      <c r="F89" s="1870"/>
      <c r="G89" s="1869"/>
      <c r="H89" s="1880"/>
      <c r="P89" s="1864"/>
      <c r="Q89" s="1864"/>
      <c r="R89" s="1864"/>
      <c r="S89" s="1864"/>
      <c r="T89" s="1864"/>
    </row>
    <row r="90" spans="2:34" s="1862" customFormat="1" ht="13.5" thickBot="1" x14ac:dyDescent="0.25">
      <c r="B90" s="1872" t="str">
        <f>$C$28</f>
        <v>AZT+3TC+ABC</v>
      </c>
      <c r="C90" s="1869" t="s">
        <v>352</v>
      </c>
      <c r="D90" s="1870">
        <v>1</v>
      </c>
      <c r="E90" s="1869"/>
      <c r="F90" s="1870"/>
      <c r="G90" s="1869"/>
      <c r="H90" s="1880"/>
      <c r="P90" s="1864"/>
      <c r="Q90" s="1864"/>
      <c r="R90" s="1864"/>
      <c r="S90" s="1864"/>
      <c r="T90" s="1864"/>
    </row>
    <row r="91" spans="2:34" s="1862" customFormat="1" ht="13.5" thickBot="1" x14ac:dyDescent="0.25">
      <c r="B91" s="1871" t="str">
        <f>$C$29</f>
        <v>AZT+3TC+LPV/r</v>
      </c>
      <c r="C91" s="1869" t="s">
        <v>352</v>
      </c>
      <c r="D91" s="1870">
        <v>1</v>
      </c>
      <c r="E91" s="1869"/>
      <c r="F91" s="1870"/>
      <c r="G91" s="1869"/>
      <c r="H91" s="1880"/>
      <c r="P91" s="1864"/>
      <c r="Q91" s="1864"/>
      <c r="R91" s="1864"/>
      <c r="S91" s="1864"/>
      <c r="T91" s="1864"/>
    </row>
    <row r="92" spans="2:34" s="1862" customFormat="1" ht="13.5" thickBot="1" x14ac:dyDescent="0.25">
      <c r="B92" s="1871" t="str">
        <f>$C$30</f>
        <v>ABC+3TC+EFV</v>
      </c>
      <c r="C92" s="1869" t="s">
        <v>352</v>
      </c>
      <c r="D92" s="1870">
        <v>1</v>
      </c>
      <c r="E92" s="1869"/>
      <c r="F92" s="1870"/>
      <c r="G92" s="1869"/>
      <c r="H92" s="1880"/>
      <c r="P92" s="1864"/>
      <c r="Q92" s="1864"/>
      <c r="R92" s="1864"/>
      <c r="S92" s="1864"/>
      <c r="T92" s="1864"/>
    </row>
    <row r="93" spans="2:34" s="1862" customFormat="1" ht="13.5" thickBot="1" x14ac:dyDescent="0.25">
      <c r="B93" s="1872" t="str">
        <f>$C$31</f>
        <v>TDF+FTC/3TC+EFV</v>
      </c>
      <c r="C93" s="1869" t="s">
        <v>55</v>
      </c>
      <c r="D93" s="1870">
        <v>1</v>
      </c>
      <c r="E93" s="1869"/>
      <c r="F93" s="1870"/>
      <c r="G93" s="1869"/>
      <c r="H93" s="1880"/>
      <c r="P93" s="1864"/>
      <c r="Q93" s="1864"/>
      <c r="R93" s="1864"/>
      <c r="S93" s="1864"/>
      <c r="T93" s="1864"/>
    </row>
    <row r="94" spans="2:34" s="1862" customFormat="1" ht="13.5" thickBot="1" x14ac:dyDescent="0.25">
      <c r="B94" s="1871" t="str">
        <f>$C$32</f>
        <v>TDF+FTC/3TC+LPV/r</v>
      </c>
      <c r="C94" s="1869" t="s">
        <v>55</v>
      </c>
      <c r="D94" s="1870">
        <v>1</v>
      </c>
      <c r="E94" s="1869"/>
      <c r="F94" s="1870"/>
      <c r="G94" s="1869"/>
      <c r="H94" s="1880"/>
      <c r="P94" s="1864"/>
      <c r="Q94" s="1864"/>
      <c r="R94" s="1864"/>
      <c r="S94" s="1864"/>
      <c r="T94" s="1864"/>
    </row>
    <row r="95" spans="2:34" s="1862" customFormat="1" ht="13.5" thickBot="1" x14ac:dyDescent="0.25">
      <c r="B95" s="1871" t="str">
        <f>$C$33</f>
        <v>ABC+3TC+LPV/r</v>
      </c>
      <c r="C95" s="1869" t="s">
        <v>352</v>
      </c>
      <c r="D95" s="1870">
        <v>1</v>
      </c>
      <c r="E95" s="1869"/>
      <c r="F95" s="1870"/>
      <c r="G95" s="1869"/>
      <c r="H95" s="1880"/>
      <c r="P95" s="1864"/>
      <c r="Q95" s="1864"/>
      <c r="R95" s="1864"/>
      <c r="S95" s="1864"/>
      <c r="T95" s="1864"/>
    </row>
    <row r="96" spans="2:34" s="1862" customFormat="1" ht="13.5" thickBot="1" x14ac:dyDescent="0.25">
      <c r="B96" s="1872" t="str">
        <f>$C$34</f>
        <v>TDF+3TC/FTC+ABC</v>
      </c>
      <c r="C96" s="1869"/>
      <c r="D96" s="1870"/>
      <c r="E96" s="1869"/>
      <c r="F96" s="1870"/>
      <c r="G96" s="1869"/>
      <c r="H96" s="1880"/>
      <c r="P96" s="1864"/>
      <c r="Q96" s="1864"/>
      <c r="R96" s="1864"/>
      <c r="S96" s="1864"/>
      <c r="T96" s="1864"/>
    </row>
    <row r="97" spans="2:32" s="1862" customFormat="1" ht="13.5" thickBot="1" x14ac:dyDescent="0.25">
      <c r="B97" s="1873">
        <f>$C$35</f>
        <v>0</v>
      </c>
      <c r="C97" s="1874"/>
      <c r="D97" s="1875"/>
      <c r="E97" s="1874"/>
      <c r="F97" s="1875"/>
      <c r="G97" s="1874"/>
      <c r="H97" s="1881"/>
      <c r="P97" s="1864"/>
      <c r="Q97" s="1864"/>
      <c r="R97" s="1864"/>
      <c r="S97" s="1864"/>
      <c r="T97" s="1864"/>
    </row>
    <row r="98" spans="2:32" s="1858" customFormat="1" x14ac:dyDescent="0.2">
      <c r="AB98" s="1860"/>
      <c r="AC98" s="1860"/>
      <c r="AD98" s="1860"/>
      <c r="AE98" s="1860"/>
      <c r="AF98" s="1860"/>
    </row>
    <row r="99" spans="2:32" s="1858" customFormat="1" x14ac:dyDescent="0.2">
      <c r="B99" s="1898" t="s">
        <v>1735</v>
      </c>
      <c r="C99" s="1899"/>
      <c r="D99" s="1899"/>
      <c r="E99" s="1899"/>
      <c r="F99" s="1899"/>
      <c r="G99" s="1899"/>
      <c r="H99" s="1899"/>
      <c r="AB99" s="1860"/>
      <c r="AC99" s="1860"/>
      <c r="AD99" s="1860"/>
      <c r="AE99" s="1860"/>
      <c r="AF99" s="1860"/>
    </row>
    <row r="100" spans="2:32" s="1858" customFormat="1" x14ac:dyDescent="0.2">
      <c r="B100" s="2089"/>
      <c r="C100" s="2090"/>
      <c r="D100" s="2090"/>
      <c r="E100" s="2090"/>
      <c r="F100" s="2090"/>
      <c r="G100" s="2090"/>
      <c r="H100" s="2090"/>
      <c r="AB100" s="1860"/>
      <c r="AC100" s="1860"/>
      <c r="AD100" s="1860"/>
      <c r="AE100" s="1860"/>
      <c r="AF100" s="1860"/>
    </row>
    <row r="101" spans="2:32" s="1858" customFormat="1" x14ac:dyDescent="0.2">
      <c r="B101" s="212" t="str">
        <f>'TRAD-Data &amp; hypothesis Adults'!B51</f>
        <v>Attention</v>
      </c>
      <c r="C101" s="1861" t="str">
        <f>'TRAD-Data &amp; hypothesis Adults'!B45</f>
        <v>N'inclus pas les patients sur ces schémas au début des périodes</v>
      </c>
      <c r="AB101" s="1860"/>
      <c r="AC101" s="1860"/>
      <c r="AD101" s="1860"/>
      <c r="AE101" s="1860"/>
      <c r="AF101" s="1860"/>
    </row>
    <row r="102" spans="2:32" x14ac:dyDescent="0.2">
      <c r="B102" s="34"/>
      <c r="C102" s="34"/>
      <c r="D102" s="35"/>
    </row>
    <row r="103" spans="2:32" x14ac:dyDescent="0.2">
      <c r="B103" s="34"/>
      <c r="C103" s="2103" t="str">
        <f>'TRAD-Data &amp; hypothesis Adults'!B36</f>
        <v>Proportion</v>
      </c>
      <c r="D103" s="2103"/>
      <c r="E103" s="2103"/>
      <c r="F103" s="2103"/>
      <c r="G103" s="2103"/>
    </row>
    <row r="104" spans="2:32" x14ac:dyDescent="0.2">
      <c r="B104" s="34"/>
      <c r="C104" s="24" t="str">
        <f>'General Data'!$E$13</f>
        <v>Juillet 2014 - Juin 2015</v>
      </c>
      <c r="D104" s="24">
        <f>'General Data'!$E$14</f>
        <v>0</v>
      </c>
      <c r="E104" s="24">
        <f>'General Data'!$E$15</f>
        <v>0</v>
      </c>
      <c r="F104" s="24">
        <f>'General Data'!$E$16</f>
        <v>0</v>
      </c>
      <c r="G104" s="24">
        <f>'General Data'!$E$17</f>
        <v>0</v>
      </c>
    </row>
    <row r="105" spans="2:32" ht="26.25" customHeight="1" thickBot="1" x14ac:dyDescent="0.25">
      <c r="B105" s="26" t="str">
        <f>'TRAD-Data &amp; hypothesis Adults'!B93</f>
        <v>Schéma thérapeutique</v>
      </c>
      <c r="C105" s="25" t="str">
        <f>'General Data'!$D$13</f>
        <v>Année 1</v>
      </c>
      <c r="D105" s="25" t="str">
        <f>'General Data'!$D$14</f>
        <v>Année 2</v>
      </c>
      <c r="E105" s="26" t="str">
        <f>'General Data'!$D$15</f>
        <v>Année 3</v>
      </c>
      <c r="F105" s="26" t="str">
        <f>'General Data'!$D$16</f>
        <v>Année 4</v>
      </c>
      <c r="G105" s="26" t="str">
        <f>'General Data'!$D$17</f>
        <v>Année 5</v>
      </c>
    </row>
    <row r="106" spans="2:32" x14ac:dyDescent="0.2">
      <c r="B106" s="1193" t="str">
        <f>C36</f>
        <v>TDF+FTC/3TC+LPV/r</v>
      </c>
      <c r="C106" s="1905">
        <f>'2nd line switch data'!C104</f>
        <v>424.34186668287776</v>
      </c>
      <c r="D106" s="1905">
        <f>'2nd line switch data'!D104</f>
        <v>0</v>
      </c>
      <c r="E106" s="1905">
        <f>'2nd line switch data'!E104</f>
        <v>0</v>
      </c>
      <c r="F106" s="1905">
        <f>'2nd line switch data'!F104</f>
        <v>0</v>
      </c>
      <c r="G106" s="1905">
        <f>'2nd line switch data'!G104</f>
        <v>0</v>
      </c>
    </row>
    <row r="107" spans="2:32" x14ac:dyDescent="0.2">
      <c r="B107" s="1156" t="str">
        <f t="shared" ref="B107:B112" si="3">C37</f>
        <v>TDF+FTC/3TC+ATV/r</v>
      </c>
      <c r="C107" s="1906">
        <f>'2nd line switch data'!C105</f>
        <v>0</v>
      </c>
      <c r="D107" s="1906">
        <f>'2nd line switch data'!D105</f>
        <v>0</v>
      </c>
      <c r="E107" s="1906">
        <f>'2nd line switch data'!E105</f>
        <v>0</v>
      </c>
      <c r="F107" s="1906">
        <f>'2nd line switch data'!F105</f>
        <v>0</v>
      </c>
      <c r="G107" s="1906">
        <f>'2nd line switch data'!G105</f>
        <v>0</v>
      </c>
    </row>
    <row r="108" spans="2:32" x14ac:dyDescent="0.2">
      <c r="B108" s="36" t="str">
        <f t="shared" si="3"/>
        <v>ABC+DDI+LPV/r</v>
      </c>
      <c r="C108" s="1906">
        <f>'2nd line switch data'!C106</f>
        <v>0</v>
      </c>
      <c r="D108" s="1906">
        <f>'2nd line switch data'!D106</f>
        <v>0</v>
      </c>
      <c r="E108" s="1906">
        <f>'2nd line switch data'!E106</f>
        <v>0</v>
      </c>
      <c r="F108" s="1906">
        <f>'2nd line switch data'!F106</f>
        <v>0</v>
      </c>
      <c r="G108" s="1906">
        <f>'2nd line switch data'!G106</f>
        <v>0</v>
      </c>
    </row>
    <row r="109" spans="2:32" x14ac:dyDescent="0.2">
      <c r="B109" s="1156" t="str">
        <f>C39</f>
        <v>TDF+3TC/FTC+ABC</v>
      </c>
      <c r="C109" s="1906">
        <f>'2nd line switch data'!C107</f>
        <v>0</v>
      </c>
      <c r="D109" s="1906">
        <f>'2nd line switch data'!D107</f>
        <v>0</v>
      </c>
      <c r="E109" s="1906">
        <f>'2nd line switch data'!E107</f>
        <v>0</v>
      </c>
      <c r="F109" s="1906">
        <f>'2nd line switch data'!F107</f>
        <v>0</v>
      </c>
      <c r="G109" s="1906">
        <f>'2nd line switch data'!G107</f>
        <v>0</v>
      </c>
    </row>
    <row r="110" spans="2:32" x14ac:dyDescent="0.2">
      <c r="B110" s="36" t="str">
        <f t="shared" si="3"/>
        <v>AZT+3TC+LPV/r</v>
      </c>
      <c r="C110" s="1906">
        <f>'2nd line switch data'!C108</f>
        <v>195.87603135967444</v>
      </c>
      <c r="D110" s="1906">
        <f>'2nd line switch data'!D108</f>
        <v>0</v>
      </c>
      <c r="E110" s="1906">
        <f>'2nd line switch data'!E108</f>
        <v>0</v>
      </c>
      <c r="F110" s="1906">
        <f>'2nd line switch data'!F108</f>
        <v>0</v>
      </c>
      <c r="G110" s="1906">
        <f>'2nd line switch data'!G108</f>
        <v>0</v>
      </c>
    </row>
    <row r="111" spans="2:32" x14ac:dyDescent="0.2">
      <c r="B111" s="1156">
        <f t="shared" si="3"/>
        <v>0</v>
      </c>
      <c r="C111" s="1906">
        <f>'2nd line switch data'!C109</f>
        <v>0</v>
      </c>
      <c r="D111" s="1906">
        <f>'2nd line switch data'!D109</f>
        <v>0</v>
      </c>
      <c r="E111" s="1906">
        <f>'2nd line switch data'!E109</f>
        <v>0</v>
      </c>
      <c r="F111" s="1906">
        <f>'2nd line switch data'!F109</f>
        <v>0</v>
      </c>
      <c r="G111" s="1906">
        <f>'2nd line switch data'!G109</f>
        <v>0</v>
      </c>
    </row>
    <row r="112" spans="2:32" ht="13.5" thickBot="1" x14ac:dyDescent="0.25">
      <c r="B112" s="1908">
        <f t="shared" si="3"/>
        <v>0</v>
      </c>
      <c r="C112" s="1906">
        <f>'2nd line switch data'!C110</f>
        <v>0</v>
      </c>
      <c r="D112" s="1906">
        <f>'2nd line switch data'!D110</f>
        <v>0</v>
      </c>
      <c r="E112" s="1906">
        <f>'2nd line switch data'!E110</f>
        <v>0</v>
      </c>
      <c r="F112" s="1906">
        <f>'2nd line switch data'!F110</f>
        <v>0</v>
      </c>
      <c r="G112" s="1906">
        <f>'2nd line switch data'!G110</f>
        <v>0</v>
      </c>
    </row>
    <row r="113" spans="2:12" ht="14.25" thickTop="1" thickBot="1" x14ac:dyDescent="0.25">
      <c r="B113" s="247" t="s">
        <v>6</v>
      </c>
      <c r="C113" s="1907">
        <f>SUM(C106:C112)</f>
        <v>620.21789804255218</v>
      </c>
      <c r="D113" s="1907">
        <f t="shared" ref="D113:G113" si="4">SUM(D106:D112)</f>
        <v>0</v>
      </c>
      <c r="E113" s="1907">
        <f t="shared" si="4"/>
        <v>0</v>
      </c>
      <c r="F113" s="1907">
        <f t="shared" si="4"/>
        <v>0</v>
      </c>
      <c r="G113" s="1907">
        <f t="shared" si="4"/>
        <v>0</v>
      </c>
    </row>
    <row r="114" spans="2:12" x14ac:dyDescent="0.2">
      <c r="B114" s="34"/>
      <c r="C114" s="34"/>
      <c r="D114" s="35"/>
    </row>
    <row r="115" spans="2:12" ht="13.5" thickBot="1" x14ac:dyDescent="0.25">
      <c r="B115" s="34"/>
      <c r="C115" s="34"/>
      <c r="D115" s="35"/>
    </row>
    <row r="116" spans="2:12" ht="13.5" thickBot="1" x14ac:dyDescent="0.25">
      <c r="B116" s="2100" t="str">
        <f>'TRAD-Data &amp; hypothesis Adults'!B60</f>
        <v>Défalcation des patients passés en deuxièmes lignes sur les premières lignes</v>
      </c>
      <c r="C116" s="2101"/>
      <c r="D116" s="2101"/>
      <c r="E116" s="2101"/>
      <c r="F116" s="2102"/>
    </row>
    <row r="117" spans="2:12" x14ac:dyDescent="0.2">
      <c r="B117" s="34"/>
      <c r="C117" s="34"/>
      <c r="D117" s="947"/>
    </row>
    <row r="118" spans="2:12" x14ac:dyDescent="0.2">
      <c r="B118" s="2110" t="str">
        <f>'TRAD-Data &amp; hypothesis Adults'!B61</f>
        <v>Pour être plus réalistes dans les calculs des nombres de patients, les patients passant en 2ème lignes sortent des premières lignes proportionnellement au nombre de patients sur chaque schéma</v>
      </c>
      <c r="C118" s="2110"/>
      <c r="D118" s="2110"/>
      <c r="E118" s="2110"/>
      <c r="F118" s="2110"/>
      <c r="G118" s="2110"/>
      <c r="H118" s="2110"/>
      <c r="I118" s="2110"/>
      <c r="J118" s="2110"/>
    </row>
    <row r="119" spans="2:12" x14ac:dyDescent="0.2">
      <c r="B119" s="34"/>
      <c r="C119" s="948"/>
      <c r="D119" s="35"/>
    </row>
    <row r="120" spans="2:12" ht="26.25" customHeight="1" x14ac:dyDescent="0.2">
      <c r="B120" s="2104" t="str">
        <f>'TRAD-Data &amp; hypothesis Adults'!B62</f>
        <v>Toutefois, pour ne pas sous estimer les quantités d'ARV de première ligne, il est possible de limiter la défalcation des besoins sur la première ligne en mentionnant un pourcentage de défalcation</v>
      </c>
      <c r="C120" s="2104"/>
      <c r="D120" s="2104"/>
      <c r="E120" s="2104"/>
      <c r="F120" s="2104"/>
      <c r="G120" s="2104"/>
      <c r="H120" s="2104"/>
      <c r="I120" s="2104"/>
      <c r="J120" s="2104"/>
      <c r="K120" s="2104"/>
      <c r="L120" s="942"/>
    </row>
    <row r="121" spans="2:12" x14ac:dyDescent="0.2">
      <c r="B121" s="8"/>
      <c r="C121" s="34"/>
      <c r="D121" s="35"/>
    </row>
    <row r="122" spans="2:12" x14ac:dyDescent="0.2">
      <c r="B122" s="8" t="str">
        <f>'TRAD-Data &amp; hypothesis Adults'!D64</f>
        <v>Mettre un X majuscule dans la case sélection pour l'option retenue</v>
      </c>
      <c r="C122" s="34"/>
      <c r="D122" s="35"/>
    </row>
    <row r="123" spans="2:12" ht="13.5" thickBot="1" x14ac:dyDescent="0.25">
      <c r="B123" s="942"/>
      <c r="C123" s="34"/>
      <c r="D123" s="35"/>
    </row>
    <row r="124" spans="2:12" ht="13.5" thickBot="1" x14ac:dyDescent="0.25">
      <c r="C124" s="160" t="str">
        <f>'TRAD-Data &amp; hypothesis Adults'!B63</f>
        <v>Diminuer les quantités de premières lignes ?</v>
      </c>
      <c r="G124" s="256"/>
      <c r="H124" s="4" t="str">
        <f>'TRAD-Data &amp; hypothesis Adults'!B68</f>
        <v>OUI</v>
      </c>
    </row>
    <row r="125" spans="2:12" ht="13.5" thickBot="1" x14ac:dyDescent="0.25">
      <c r="C125" s="160"/>
      <c r="G125" s="256" t="s">
        <v>225</v>
      </c>
      <c r="H125" s="4" t="str">
        <f>'TRAD-Data &amp; hypothesis Adults'!B69</f>
        <v>NON</v>
      </c>
    </row>
    <row r="126" spans="2:12" ht="13.5" thickBot="1" x14ac:dyDescent="0.25">
      <c r="C126" s="160" t="str">
        <f>'TRAD-Data &amp; hypothesis Adults'!B65</f>
        <v>Proportion des besoins (nb de cdt) défalquée des 1ères lignes en % ?</v>
      </c>
      <c r="G126" s="257">
        <v>0.9</v>
      </c>
    </row>
    <row r="127" spans="2:12" x14ac:dyDescent="0.2">
      <c r="B127" s="34"/>
      <c r="C127" s="34"/>
      <c r="D127" s="35"/>
      <c r="H127" s="942"/>
    </row>
    <row r="129" spans="2:13" s="42" customFormat="1" ht="16.5" customHeight="1" x14ac:dyDescent="0.2">
      <c r="B129" s="2094" t="str">
        <f>'TRAD-Data &amp; hypothesis Adults'!B67</f>
        <v>Proportion de patients en 3ème lignes</v>
      </c>
      <c r="C129" s="2094"/>
      <c r="D129" s="2094"/>
      <c r="E129" s="2094"/>
      <c r="F129" s="2094"/>
      <c r="G129" s="21"/>
      <c r="H129" s="21"/>
      <c r="I129" s="21"/>
      <c r="J129" s="21"/>
      <c r="K129" s="2105"/>
      <c r="L129" s="2105"/>
      <c r="M129" s="2105"/>
    </row>
    <row r="130" spans="2:13" x14ac:dyDescent="0.2">
      <c r="B130" s="23"/>
      <c r="C130" s="23"/>
      <c r="D130" s="952"/>
      <c r="E130" s="23"/>
      <c r="F130" s="23"/>
      <c r="G130" s="23"/>
    </row>
    <row r="131" spans="2:13" ht="64.5" thickBot="1" x14ac:dyDescent="0.25">
      <c r="B131" s="25" t="str">
        <f>'TRAD-Data &amp; hypothesis Adults'!B70</f>
        <v>Année</v>
      </c>
      <c r="C131" s="25"/>
      <c r="D131" s="1606" t="str">
        <f>'TRAD-Data &amp; hypothesis Adults'!B71</f>
        <v>Proportion de patients en 3ème ligne sur les patients en 2ème lignes</v>
      </c>
      <c r="E131" s="26" t="str">
        <f>'TRAD-Data &amp; hypothesis Adults'!B72</f>
        <v>Proportion des patients en 3ème ligne sur l'ensemble des patients</v>
      </c>
      <c r="F131" s="1605" t="str">
        <f>'TRAD-Data &amp; hypothesis Adults'!B73</f>
        <v>Nombre de patients prévus en 3ème ligne à la fin de l'année</v>
      </c>
      <c r="G131" s="26" t="str">
        <f>'TRAD-Data &amp; hypothesis Adults'!B74</f>
        <v>Nombre total de patients suivis à la fin de la période quantifiée</v>
      </c>
    </row>
    <row r="132" spans="2:13" x14ac:dyDescent="0.2">
      <c r="B132" s="1153" t="str">
        <f>'General Data'!$E$13</f>
        <v>Juillet 2014 - Juin 2015</v>
      </c>
      <c r="C132" s="1153" t="str">
        <f>'General Data'!$D$13</f>
        <v>Année 1</v>
      </c>
      <c r="D132" s="241">
        <v>0</v>
      </c>
      <c r="E132" s="38">
        <f>F132/F72</f>
        <v>0</v>
      </c>
      <c r="F132" s="30">
        <f>'Adults YEAR1'!H85</f>
        <v>0</v>
      </c>
      <c r="G132" s="30">
        <f>'Adults YEAR1'!$D$29+'Adults YEAR1'!$F$49</f>
        <v>19487</v>
      </c>
    </row>
    <row r="133" spans="2:13" x14ac:dyDescent="0.2">
      <c r="B133" s="1153">
        <f>'General Data'!$E$14</f>
        <v>0</v>
      </c>
      <c r="C133" s="1153" t="str">
        <f>'General Data'!$D$14</f>
        <v>Année 2</v>
      </c>
      <c r="D133" s="241">
        <v>0</v>
      </c>
      <c r="E133" s="38" t="e">
        <f>F133/F73</f>
        <v>#DIV/0!</v>
      </c>
      <c r="F133" s="30">
        <f>IF('General Data'!$E$11&gt;=2, 'Adults YEAR2'!H85, 0)</f>
        <v>0</v>
      </c>
      <c r="G133" s="30">
        <f>IF('General Data'!$E$11&gt;=2, 'Adults YEAR2'!$D$29+'Adults YEAR2'!$F$49, 0)</f>
        <v>0</v>
      </c>
    </row>
    <row r="134" spans="2:13" x14ac:dyDescent="0.2">
      <c r="B134" s="1153">
        <f>'General Data'!$E$15</f>
        <v>0</v>
      </c>
      <c r="C134" s="1153" t="str">
        <f>'General Data'!$D$15</f>
        <v>Année 3</v>
      </c>
      <c r="D134" s="241">
        <v>0</v>
      </c>
      <c r="E134" s="38" t="e">
        <f>F134/F74</f>
        <v>#DIV/0!</v>
      </c>
      <c r="F134" s="30">
        <f>IF('General Data'!$E$11&gt;=3, 'Adults YEAR3'!H85, 0)</f>
        <v>0</v>
      </c>
      <c r="G134" s="30">
        <f>IF('General Data'!$E$11&gt;=3, 'Adults YEAR3'!$D$29+'Adults YEAR3'!$F$49, 0)</f>
        <v>0</v>
      </c>
    </row>
    <row r="135" spans="2:13" x14ac:dyDescent="0.2">
      <c r="B135" s="1153">
        <f>'General Data'!$E$16</f>
        <v>0</v>
      </c>
      <c r="C135" s="1153" t="str">
        <f>'General Data'!$D$16</f>
        <v>Année 4</v>
      </c>
      <c r="D135" s="241">
        <v>0</v>
      </c>
      <c r="E135" s="38" t="e">
        <f>F135/F75</f>
        <v>#DIV/0!</v>
      </c>
      <c r="F135" s="30">
        <f>IF('General Data'!$E$11&gt;=4, 'Adults YEAR4'!H85, 0)</f>
        <v>0</v>
      </c>
      <c r="G135" s="30">
        <f>IF('General Data'!$E$11&gt;=4, 'Adults YEAR4'!$D$29+'Adults YEAR4'!$F$49, 0)</f>
        <v>0</v>
      </c>
    </row>
    <row r="136" spans="2:13" ht="13.5" thickBot="1" x14ac:dyDescent="0.25">
      <c r="B136" s="1154">
        <f>'General Data'!$E$17</f>
        <v>0</v>
      </c>
      <c r="C136" s="1154" t="str">
        <f>'General Data'!$D$17</f>
        <v>Année 5</v>
      </c>
      <c r="D136" s="242">
        <v>0</v>
      </c>
      <c r="E136" s="39" t="e">
        <f>F136/F76</f>
        <v>#DIV/0!</v>
      </c>
      <c r="F136" s="31">
        <f>IF('General Data'!$E$11&gt;=5, 'Adults YEAR5'!H85, 0)</f>
        <v>0</v>
      </c>
      <c r="G136" s="31">
        <f>IF('General Data'!$E$11&gt;=5, 'Adults YEAR5'!$D$29+'Adults YEAR5'!$F$49, 0)</f>
        <v>0</v>
      </c>
    </row>
    <row r="137" spans="2:13" ht="13.5" thickTop="1" x14ac:dyDescent="0.2">
      <c r="D137" s="37" t="s">
        <v>721</v>
      </c>
    </row>
    <row r="138" spans="2:13" ht="13.5" thickBot="1" x14ac:dyDescent="0.25"/>
    <row r="139" spans="2:13" ht="13.5" thickBot="1" x14ac:dyDescent="0.25">
      <c r="B139" s="2100" t="str">
        <f>'TRAD-Data &amp; hypothesis Adults'!B75</f>
        <v>Répartition selon les molécules de troisièmes lignes</v>
      </c>
      <c r="C139" s="2101"/>
      <c r="D139" s="2101"/>
      <c r="E139" s="2101"/>
      <c r="F139" s="2102"/>
    </row>
    <row r="141" spans="2:13" x14ac:dyDescent="0.2">
      <c r="D141" s="2103" t="str">
        <f>'TRAD-Data &amp; hypothesis Adults'!B76</f>
        <v>Répartition</v>
      </c>
      <c r="E141" s="2103"/>
      <c r="F141" s="2103"/>
      <c r="G141" s="2103"/>
      <c r="H141" s="2103"/>
    </row>
    <row r="142" spans="2:13" ht="26.25" thickBot="1" x14ac:dyDescent="0.25">
      <c r="D142" s="24" t="str">
        <f>'General Data'!$E$13</f>
        <v>Juillet 2014 - Juin 2015</v>
      </c>
      <c r="E142" s="24">
        <f>'General Data'!$E$14</f>
        <v>0</v>
      </c>
      <c r="F142" s="24">
        <f>'General Data'!$E$15</f>
        <v>0</v>
      </c>
      <c r="G142" s="24">
        <f>'General Data'!$E$16</f>
        <v>0</v>
      </c>
      <c r="H142" s="24">
        <f>'General Data'!$E$17</f>
        <v>0</v>
      </c>
    </row>
    <row r="143" spans="2:13" ht="13.5" thickBot="1" x14ac:dyDescent="0.25">
      <c r="B143" s="40"/>
      <c r="C143" s="40" t="str">
        <f>'TRAD-Data &amp; hypothesis Adults'!B77</f>
        <v>3èmes lignes</v>
      </c>
      <c r="D143" s="25" t="str">
        <f>'General Data'!$D$13</f>
        <v>Année 1</v>
      </c>
      <c r="E143" s="25" t="str">
        <f>'General Data'!$D$14</f>
        <v>Année 2</v>
      </c>
      <c r="F143" s="26" t="str">
        <f>'General Data'!$D$15</f>
        <v>Année 3</v>
      </c>
      <c r="G143" s="26" t="str">
        <f>'General Data'!$D$16</f>
        <v>Année 4</v>
      </c>
      <c r="H143" s="26" t="str">
        <f>'General Data'!$D$17</f>
        <v>Année 5</v>
      </c>
    </row>
    <row r="144" spans="2:13" x14ac:dyDescent="0.2">
      <c r="B144" s="3" t="s">
        <v>85</v>
      </c>
      <c r="C144" s="36" t="s">
        <v>25</v>
      </c>
      <c r="D144" s="243">
        <v>0</v>
      </c>
      <c r="E144" s="243">
        <v>0</v>
      </c>
      <c r="F144" s="243">
        <v>0</v>
      </c>
      <c r="G144" s="243">
        <v>0</v>
      </c>
      <c r="H144" s="243">
        <v>0</v>
      </c>
    </row>
    <row r="145" spans="2:12" x14ac:dyDescent="0.2">
      <c r="B145" s="3"/>
      <c r="C145" s="29" t="s">
        <v>28</v>
      </c>
      <c r="D145" s="241">
        <v>0</v>
      </c>
      <c r="E145" s="241">
        <v>0</v>
      </c>
      <c r="F145" s="241">
        <v>0</v>
      </c>
      <c r="G145" s="241">
        <v>0</v>
      </c>
      <c r="H145" s="241">
        <v>0</v>
      </c>
    </row>
    <row r="146" spans="2:12" x14ac:dyDescent="0.2">
      <c r="B146" s="3"/>
      <c r="C146" s="29" t="s">
        <v>350</v>
      </c>
      <c r="D146" s="241">
        <v>0</v>
      </c>
      <c r="E146" s="241">
        <v>0</v>
      </c>
      <c r="F146" s="241">
        <v>0</v>
      </c>
      <c r="G146" s="241">
        <v>0</v>
      </c>
      <c r="H146" s="241">
        <v>0</v>
      </c>
    </row>
    <row r="147" spans="2:12" x14ac:dyDescent="0.2">
      <c r="B147" s="179"/>
      <c r="C147" s="200" t="s">
        <v>349</v>
      </c>
      <c r="D147" s="244">
        <v>0</v>
      </c>
      <c r="E147" s="244">
        <v>0</v>
      </c>
      <c r="F147" s="244">
        <v>0</v>
      </c>
      <c r="G147" s="244">
        <v>0</v>
      </c>
      <c r="H147" s="244">
        <v>0</v>
      </c>
    </row>
    <row r="148" spans="2:12" x14ac:dyDescent="0.2">
      <c r="B148" s="3" t="s">
        <v>439</v>
      </c>
      <c r="C148" s="29" t="s">
        <v>69</v>
      </c>
      <c r="D148" s="241">
        <v>0</v>
      </c>
      <c r="E148" s="241">
        <v>0</v>
      </c>
      <c r="F148" s="241">
        <v>0</v>
      </c>
      <c r="G148" s="241">
        <v>0</v>
      </c>
      <c r="H148" s="241">
        <v>0</v>
      </c>
    </row>
    <row r="149" spans="2:12" x14ac:dyDescent="0.2">
      <c r="B149" s="3"/>
      <c r="C149" s="29" t="s">
        <v>68</v>
      </c>
      <c r="D149" s="241">
        <v>0</v>
      </c>
      <c r="E149" s="241">
        <v>0</v>
      </c>
      <c r="F149" s="241">
        <v>0</v>
      </c>
      <c r="G149" s="241">
        <v>0</v>
      </c>
      <c r="H149" s="241">
        <v>0</v>
      </c>
    </row>
    <row r="150" spans="2:12" x14ac:dyDescent="0.2">
      <c r="B150" s="3"/>
      <c r="C150" s="29" t="s">
        <v>576</v>
      </c>
      <c r="D150" s="241">
        <v>0</v>
      </c>
      <c r="E150" s="241">
        <v>0</v>
      </c>
      <c r="F150" s="241">
        <v>0</v>
      </c>
      <c r="G150" s="241">
        <v>0</v>
      </c>
      <c r="H150" s="241">
        <v>0</v>
      </c>
    </row>
    <row r="151" spans="2:12" x14ac:dyDescent="0.2">
      <c r="B151" s="179"/>
      <c r="C151" s="200" t="s">
        <v>328</v>
      </c>
      <c r="D151" s="244">
        <v>0</v>
      </c>
      <c r="E151" s="244">
        <v>0</v>
      </c>
      <c r="F151" s="244">
        <v>0</v>
      </c>
      <c r="G151" s="244">
        <v>0</v>
      </c>
      <c r="H151" s="244">
        <v>0</v>
      </c>
    </row>
    <row r="152" spans="2:12" x14ac:dyDescent="0.2">
      <c r="B152" s="203" t="s">
        <v>464</v>
      </c>
      <c r="C152" s="201" t="s">
        <v>329</v>
      </c>
      <c r="D152" s="245">
        <v>0</v>
      </c>
      <c r="E152" s="245">
        <v>0</v>
      </c>
      <c r="F152" s="245">
        <v>0</v>
      </c>
      <c r="G152" s="245">
        <v>0</v>
      </c>
      <c r="H152" s="245">
        <v>0</v>
      </c>
    </row>
    <row r="153" spans="2:12" ht="13.5" thickBot="1" x14ac:dyDescent="0.25">
      <c r="B153" s="204" t="s">
        <v>84</v>
      </c>
      <c r="C153" s="58" t="s">
        <v>330</v>
      </c>
      <c r="D153" s="246">
        <v>0</v>
      </c>
      <c r="E153" s="246">
        <v>0</v>
      </c>
      <c r="F153" s="246">
        <v>0</v>
      </c>
      <c r="G153" s="246">
        <v>0</v>
      </c>
      <c r="H153" s="246">
        <v>0</v>
      </c>
    </row>
    <row r="154" spans="2:12" ht="14.25" thickTop="1" thickBot="1" x14ac:dyDescent="0.25">
      <c r="B154" s="247" t="s">
        <v>6</v>
      </c>
      <c r="C154" s="247"/>
      <c r="D154" s="251">
        <f>SUM(D144:D153)</f>
        <v>0</v>
      </c>
      <c r="E154" s="251">
        <f>SUM(E144:E153)</f>
        <v>0</v>
      </c>
      <c r="F154" s="251">
        <f>SUM(F144:F153)</f>
        <v>0</v>
      </c>
      <c r="G154" s="251">
        <f>SUM(G144:G153)</f>
        <v>0</v>
      </c>
      <c r="H154" s="251">
        <f>SUM(H144:H153)</f>
        <v>0</v>
      </c>
    </row>
    <row r="156" spans="2:12" s="19" customFormat="1" x14ac:dyDescent="0.2">
      <c r="B156" s="180" t="str">
        <f>'TRAD-Data &amp; hypothesis Adults'!B78</f>
        <v>Commentaires</v>
      </c>
      <c r="C156" s="159"/>
      <c r="D156" s="22"/>
      <c r="E156" s="23"/>
      <c r="F156" s="23"/>
      <c r="G156" s="23"/>
    </row>
    <row r="157" spans="2:12" s="19" customFormat="1" x14ac:dyDescent="0.2">
      <c r="C157" s="2111" t="str">
        <f>'TRAD-Data &amp; hypothesis Adults'!B79</f>
        <v>les quantités de RTV sont calculées en fonction du boost défini ci-dessous</v>
      </c>
      <c r="D157" s="2111"/>
      <c r="E157" s="2111"/>
      <c r="F157" s="2111"/>
      <c r="G157" s="2111"/>
      <c r="H157" s="2111"/>
      <c r="I157" s="2111"/>
      <c r="J157" s="2111"/>
      <c r="K157" s="2111"/>
      <c r="L157" s="2111"/>
    </row>
    <row r="158" spans="2:12" s="19" customFormat="1" ht="24" customHeight="1" x14ac:dyDescent="0.2">
      <c r="C158" s="2112" t="str">
        <f>'TRAD-Data &amp; hypothesis Adults'!B80</f>
        <v>Attention à l'utilisation du pourcentage total. Pour couvrir les besoins d'une trithérapie, il faut donc un total de 200 / 300 % en fonction des produits voulus. Une marge peut être prise en compte.</v>
      </c>
      <c r="D158" s="2112"/>
      <c r="E158" s="2112"/>
      <c r="F158" s="2112"/>
      <c r="G158" s="2112"/>
      <c r="H158" s="2112"/>
      <c r="I158" s="2112"/>
      <c r="J158" s="2112"/>
      <c r="K158" s="2112"/>
      <c r="L158" s="2112"/>
    </row>
    <row r="159" spans="2:12" s="19" customFormat="1" x14ac:dyDescent="0.2">
      <c r="C159" s="953"/>
      <c r="D159" s="44"/>
      <c r="J159" s="954"/>
    </row>
    <row r="160" spans="2:12" x14ac:dyDescent="0.2">
      <c r="B160" s="3" t="str">
        <f>'TRAD-Data &amp; hypothesis Adults'!B81</f>
        <v>Le boost par RTV a été considéré ainsi :</v>
      </c>
      <c r="D160" s="4"/>
    </row>
    <row r="161" spans="2:13" x14ac:dyDescent="0.2">
      <c r="C161" s="4" t="s">
        <v>69</v>
      </c>
      <c r="D161" s="4" t="str">
        <f>'TRAD-Data &amp; hypothesis Adults'!B82</f>
        <v>2 caps RTV / j</v>
      </c>
    </row>
    <row r="162" spans="2:13" x14ac:dyDescent="0.2">
      <c r="C162" s="4" t="s">
        <v>68</v>
      </c>
      <c r="D162" s="4" t="str">
        <f>'TRAD-Data &amp; hypothesis Adults'!B82</f>
        <v>2 caps RTV / j</v>
      </c>
    </row>
    <row r="163" spans="2:13" x14ac:dyDescent="0.2">
      <c r="C163" s="4" t="s">
        <v>328</v>
      </c>
      <c r="D163" s="4" t="str">
        <f>'TRAD-Data &amp; hypothesis Adults'!B82</f>
        <v>2 caps RTV / j</v>
      </c>
    </row>
    <row r="164" spans="2:13" x14ac:dyDescent="0.2">
      <c r="D164" s="4"/>
    </row>
    <row r="165" spans="2:13" ht="13.5" thickBot="1" x14ac:dyDescent="0.25"/>
    <row r="166" spans="2:13" ht="13.5" thickBot="1" x14ac:dyDescent="0.25">
      <c r="B166" s="2100" t="str">
        <f>'TRAD-Data &amp; hypothesis Adults'!B83</f>
        <v>Proportion DDI 250 mg vs 400 mg</v>
      </c>
      <c r="C166" s="2101"/>
      <c r="D166" s="2101"/>
      <c r="E166" s="2101"/>
      <c r="F166" s="2102"/>
    </row>
    <row r="167" spans="2:13" ht="13.5" thickBot="1" x14ac:dyDescent="0.25"/>
    <row r="168" spans="2:13" ht="13.5" thickBot="1" x14ac:dyDescent="0.25">
      <c r="B168" s="4" t="str">
        <f>'TRAD-Data &amp; hypothesis Adults'!B84</f>
        <v>Proportion de patients ayant un poids &lt; 60 kg</v>
      </c>
      <c r="D168" s="1458"/>
      <c r="E168" s="59"/>
      <c r="F168" s="60" t="str">
        <f>'TRAD-Data &amp; hypothesis Adults'!B86</f>
        <v>Valeurs courantes</v>
      </c>
      <c r="G168" s="61">
        <v>0.5</v>
      </c>
    </row>
    <row r="169" spans="2:13" ht="13.5" thickBot="1" x14ac:dyDescent="0.25">
      <c r="B169" s="4" t="str">
        <f>'TRAD-Data &amp; hypothesis Adults'!B85</f>
        <v>Proportion de patients ayant un poids &gt; 60 kg</v>
      </c>
      <c r="D169" s="1459">
        <v>1</v>
      </c>
      <c r="E169" s="59"/>
      <c r="F169" s="60" t="str">
        <f>'TRAD-Data &amp; hypothesis Adults'!B86</f>
        <v>Valeurs courantes</v>
      </c>
      <c r="G169" s="61">
        <v>0.6</v>
      </c>
    </row>
    <row r="171" spans="2:13" s="19" customFormat="1" x14ac:dyDescent="0.2">
      <c r="B171" s="180" t="str">
        <f>'TRAD-Data &amp; hypothesis Adults'!B78</f>
        <v>Commentaires</v>
      </c>
      <c r="C171" s="159"/>
      <c r="D171" s="22"/>
      <c r="E171" s="23"/>
      <c r="F171" s="23"/>
      <c r="G171" s="23"/>
    </row>
    <row r="172" spans="2:13" s="19" customFormat="1" x14ac:dyDescent="0.2">
      <c r="C172" s="949" t="str">
        <f>'TRAD-Data &amp; hypothesis Adults'!B88</f>
        <v>le total des 2 peut être supérieur à 100% afin de garantir une marge</v>
      </c>
      <c r="D172" s="44"/>
    </row>
    <row r="173" spans="2:13" x14ac:dyDescent="0.2">
      <c r="D173" s="955"/>
    </row>
    <row r="175" spans="2:13" s="209" customFormat="1" ht="15" x14ac:dyDescent="0.2">
      <c r="B175" s="2094" t="str">
        <f>'TRAD-Data &amp; hypothesis Adults'!B89</f>
        <v>Sélection des schémas thérapeutiques et formes galéniques souhaitées</v>
      </c>
      <c r="C175" s="2094"/>
      <c r="D175" s="2094"/>
      <c r="E175" s="2094"/>
      <c r="F175" s="2094"/>
      <c r="G175" s="210"/>
      <c r="H175" s="210"/>
      <c r="I175" s="210"/>
      <c r="J175" s="210"/>
      <c r="K175" s="210"/>
      <c r="L175" s="210"/>
      <c r="M175" s="210"/>
    </row>
    <row r="176" spans="2:13" customFormat="1" x14ac:dyDescent="0.2"/>
    <row r="177" spans="2:14" customFormat="1" x14ac:dyDescent="0.2">
      <c r="C177" s="211" t="str">
        <f>'TRAD-Data &amp; hypothesis Adults'!B78</f>
        <v>Commentaires</v>
      </c>
      <c r="D177" s="2121" t="str">
        <f>'TRAD-Data &amp; hypothesis Adults'!B90</f>
        <v>Choisir le schéma thérapeutique qui sera le plus utilisé, au regard des besoins</v>
      </c>
      <c r="E177" s="2121"/>
      <c r="F177" s="2121"/>
      <c r="G177" s="2121"/>
      <c r="H177" s="2121"/>
      <c r="I177" s="2121"/>
      <c r="J177" s="2121"/>
      <c r="K177" s="2121"/>
      <c r="L177" s="2121"/>
      <c r="M177" s="2121"/>
      <c r="N177" s="2121"/>
    </row>
    <row r="178" spans="2:14" customFormat="1" x14ac:dyDescent="0.2">
      <c r="C178" s="211"/>
      <c r="D178" s="2121"/>
      <c r="E178" s="2121"/>
      <c r="F178" s="2121"/>
      <c r="G178" s="2121"/>
      <c r="H178" s="2121"/>
      <c r="I178" s="2121"/>
      <c r="J178" s="2121"/>
      <c r="K178" s="2121"/>
      <c r="L178" s="2121"/>
      <c r="M178" s="2121"/>
      <c r="N178" s="2121"/>
    </row>
    <row r="179" spans="2:14" customFormat="1" x14ac:dyDescent="0.2">
      <c r="C179" s="212"/>
      <c r="D179" s="2122" t="str">
        <f>'TRAD-Data &amp; hypothesis Adults'!B91</f>
        <v>Ne choisir qu'un seul schéma thérapeutique et une forme galénique</v>
      </c>
      <c r="E179" s="2122"/>
      <c r="F179" s="2122"/>
      <c r="G179" s="2122"/>
      <c r="H179" s="2122"/>
      <c r="I179" s="2122"/>
      <c r="J179" s="2122"/>
      <c r="K179" s="2122"/>
      <c r="L179" s="2122"/>
      <c r="M179" s="2122"/>
      <c r="N179" s="2122"/>
    </row>
    <row r="180" spans="2:14" customFormat="1" ht="13.5" thickBot="1" x14ac:dyDescent="0.25">
      <c r="C180" s="211"/>
      <c r="D180" s="2123"/>
      <c r="E180" s="2123"/>
      <c r="F180" s="2123"/>
      <c r="G180" s="2123"/>
      <c r="H180" s="2123"/>
      <c r="I180" s="2123"/>
      <c r="J180" s="2123"/>
      <c r="K180" s="2123"/>
      <c r="L180" s="2123"/>
      <c r="M180" s="2123"/>
      <c r="N180" s="2123"/>
    </row>
    <row r="181" spans="2:14" ht="13.5" thickBot="1" x14ac:dyDescent="0.25">
      <c r="B181" s="2100" t="str">
        <f>'TRAD-Data &amp; hypothesis Adults'!B92</f>
        <v>Initiation du schéma NVP</v>
      </c>
      <c r="C181" s="2101"/>
      <c r="D181" s="2101"/>
      <c r="E181" s="2101"/>
      <c r="F181" s="2102"/>
    </row>
    <row r="182" spans="2:14" s="209" customFormat="1" x14ac:dyDescent="0.2"/>
    <row r="183" spans="2:14" s="209" customFormat="1" ht="26.25" customHeight="1" thickBot="1" x14ac:dyDescent="0.25">
      <c r="B183" s="213"/>
      <c r="C183" s="930" t="str">
        <f>'TRAD-Data &amp; hypothesis Adults'!B93</f>
        <v>Schéma thérapeutique</v>
      </c>
      <c r="D183" s="930" t="str">
        <f>'TRAD-Data &amp; hypothesis Adults'!B94</f>
        <v>Option choisie</v>
      </c>
      <c r="E183" s="934" t="str">
        <f>'TRAD-Data &amp; hypothesis Adults'!B95</f>
        <v>Médicament 1</v>
      </c>
      <c r="F183" s="934" t="str">
        <f>'TRAD-Data &amp; hypothesis Adults'!B96</f>
        <v>Médicament 2</v>
      </c>
      <c r="G183" s="934" t="str">
        <f>'TRAD-Data &amp; hypothesis Adults'!B97</f>
        <v>Médicament</v>
      </c>
      <c r="H183" s="2124" t="str">
        <f>'TRAD-Data &amp; hypothesis Adults'!B78</f>
        <v>Commentaires</v>
      </c>
      <c r="I183" s="2125"/>
      <c r="J183" s="2125"/>
      <c r="K183" s="2126"/>
    </row>
    <row r="184" spans="2:14" s="209" customFormat="1" ht="48" customHeight="1" thickBot="1" x14ac:dyDescent="0.25">
      <c r="B184" s="216"/>
      <c r="C184" s="221" t="s">
        <v>346</v>
      </c>
      <c r="D184" s="1408" t="s">
        <v>225</v>
      </c>
      <c r="E184" s="936" t="str">
        <f>'TRAD-Data &amp; hypothesis Adults'!B99</f>
        <v>AZT+3TC 1cp/j</v>
      </c>
      <c r="F184" s="215" t="str">
        <f>'TRAD-Data &amp; hypothesis Adults'!B104</f>
        <v>AZT+3TC+NVP 1cp/j</v>
      </c>
      <c r="G184" s="215"/>
      <c r="H184" s="2133" t="str">
        <f>'TRAD-Data &amp; hypothesis Adults'!B108</f>
        <v>Dans ce cas on considère 1 boite et 15 cp de AZT+3TC+NVP le premier mois</v>
      </c>
      <c r="I184" s="2134"/>
      <c r="J184" s="2134"/>
      <c r="K184" s="2135"/>
    </row>
    <row r="185" spans="2:14" s="209" customFormat="1" ht="47.25" customHeight="1" thickBot="1" x14ac:dyDescent="0.25">
      <c r="B185" s="216"/>
      <c r="C185" s="222"/>
      <c r="D185" s="1409"/>
      <c r="E185" s="937" t="str">
        <f>'TRAD-Data &amp; hypothesis Adults'!B100</f>
        <v>AZT+3TC 2cp/j</v>
      </c>
      <c r="F185" s="214" t="str">
        <f>'TRAD-Data &amp; hypothesis Adults'!B107</f>
        <v>NVP 1cp/j</v>
      </c>
      <c r="G185" s="214"/>
      <c r="H185" s="2136" t="str">
        <f>'TRAD-Data &amp; hypothesis Adults'!B109</f>
        <v>Dans ce cas, on considère pour le premier mois 30 cp d'AZT+3TC et 15 cp de NVP puis 1 boite de AZT+3TC+NVP</v>
      </c>
      <c r="I185" s="2137"/>
      <c r="J185" s="2137"/>
      <c r="K185" s="2138"/>
    </row>
    <row r="186" spans="2:14" s="209" customFormat="1" ht="30" customHeight="1" thickBot="1" x14ac:dyDescent="0.25">
      <c r="B186" s="216"/>
      <c r="C186" s="221" t="s">
        <v>347</v>
      </c>
      <c r="D186" s="1408"/>
      <c r="E186" s="936" t="str">
        <f>'TRAD-Data &amp; hypothesis Adults'!B101</f>
        <v>D4T+3TC 1cp/j</v>
      </c>
      <c r="F186" s="215" t="str">
        <f>'TRAD-Data &amp; hypothesis Adults'!B106</f>
        <v>D4T+3TC+NVP 1cp/j</v>
      </c>
      <c r="G186" s="215"/>
      <c r="H186" s="2133" t="str">
        <f>'TRAD-Data &amp; hypothesis Adults'!B110</f>
        <v>Dans ce cas on considère 1 boite et 15 cp de D4T+3TC+NVP le premier mois</v>
      </c>
      <c r="I186" s="2134"/>
      <c r="J186" s="2134"/>
      <c r="K186" s="2135"/>
    </row>
    <row r="187" spans="2:14" s="209" customFormat="1" ht="30" customHeight="1" thickBot="1" x14ac:dyDescent="0.25">
      <c r="B187" s="216"/>
      <c r="C187" s="222"/>
      <c r="D187" s="1409"/>
      <c r="E187" s="937" t="str">
        <f>'TRAD-Data &amp; hypothesis Adults'!B102</f>
        <v>D4T+3TC 2cp/j</v>
      </c>
      <c r="F187" s="214" t="str">
        <f>'TRAD-Data &amp; hypothesis Adults'!B105</f>
        <v>NVP 1cp/j</v>
      </c>
      <c r="G187" s="214"/>
      <c r="H187" s="2136" t="str">
        <f>'TRAD-Data &amp; hypothesis Adults'!B111</f>
        <v>Dans ce cas, on considère pour le premier mois 30 cp d'D4T+3TC et 15 cp de NVP puis 1 boite de D4T+3TC+NVP</v>
      </c>
      <c r="I187" s="2137"/>
      <c r="J187" s="2137"/>
      <c r="K187" s="2138"/>
    </row>
    <row r="188" spans="2:14" s="209" customFormat="1" x14ac:dyDescent="0.2">
      <c r="D188" s="217"/>
    </row>
    <row r="189" spans="2:14" ht="13.5" thickBot="1" x14ac:dyDescent="0.25"/>
    <row r="190" spans="2:14" ht="13.5" thickBot="1" x14ac:dyDescent="0.25">
      <c r="B190" s="2100" t="str">
        <f>'TRAD-Data &amp; hypothesis Adults'!B103</f>
        <v>Selection</v>
      </c>
      <c r="C190" s="2101"/>
      <c r="D190" s="2101"/>
      <c r="E190" s="2101"/>
      <c r="F190" s="2102"/>
    </row>
    <row r="192" spans="2:14" customFormat="1" x14ac:dyDescent="0.2">
      <c r="C192" s="211" t="str">
        <f>'TRAD-Data &amp; hypothesis Adults'!B98</f>
        <v>Commentaires</v>
      </c>
      <c r="D192" s="2121" t="str">
        <f>'TRAD-Data &amp; hypothesis Adults'!B112</f>
        <v>Pour chaque schéma thérapeutique, mettre un X majuscule dans la case sélection pour l'option retenue</v>
      </c>
      <c r="E192" s="2121"/>
      <c r="F192" s="2121"/>
      <c r="G192" s="2121"/>
      <c r="H192" s="2121"/>
      <c r="I192" s="2121"/>
      <c r="J192" s="2121"/>
      <c r="K192" s="2121"/>
      <c r="L192" s="2121"/>
      <c r="M192" s="2121"/>
      <c r="N192" s="2121"/>
    </row>
    <row r="193" spans="3:30" customFormat="1" x14ac:dyDescent="0.2">
      <c r="C193" s="211"/>
      <c r="D193" s="1802" t="str">
        <f>'TRAD-Data &amp; hypothesis Adults'!B113</f>
        <v>En cas d' ajustement du à une dose (comme pour DDI), mettre un A dans la case sélection pour l'option retenue</v>
      </c>
      <c r="E193" s="1341"/>
      <c r="F193" s="1341"/>
      <c r="G193" s="1341"/>
      <c r="H193" s="1341"/>
      <c r="I193" s="1341"/>
      <c r="J193" s="1341"/>
      <c r="K193" s="1341"/>
      <c r="L193" s="1341"/>
      <c r="M193" s="1341"/>
      <c r="N193" s="1341"/>
    </row>
    <row r="194" spans="3:30" customFormat="1" x14ac:dyDescent="0.2">
      <c r="C194" s="211"/>
      <c r="D194" s="1532" t="str">
        <f>'TRAD-Data &amp; hypothesis Adults'!B132</f>
        <v>Tous les produits inclus dans les outils sont préqualifiés selon la Politique d'Assurance qualité du Fonds Mondiale</v>
      </c>
      <c r="E194" s="1583"/>
      <c r="F194" s="1583"/>
      <c r="G194" s="1583"/>
      <c r="H194" s="1583"/>
      <c r="I194" s="1583"/>
      <c r="J194" s="1583"/>
      <c r="K194" s="1583"/>
      <c r="L194" s="1583"/>
      <c r="M194" s="1583"/>
      <c r="N194" s="1583"/>
    </row>
    <row r="195" spans="3:30" customFormat="1" x14ac:dyDescent="0.2">
      <c r="C195" s="211"/>
      <c r="D195" s="1157"/>
      <c r="E195" s="1157"/>
      <c r="F195" s="1157"/>
      <c r="G195" s="1157"/>
      <c r="H195" s="1157"/>
      <c r="I195" s="1157"/>
      <c r="J195" s="1157"/>
      <c r="K195" s="1157"/>
      <c r="L195" s="1157"/>
      <c r="M195" s="1157"/>
      <c r="N195" s="1157"/>
    </row>
    <row r="196" spans="3:30" x14ac:dyDescent="0.2">
      <c r="C196" s="260"/>
      <c r="D196" s="1162"/>
      <c r="E196" s="1163" t="s">
        <v>75</v>
      </c>
      <c r="F196" s="1163"/>
      <c r="G196" s="1164"/>
      <c r="H196" s="1164"/>
      <c r="I196" s="1164"/>
      <c r="J196" s="1164"/>
      <c r="K196" s="1164"/>
      <c r="L196" s="1164"/>
      <c r="M196" s="1163"/>
      <c r="N196" s="1163" t="s">
        <v>84</v>
      </c>
      <c r="O196" s="1163"/>
      <c r="P196" s="1163" t="s">
        <v>85</v>
      </c>
      <c r="Q196" s="1163"/>
      <c r="R196" s="1163"/>
      <c r="S196" s="1164"/>
      <c r="T196" s="1164"/>
      <c r="U196" s="1163"/>
      <c r="V196" s="1163" t="s">
        <v>87</v>
      </c>
      <c r="W196" s="1164"/>
      <c r="X196" s="1164"/>
      <c r="Y196" s="1164"/>
      <c r="Z196" s="1164"/>
      <c r="AA196" s="1164"/>
      <c r="AB196" s="1163" t="s">
        <v>331</v>
      </c>
      <c r="AC196" s="1163" t="s">
        <v>333</v>
      </c>
    </row>
    <row r="197" spans="3:30" x14ac:dyDescent="0.2">
      <c r="C197" s="260"/>
      <c r="D197" s="1165" t="str">
        <f>'TRAD-Data &amp; hypothesis Adults'!B123</f>
        <v>Produit</v>
      </c>
      <c r="E197" s="1166" t="s">
        <v>7</v>
      </c>
      <c r="F197" s="1166" t="s">
        <v>140</v>
      </c>
      <c r="G197" s="1166" t="s">
        <v>731</v>
      </c>
      <c r="H197" s="1166" t="s">
        <v>11</v>
      </c>
      <c r="I197" s="1166" t="s">
        <v>586</v>
      </c>
      <c r="J197" s="1166" t="s">
        <v>50</v>
      </c>
      <c r="K197" s="1166" t="s">
        <v>81</v>
      </c>
      <c r="L197" s="1166" t="s">
        <v>348</v>
      </c>
      <c r="M197" s="1166" t="s">
        <v>349</v>
      </c>
      <c r="N197" s="1166" t="s">
        <v>17</v>
      </c>
      <c r="O197" s="1166" t="s">
        <v>19</v>
      </c>
      <c r="P197" s="1166" t="s">
        <v>39</v>
      </c>
      <c r="Q197" s="1166" t="s">
        <v>350</v>
      </c>
      <c r="R197" s="1166" t="s">
        <v>25</v>
      </c>
      <c r="S197" s="1166" t="s">
        <v>28</v>
      </c>
      <c r="T197" s="1166" t="s">
        <v>28</v>
      </c>
      <c r="U197" s="1166" t="s">
        <v>22</v>
      </c>
      <c r="V197" s="1166" t="s">
        <v>33</v>
      </c>
      <c r="W197" s="1166" t="s">
        <v>69</v>
      </c>
      <c r="X197" s="1166" t="s">
        <v>335</v>
      </c>
      <c r="Y197" s="1166" t="s">
        <v>68</v>
      </c>
      <c r="Z197" s="1166" t="s">
        <v>576</v>
      </c>
      <c r="AA197" s="1166" t="s">
        <v>343</v>
      </c>
      <c r="AB197" s="1166" t="s">
        <v>329</v>
      </c>
      <c r="AC197" s="1166" t="s">
        <v>330</v>
      </c>
    </row>
    <row r="198" spans="3:30" x14ac:dyDescent="0.2">
      <c r="C198" s="260"/>
      <c r="D198" s="1165" t="str">
        <f>'TRAD-Data &amp; hypothesis Adults'!B125</f>
        <v>Forme galénique</v>
      </c>
      <c r="E198" s="1166" t="str">
        <f>'TRAD-Data &amp; hypothesis Adults'!B119</f>
        <v>tablettes</v>
      </c>
      <c r="F198" s="1166" t="str">
        <f>'TRAD-Data &amp; hypothesis Adults'!B119</f>
        <v>tablettes</v>
      </c>
      <c r="G198" s="1166" t="str">
        <f>'TRAD-Data &amp; hypothesis Adults'!B120</f>
        <v>tablettes/blister</v>
      </c>
      <c r="H198" s="1166" t="str">
        <f>'TRAD-Data &amp; hypothesis Adults'!B119</f>
        <v>tablettes</v>
      </c>
      <c r="I198" s="1166" t="str">
        <f>'TRAD-Data &amp; hypothesis Adults'!B119</f>
        <v>tablettes</v>
      </c>
      <c r="J198" s="1166" t="str">
        <f>'TRAD-Data &amp; hypothesis Adults'!B119</f>
        <v>tablettes</v>
      </c>
      <c r="K198" s="1166" t="str">
        <f>'TRAD-Data &amp; hypothesis Adults'!B119</f>
        <v>tablettes</v>
      </c>
      <c r="L198" s="1166" t="str">
        <f>'TRAD-Data &amp; hypothesis Adults'!B119</f>
        <v>tablettes</v>
      </c>
      <c r="M198" s="1166" t="str">
        <f>'TRAD-Data &amp; hypothesis Adults'!B119</f>
        <v>tablettes</v>
      </c>
      <c r="N198" s="1166" t="str">
        <f>'TRAD-Data &amp; hypothesis Adults'!B119</f>
        <v>tablettes</v>
      </c>
      <c r="O198" s="1166" t="str">
        <f>'TRAD-Data &amp; hypothesis Adults'!B119</f>
        <v>tablettes</v>
      </c>
      <c r="P198" s="1166" t="str">
        <f>'TRAD-Data &amp; hypothesis Adults'!B119</f>
        <v>tablettes</v>
      </c>
      <c r="Q198" s="1166" t="str">
        <f>'TRAD-Data &amp; hypothesis Adults'!B119</f>
        <v>tablettes</v>
      </c>
      <c r="R198" s="1166" t="str">
        <f>'TRAD-Data &amp; hypothesis Adults'!B119</f>
        <v>tablettes</v>
      </c>
      <c r="S198" s="1166" t="s">
        <v>86</v>
      </c>
      <c r="T198" s="1166" t="s">
        <v>86</v>
      </c>
      <c r="U198" s="1166" t="str">
        <f>'TRAD-Data &amp; hypothesis Adults'!B119</f>
        <v>tablettes</v>
      </c>
      <c r="V198" s="1166" t="str">
        <f>'TRAD-Data &amp; hypothesis Adults'!B119</f>
        <v>tablettes</v>
      </c>
      <c r="W198" s="1166" t="s">
        <v>86</v>
      </c>
      <c r="X198" s="1166" t="s">
        <v>88</v>
      </c>
      <c r="Y198" s="1166" t="s">
        <v>88</v>
      </c>
      <c r="Z198" s="1166" t="str">
        <f>'TRAD-Data &amp; hypothesis Adults'!B119</f>
        <v>tablettes</v>
      </c>
      <c r="AA198" s="1166" t="str">
        <f>'TRAD-Data &amp; hypothesis Adults'!B119</f>
        <v>tablettes</v>
      </c>
      <c r="AB198" s="1166" t="str">
        <f>'TRAD-Data &amp; hypothesis Adults'!B119</f>
        <v>tablettes</v>
      </c>
      <c r="AC198" s="1166" t="str">
        <f>'TRAD-Data &amp; hypothesis Adults'!B119</f>
        <v>tablettes</v>
      </c>
    </row>
    <row r="199" spans="3:30" ht="13.5" thickBot="1" x14ac:dyDescent="0.25">
      <c r="C199" s="260"/>
      <c r="D199" s="1165" t="str">
        <f>'TRAD-Data &amp; hypothesis Adults'!B126</f>
        <v>Dose</v>
      </c>
      <c r="E199" s="1166" t="s">
        <v>9</v>
      </c>
      <c r="F199" s="1166" t="s">
        <v>334</v>
      </c>
      <c r="G199" s="1166" t="s">
        <v>734</v>
      </c>
      <c r="H199" s="1166" t="s">
        <v>12</v>
      </c>
      <c r="I199" s="1166" t="s">
        <v>649</v>
      </c>
      <c r="J199" s="1166" t="s">
        <v>80</v>
      </c>
      <c r="K199" s="1166" t="s">
        <v>83</v>
      </c>
      <c r="L199" s="1166" t="s">
        <v>244</v>
      </c>
      <c r="M199" s="1166" t="s">
        <v>24</v>
      </c>
      <c r="N199" s="1166" t="s">
        <v>18</v>
      </c>
      <c r="O199" s="1166" t="s">
        <v>20</v>
      </c>
      <c r="P199" s="1166" t="s">
        <v>23</v>
      </c>
      <c r="Q199" s="1166" t="s">
        <v>16</v>
      </c>
      <c r="R199" s="1166" t="s">
        <v>23</v>
      </c>
      <c r="S199" s="1166" t="s">
        <v>29</v>
      </c>
      <c r="T199" s="1166" t="s">
        <v>32</v>
      </c>
      <c r="U199" s="1166" t="s">
        <v>23</v>
      </c>
      <c r="V199" s="1166" t="s">
        <v>34</v>
      </c>
      <c r="W199" s="1166" t="s">
        <v>32</v>
      </c>
      <c r="X199" s="1166" t="s">
        <v>89</v>
      </c>
      <c r="Y199" s="1166" t="s">
        <v>20</v>
      </c>
      <c r="Z199" s="1166" t="s">
        <v>577</v>
      </c>
      <c r="AA199" s="1166" t="s">
        <v>18</v>
      </c>
      <c r="AB199" s="1166" t="s">
        <v>32</v>
      </c>
      <c r="AC199" s="1166" t="s">
        <v>89</v>
      </c>
      <c r="AD199" s="4" t="str">
        <f>'TRAD-Data &amp; hypothesis Adults'!B118</f>
        <v># Produits choisis pour chaque schéma thérapeutique</v>
      </c>
    </row>
    <row r="200" spans="3:30" x14ac:dyDescent="0.2">
      <c r="C200" s="1250" t="str">
        <f>'TRAD-Data &amp; hypothesis Adults'!B21</f>
        <v>1ères lignes</v>
      </c>
      <c r="D200" s="1251" t="str">
        <f>C26</f>
        <v>AZT+3TC+NVP</v>
      </c>
      <c r="E200" s="1986" t="s">
        <v>225</v>
      </c>
      <c r="F200" s="1986"/>
      <c r="G200" s="1986"/>
      <c r="H200" s="1986"/>
      <c r="I200" s="1986"/>
      <c r="J200" s="1986"/>
      <c r="K200" s="1986"/>
      <c r="L200" s="1986"/>
      <c r="M200" s="1986"/>
      <c r="N200" s="1986"/>
      <c r="O200" s="1986"/>
      <c r="P200" s="1986"/>
      <c r="Q200" s="1986"/>
      <c r="R200" s="1986"/>
      <c r="S200" s="1986"/>
      <c r="T200" s="1986"/>
      <c r="U200" s="1986"/>
      <c r="V200" s="1986"/>
      <c r="W200" s="1986"/>
      <c r="X200" s="1986"/>
      <c r="Y200" s="1986"/>
      <c r="Z200" s="1986"/>
      <c r="AA200" s="1986"/>
      <c r="AB200" s="1986"/>
      <c r="AC200" s="1987"/>
      <c r="AD200" s="1529">
        <f>COUNTIF(E200:AC200, "X")</f>
        <v>1</v>
      </c>
    </row>
    <row r="201" spans="3:30" x14ac:dyDescent="0.2">
      <c r="C201" s="696"/>
      <c r="D201" s="1166" t="str">
        <f t="shared" ref="D201:D216" si="5">C27</f>
        <v>AZT+3TC+EFV</v>
      </c>
      <c r="E201" s="1460"/>
      <c r="F201" s="1460"/>
      <c r="G201" s="1460"/>
      <c r="H201" s="1460" t="s">
        <v>225</v>
      </c>
      <c r="I201" s="1460"/>
      <c r="J201" s="1460"/>
      <c r="K201" s="1460"/>
      <c r="L201" s="1460"/>
      <c r="M201" s="1460"/>
      <c r="N201" s="1460" t="s">
        <v>225</v>
      </c>
      <c r="O201" s="1460"/>
      <c r="P201" s="1460"/>
      <c r="Q201" s="1460"/>
      <c r="R201" s="1460"/>
      <c r="S201" s="1460"/>
      <c r="T201" s="1460"/>
      <c r="U201" s="1460"/>
      <c r="V201" s="1460"/>
      <c r="W201" s="1460"/>
      <c r="X201" s="1460"/>
      <c r="Y201" s="1460"/>
      <c r="Z201" s="1460"/>
      <c r="AA201" s="1460"/>
      <c r="AB201" s="1460"/>
      <c r="AC201" s="1527"/>
      <c r="AD201" s="1530">
        <f t="shared" ref="AD201:AD205" si="6">COUNTIF(E201:AC201, "X")</f>
        <v>2</v>
      </c>
    </row>
    <row r="202" spans="3:30" x14ac:dyDescent="0.2">
      <c r="C202" s="696"/>
      <c r="D202" s="1166" t="str">
        <f t="shared" si="5"/>
        <v>AZT+3TC+ABC</v>
      </c>
      <c r="E202" s="1460"/>
      <c r="F202" s="1460" t="s">
        <v>225</v>
      </c>
      <c r="G202" s="1460"/>
      <c r="H202" s="1460"/>
      <c r="I202" s="1460"/>
      <c r="J202" s="1460"/>
      <c r="K202" s="1460"/>
      <c r="L202" s="1460"/>
      <c r="M202" s="1460"/>
      <c r="N202" s="1460"/>
      <c r="O202" s="1460"/>
      <c r="P202" s="1460"/>
      <c r="Q202" s="1460"/>
      <c r="R202" s="1460"/>
      <c r="S202" s="1460"/>
      <c r="T202" s="1460"/>
      <c r="U202" s="1460"/>
      <c r="V202" s="1460"/>
      <c r="W202" s="1460"/>
      <c r="X202" s="1460"/>
      <c r="Y202" s="1460"/>
      <c r="Z202" s="1460"/>
      <c r="AA202" s="1460"/>
      <c r="AB202" s="1460"/>
      <c r="AC202" s="1527"/>
      <c r="AD202" s="1530">
        <f t="shared" si="6"/>
        <v>1</v>
      </c>
    </row>
    <row r="203" spans="3:30" x14ac:dyDescent="0.2">
      <c r="C203" s="696"/>
      <c r="D203" s="1172" t="str">
        <f t="shared" si="5"/>
        <v>AZT+3TC+LPV/r</v>
      </c>
      <c r="E203" s="1460"/>
      <c r="F203" s="1460"/>
      <c r="G203" s="1460"/>
      <c r="H203" s="1460" t="s">
        <v>225</v>
      </c>
      <c r="I203" s="1460"/>
      <c r="J203" s="1460"/>
      <c r="K203" s="1460"/>
      <c r="L203" s="1460"/>
      <c r="M203" s="1460"/>
      <c r="N203" s="1460"/>
      <c r="O203" s="1460"/>
      <c r="P203" s="1460"/>
      <c r="Q203" s="1460"/>
      <c r="R203" s="1460"/>
      <c r="S203" s="1460"/>
      <c r="T203" s="1460"/>
      <c r="U203" s="1460"/>
      <c r="V203" s="1460" t="s">
        <v>225</v>
      </c>
      <c r="W203" s="1460"/>
      <c r="X203" s="1460"/>
      <c r="Y203" s="1460"/>
      <c r="Z203" s="1460"/>
      <c r="AA203" s="1460"/>
      <c r="AB203" s="1460"/>
      <c r="AC203" s="1527"/>
      <c r="AD203" s="1530">
        <f t="shared" si="6"/>
        <v>2</v>
      </c>
    </row>
    <row r="204" spans="3:30" x14ac:dyDescent="0.2">
      <c r="C204" s="696"/>
      <c r="D204" s="1172" t="str">
        <f t="shared" si="5"/>
        <v>ABC+3TC+EFV</v>
      </c>
      <c r="E204" s="1460"/>
      <c r="F204" s="1460"/>
      <c r="G204" s="1460"/>
      <c r="H204" s="1460"/>
      <c r="I204" s="1460" t="s">
        <v>225</v>
      </c>
      <c r="J204" s="1460"/>
      <c r="K204" s="1460"/>
      <c r="L204" s="1460"/>
      <c r="M204" s="1460"/>
      <c r="N204" s="1460" t="s">
        <v>225</v>
      </c>
      <c r="O204" s="1460"/>
      <c r="P204" s="1460"/>
      <c r="Q204" s="1460"/>
      <c r="R204" s="1460"/>
      <c r="S204" s="1460"/>
      <c r="T204" s="1460"/>
      <c r="U204" s="1460"/>
      <c r="V204" s="1460"/>
      <c r="W204" s="1460"/>
      <c r="X204" s="1460"/>
      <c r="Y204" s="1460"/>
      <c r="Z204" s="1460"/>
      <c r="AA204" s="1460"/>
      <c r="AB204" s="1460"/>
      <c r="AC204" s="1527"/>
      <c r="AD204" s="1530">
        <f t="shared" si="6"/>
        <v>2</v>
      </c>
    </row>
    <row r="205" spans="3:30" x14ac:dyDescent="0.2">
      <c r="C205" s="696"/>
      <c r="D205" s="1166" t="str">
        <f t="shared" si="5"/>
        <v>TDF+FTC/3TC+EFV</v>
      </c>
      <c r="E205" s="1460"/>
      <c r="F205" s="1460"/>
      <c r="G205" s="1460"/>
      <c r="H205" s="1460"/>
      <c r="I205" s="1460"/>
      <c r="J205" s="1460"/>
      <c r="K205" s="1460"/>
      <c r="L205" s="1460" t="s">
        <v>225</v>
      </c>
      <c r="M205" s="1460"/>
      <c r="N205" s="1460"/>
      <c r="O205" s="1460"/>
      <c r="P205" s="1460"/>
      <c r="Q205" s="1460"/>
      <c r="R205" s="1460"/>
      <c r="S205" s="1460"/>
      <c r="T205" s="1460"/>
      <c r="U205" s="1460"/>
      <c r="V205" s="1460"/>
      <c r="W205" s="1460"/>
      <c r="X205" s="1460"/>
      <c r="Y205" s="1460"/>
      <c r="Z205" s="1460"/>
      <c r="AA205" s="1460"/>
      <c r="AB205" s="1460"/>
      <c r="AC205" s="1527"/>
      <c r="AD205" s="1530">
        <f t="shared" si="6"/>
        <v>1</v>
      </c>
    </row>
    <row r="206" spans="3:30" x14ac:dyDescent="0.2">
      <c r="C206" s="696"/>
      <c r="D206" s="1166" t="str">
        <f t="shared" si="5"/>
        <v>TDF+FTC/3TC+LPV/r</v>
      </c>
      <c r="E206" s="1460"/>
      <c r="F206" s="1460"/>
      <c r="G206" s="1460"/>
      <c r="H206" s="1460"/>
      <c r="I206" s="1460"/>
      <c r="J206" s="1460"/>
      <c r="K206" s="1460"/>
      <c r="L206" s="1460"/>
      <c r="M206" s="1460" t="s">
        <v>225</v>
      </c>
      <c r="N206" s="1460"/>
      <c r="O206" s="1460"/>
      <c r="P206" s="1460"/>
      <c r="Q206" s="1460"/>
      <c r="R206" s="1460"/>
      <c r="S206" s="1460"/>
      <c r="T206" s="1460"/>
      <c r="U206" s="1460"/>
      <c r="V206" s="1460" t="s">
        <v>225</v>
      </c>
      <c r="W206" s="1460"/>
      <c r="X206" s="1460"/>
      <c r="Y206" s="1460"/>
      <c r="Z206" s="1460"/>
      <c r="AA206" s="1460"/>
      <c r="AB206" s="1460"/>
      <c r="AC206" s="1527"/>
      <c r="AD206" s="1530">
        <f t="shared" ref="AD206:AD213" si="7">COUNTIF(E206:AC206, "X")</f>
        <v>2</v>
      </c>
    </row>
    <row r="207" spans="3:30" x14ac:dyDescent="0.2">
      <c r="C207" s="696"/>
      <c r="D207" s="1166" t="str">
        <f t="shared" si="5"/>
        <v>ABC+3TC+LPV/r</v>
      </c>
      <c r="E207" s="1460"/>
      <c r="F207" s="1460"/>
      <c r="G207" s="1460"/>
      <c r="H207" s="1460"/>
      <c r="I207" s="1460" t="s">
        <v>225</v>
      </c>
      <c r="J207" s="1460"/>
      <c r="K207" s="1460"/>
      <c r="L207" s="1460"/>
      <c r="M207" s="1460"/>
      <c r="N207" s="1460"/>
      <c r="O207" s="1460"/>
      <c r="P207" s="1460"/>
      <c r="Q207" s="1460"/>
      <c r="R207" s="1460"/>
      <c r="S207" s="1460"/>
      <c r="T207" s="1460"/>
      <c r="U207" s="1460"/>
      <c r="V207" s="1460" t="s">
        <v>225</v>
      </c>
      <c r="W207" s="1460"/>
      <c r="X207" s="1460"/>
      <c r="Y207" s="1460"/>
      <c r="Z207" s="1460"/>
      <c r="AA207" s="1460"/>
      <c r="AB207" s="1460"/>
      <c r="AC207" s="1527"/>
      <c r="AD207" s="1530">
        <f t="shared" si="7"/>
        <v>2</v>
      </c>
    </row>
    <row r="208" spans="3:30" x14ac:dyDescent="0.2">
      <c r="C208" s="696"/>
      <c r="D208" s="1166" t="str">
        <f>C34</f>
        <v>TDF+3TC/FTC+ABC</v>
      </c>
      <c r="E208" s="1460"/>
      <c r="F208" s="1460"/>
      <c r="G208" s="1460"/>
      <c r="H208" s="1460"/>
      <c r="I208" s="1460"/>
      <c r="J208" s="1460"/>
      <c r="K208" s="1460"/>
      <c r="L208" s="1460"/>
      <c r="M208" s="1460"/>
      <c r="N208" s="1460"/>
      <c r="O208" s="1460"/>
      <c r="P208" s="1460"/>
      <c r="Q208" s="1460"/>
      <c r="R208" s="1460"/>
      <c r="S208" s="1460"/>
      <c r="T208" s="1460"/>
      <c r="U208" s="1460"/>
      <c r="V208" s="1460"/>
      <c r="W208" s="1460"/>
      <c r="X208" s="1460"/>
      <c r="Y208" s="1460"/>
      <c r="Z208" s="1460"/>
      <c r="AA208" s="1460"/>
      <c r="AB208" s="1460"/>
      <c r="AC208" s="1527"/>
      <c r="AD208" s="1530">
        <f t="shared" si="7"/>
        <v>0</v>
      </c>
    </row>
    <row r="209" spans="2:30" x14ac:dyDescent="0.2">
      <c r="C209" s="696"/>
      <c r="D209" s="1172">
        <f t="shared" si="5"/>
        <v>0</v>
      </c>
      <c r="E209" s="1460"/>
      <c r="F209" s="1460"/>
      <c r="G209" s="1460"/>
      <c r="H209" s="1460"/>
      <c r="I209" s="1460"/>
      <c r="J209" s="1460"/>
      <c r="K209" s="1460"/>
      <c r="L209" s="1460"/>
      <c r="M209" s="1460"/>
      <c r="N209" s="1460"/>
      <c r="O209" s="1460"/>
      <c r="P209" s="1460"/>
      <c r="Q209" s="1460"/>
      <c r="R209" s="1460"/>
      <c r="S209" s="1460"/>
      <c r="T209" s="1460"/>
      <c r="U209" s="1460"/>
      <c r="V209" s="1460"/>
      <c r="W209" s="1460"/>
      <c r="X209" s="1460"/>
      <c r="Y209" s="1460"/>
      <c r="Z209" s="1460"/>
      <c r="AA209" s="1460"/>
      <c r="AB209" s="1460"/>
      <c r="AC209" s="1527"/>
      <c r="AD209" s="1530">
        <f t="shared" si="7"/>
        <v>0</v>
      </c>
    </row>
    <row r="210" spans="2:30" x14ac:dyDescent="0.2">
      <c r="C210" s="701" t="str">
        <f>'TRAD-Data &amp; hypothesis Adults'!B22</f>
        <v>2èmes lignes</v>
      </c>
      <c r="D210" s="1172" t="str">
        <f t="shared" si="5"/>
        <v>TDF+FTC/3TC+LPV/r</v>
      </c>
      <c r="E210" s="1460"/>
      <c r="F210" s="1460"/>
      <c r="G210" s="1460"/>
      <c r="H210" s="1460"/>
      <c r="I210" s="1460"/>
      <c r="J210" s="1460"/>
      <c r="K210" s="1460"/>
      <c r="L210" s="1460"/>
      <c r="M210" s="1460" t="s">
        <v>225</v>
      </c>
      <c r="N210" s="1460"/>
      <c r="O210" s="1460"/>
      <c r="P210" s="1460"/>
      <c r="Q210" s="1460"/>
      <c r="R210" s="1460"/>
      <c r="S210" s="1460"/>
      <c r="T210" s="1460"/>
      <c r="U210" s="1460"/>
      <c r="V210" s="1460" t="s">
        <v>225</v>
      </c>
      <c r="W210" s="1460"/>
      <c r="X210" s="1460"/>
      <c r="Y210" s="1460"/>
      <c r="Z210" s="1460"/>
      <c r="AA210" s="1460"/>
      <c r="AB210" s="1460"/>
      <c r="AC210" s="1527"/>
      <c r="AD210" s="1530">
        <f t="shared" si="7"/>
        <v>2</v>
      </c>
    </row>
    <row r="211" spans="2:30" x14ac:dyDescent="0.2">
      <c r="C211" s="696"/>
      <c r="D211" s="1172" t="str">
        <f t="shared" si="5"/>
        <v>TDF+FTC/3TC+ATV/r</v>
      </c>
      <c r="E211" s="1460"/>
      <c r="F211" s="1460"/>
      <c r="G211" s="1460"/>
      <c r="H211" s="1460"/>
      <c r="I211" s="1460"/>
      <c r="J211" s="1460"/>
      <c r="K211" s="1460"/>
      <c r="L211" s="1460"/>
      <c r="M211" s="1460" t="s">
        <v>225</v>
      </c>
      <c r="N211" s="1460"/>
      <c r="O211" s="1460"/>
      <c r="P211" s="1460"/>
      <c r="Q211" s="1460"/>
      <c r="R211" s="1460"/>
      <c r="S211" s="1460"/>
      <c r="T211" s="1460"/>
      <c r="U211" s="1460"/>
      <c r="V211" s="1460"/>
      <c r="W211" s="1460"/>
      <c r="X211" s="1460"/>
      <c r="Y211" s="1460"/>
      <c r="Z211" s="1460" t="s">
        <v>225</v>
      </c>
      <c r="AA211" s="1460"/>
      <c r="AB211" s="1460"/>
      <c r="AC211" s="1527"/>
      <c r="AD211" s="1530">
        <f t="shared" si="7"/>
        <v>2</v>
      </c>
    </row>
    <row r="212" spans="2:30" x14ac:dyDescent="0.2">
      <c r="C212" s="696"/>
      <c r="D212" s="1172" t="str">
        <f t="shared" si="5"/>
        <v>ABC+DDI+LPV/r</v>
      </c>
      <c r="E212" s="1460"/>
      <c r="F212" s="1460"/>
      <c r="G212" s="1460"/>
      <c r="H212" s="1460"/>
      <c r="I212" s="1460"/>
      <c r="J212" s="1460"/>
      <c r="K212" s="1460"/>
      <c r="L212" s="1460"/>
      <c r="M212" s="1460"/>
      <c r="N212" s="1460"/>
      <c r="O212" s="1460"/>
      <c r="P212" s="1460"/>
      <c r="Q212" s="1460"/>
      <c r="R212" s="1460"/>
      <c r="S212" s="1460"/>
      <c r="T212" s="1460"/>
      <c r="U212" s="1460"/>
      <c r="V212" s="1460"/>
      <c r="W212" s="1460"/>
      <c r="X212" s="1460"/>
      <c r="Y212" s="1460"/>
      <c r="Z212" s="1460"/>
      <c r="AA212" s="1460"/>
      <c r="AB212" s="1460"/>
      <c r="AC212" s="1527"/>
      <c r="AD212" s="1530">
        <f t="shared" si="7"/>
        <v>0</v>
      </c>
    </row>
    <row r="213" spans="2:30" x14ac:dyDescent="0.2">
      <c r="C213" s="696"/>
      <c r="D213" s="1172" t="str">
        <f>C39</f>
        <v>TDF+3TC/FTC+ABC</v>
      </c>
      <c r="E213" s="1460"/>
      <c r="F213" s="1460"/>
      <c r="G213" s="1460"/>
      <c r="H213" s="1460"/>
      <c r="I213" s="1460"/>
      <c r="J213" s="1460"/>
      <c r="K213" s="1460"/>
      <c r="L213" s="1460"/>
      <c r="M213" s="1460" t="s">
        <v>225</v>
      </c>
      <c r="N213" s="1460"/>
      <c r="O213" s="1460"/>
      <c r="P213" s="1460"/>
      <c r="Q213" s="1460"/>
      <c r="R213" s="1460" t="s">
        <v>225</v>
      </c>
      <c r="S213" s="1460"/>
      <c r="T213" s="1460"/>
      <c r="U213" s="1460"/>
      <c r="V213" s="1460"/>
      <c r="W213" s="1460"/>
      <c r="X213" s="1460"/>
      <c r="Y213" s="1460"/>
      <c r="Z213" s="1460"/>
      <c r="AA213" s="1460"/>
      <c r="AB213" s="1460"/>
      <c r="AC213" s="1527"/>
      <c r="AD213" s="1530">
        <f t="shared" si="7"/>
        <v>2</v>
      </c>
    </row>
    <row r="214" spans="2:30" x14ac:dyDescent="0.2">
      <c r="C214" s="696"/>
      <c r="D214" s="1172" t="str">
        <f t="shared" si="5"/>
        <v>AZT+3TC+LPV/r</v>
      </c>
      <c r="E214" s="1460"/>
      <c r="F214" s="1460"/>
      <c r="G214" s="1460"/>
      <c r="H214" s="1460"/>
      <c r="I214" s="1460"/>
      <c r="J214" s="1460"/>
      <c r="K214" s="1460"/>
      <c r="L214" s="1460"/>
      <c r="M214" s="1460"/>
      <c r="N214" s="1460"/>
      <c r="O214" s="1460"/>
      <c r="P214" s="1460"/>
      <c r="Q214" s="1460"/>
      <c r="R214" s="1460"/>
      <c r="S214" s="1460"/>
      <c r="T214" s="1460"/>
      <c r="U214" s="1460"/>
      <c r="V214" s="1460"/>
      <c r="W214" s="1460"/>
      <c r="X214" s="1460"/>
      <c r="Y214" s="1460"/>
      <c r="Z214" s="1460"/>
      <c r="AA214" s="1460"/>
      <c r="AB214" s="1460"/>
      <c r="AC214" s="1527"/>
      <c r="AD214" s="1530"/>
    </row>
    <row r="215" spans="2:30" x14ac:dyDescent="0.2">
      <c r="C215" s="696"/>
      <c r="D215" s="1172">
        <f t="shared" si="5"/>
        <v>0</v>
      </c>
      <c r="E215" s="1460"/>
      <c r="F215" s="1460"/>
      <c r="G215" s="1460"/>
      <c r="H215" s="1460"/>
      <c r="I215" s="1460"/>
      <c r="J215" s="1460"/>
      <c r="K215" s="1460"/>
      <c r="L215" s="1460"/>
      <c r="M215" s="1460"/>
      <c r="N215" s="1460"/>
      <c r="O215" s="1460"/>
      <c r="P215" s="1460"/>
      <c r="Q215" s="1460"/>
      <c r="R215" s="1460"/>
      <c r="S215" s="1460"/>
      <c r="T215" s="1460"/>
      <c r="U215" s="1460"/>
      <c r="V215" s="1460"/>
      <c r="W215" s="1460"/>
      <c r="X215" s="1460"/>
      <c r="Y215" s="1460"/>
      <c r="Z215" s="1460"/>
      <c r="AA215" s="1460"/>
      <c r="AB215" s="1460"/>
      <c r="AC215" s="1527"/>
      <c r="AD215" s="1530"/>
    </row>
    <row r="216" spans="2:30" ht="13.5" thickBot="1" x14ac:dyDescent="0.25">
      <c r="C216" s="1252"/>
      <c r="D216" s="1190">
        <f t="shared" si="5"/>
        <v>0</v>
      </c>
      <c r="E216" s="1461"/>
      <c r="F216" s="1461"/>
      <c r="G216" s="1461"/>
      <c r="H216" s="1461"/>
      <c r="I216" s="1461"/>
      <c r="J216" s="1461"/>
      <c r="K216" s="1461"/>
      <c r="L216" s="1461"/>
      <c r="M216" s="1461"/>
      <c r="N216" s="1461"/>
      <c r="O216" s="1461"/>
      <c r="P216" s="1461"/>
      <c r="Q216" s="1461"/>
      <c r="R216" s="1461"/>
      <c r="S216" s="1461"/>
      <c r="T216" s="1461"/>
      <c r="U216" s="1461"/>
      <c r="V216" s="1461"/>
      <c r="W216" s="1461"/>
      <c r="X216" s="1461"/>
      <c r="Y216" s="1461"/>
      <c r="Z216" s="1461"/>
      <c r="AA216" s="1461"/>
      <c r="AB216" s="1461"/>
      <c r="AC216" s="1528"/>
      <c r="AD216" s="1531"/>
    </row>
    <row r="218" spans="2:30" ht="13.5" thickBot="1" x14ac:dyDescent="0.25"/>
    <row r="219" spans="2:30" ht="13.5" thickBot="1" x14ac:dyDescent="0.25">
      <c r="B219" s="2100" t="str">
        <f>'TRAD-Data &amp; hypothesis Adults'!B121</f>
        <v>choix FTC/3TC</v>
      </c>
      <c r="C219" s="2101"/>
      <c r="D219" s="2101"/>
      <c r="E219" s="2101"/>
      <c r="F219" s="2102"/>
    </row>
    <row r="220" spans="2:30" s="209" customFormat="1" ht="13.5" thickBot="1" x14ac:dyDescent="0.25">
      <c r="D220" s="216"/>
    </row>
    <row r="221" spans="2:30" s="209" customFormat="1" ht="13.5" customHeight="1" x14ac:dyDescent="0.2">
      <c r="C221" s="219" t="s">
        <v>351</v>
      </c>
      <c r="D221" s="1462"/>
      <c r="E221" s="2127" t="str">
        <f>'TRAD-Data &amp; hypothesis Adults'!B133</f>
        <v xml:space="preserve">TDF+FTC, TDF+FTC/3TC+EFV et FTC </v>
      </c>
      <c r="F221" s="2128"/>
      <c r="G221" s="2128"/>
      <c r="H221" s="2128"/>
      <c r="I221" s="2128"/>
      <c r="J221" s="2128"/>
      <c r="K221" s="2129"/>
    </row>
    <row r="222" spans="2:30" ht="13.5" customHeight="1" thickBot="1" x14ac:dyDescent="0.25">
      <c r="C222" s="220" t="s">
        <v>15</v>
      </c>
      <c r="D222" s="1463" t="s">
        <v>225</v>
      </c>
      <c r="E222" s="2130" t="str">
        <f>'TRAD-Data &amp; hypothesis Adults'!B134</f>
        <v xml:space="preserve">TDF+3TC, TDF+3TC+EFV et 3TC </v>
      </c>
      <c r="F222" s="2131"/>
      <c r="G222" s="2131"/>
      <c r="H222" s="2131"/>
      <c r="I222" s="2131"/>
      <c r="J222" s="2131"/>
      <c r="K222" s="2132"/>
    </row>
    <row r="223" spans="2:30" s="19" customFormat="1" x14ac:dyDescent="0.2">
      <c r="D223" s="223"/>
    </row>
    <row r="224" spans="2:30" s="19" customFormat="1" ht="13.5" thickBot="1" x14ac:dyDescent="0.25">
      <c r="C224" s="181"/>
    </row>
    <row r="225" spans="2:11" ht="13.5" thickBot="1" x14ac:dyDescent="0.25">
      <c r="B225" s="2100" t="str">
        <f>'TRAD-Data &amp; hypothesis Adults'!B122</f>
        <v>posologie pour chaque produit</v>
      </c>
      <c r="C225" s="2101"/>
      <c r="D225" s="2101"/>
      <c r="E225" s="2101"/>
      <c r="F225" s="2102"/>
    </row>
    <row r="226" spans="2:11" ht="13.5" thickBot="1" x14ac:dyDescent="0.25"/>
    <row r="227" spans="2:11" ht="26.25" thickBot="1" x14ac:dyDescent="0.25">
      <c r="C227" s="294"/>
      <c r="D227" s="295" t="str">
        <f>'TRAD-Data &amp; hypothesis Adults'!B123</f>
        <v>Produit</v>
      </c>
      <c r="E227" s="296" t="str">
        <f>'TRAD-Data &amp; hypothesis Adults'!B124</f>
        <v>Nom de spécialité</v>
      </c>
      <c r="F227" s="296" t="str">
        <f>'TRAD-Data &amp; hypothesis Adults'!B125</f>
        <v>Forme galénique</v>
      </c>
      <c r="G227" s="296" t="str">
        <f>'TRAD-Data &amp; hypothesis Adults'!B126</f>
        <v>Dose</v>
      </c>
      <c r="H227" s="406" t="str">
        <f>'TRAD-Data &amp; hypothesis Adults'!B127</f>
        <v>Unité de mesure</v>
      </c>
      <c r="I227" s="1233" t="str">
        <f>'TRAD-Data &amp; hypothesis Adults'!B128</f>
        <v># tab/cap/jr</v>
      </c>
      <c r="J227" s="1233" t="str">
        <f>'TRAD-Data &amp; hypothesis Adults'!B129</f>
        <v># tab/cap/mois</v>
      </c>
      <c r="K227" s="407" t="str">
        <f>'TRAD-Data &amp; hypothesis Adults'!B130</f>
        <v># unité de mesure/mois</v>
      </c>
    </row>
    <row r="228" spans="2:11" x14ac:dyDescent="0.2">
      <c r="C228" s="303" t="s">
        <v>159</v>
      </c>
      <c r="D228" s="304" t="s">
        <v>7</v>
      </c>
      <c r="E228" s="305" t="s">
        <v>76</v>
      </c>
      <c r="F228" s="305" t="s">
        <v>521</v>
      </c>
      <c r="G228" s="1464" t="s">
        <v>9</v>
      </c>
      <c r="H228" s="1465">
        <v>60</v>
      </c>
      <c r="I228" s="1465">
        <v>2</v>
      </c>
      <c r="J228" s="1219">
        <f>I228*30</f>
        <v>60</v>
      </c>
      <c r="K228" s="1220">
        <f>J228/H228</f>
        <v>1</v>
      </c>
    </row>
    <row r="229" spans="2:11" x14ac:dyDescent="0.2">
      <c r="C229" s="312"/>
      <c r="D229" s="313" t="s">
        <v>140</v>
      </c>
      <c r="E229" s="314"/>
      <c r="F229" s="314" t="s">
        <v>521</v>
      </c>
      <c r="G229" s="1466" t="s">
        <v>334</v>
      </c>
      <c r="H229" s="1467">
        <v>60</v>
      </c>
      <c r="I229" s="1467">
        <v>2</v>
      </c>
      <c r="J229" s="1221">
        <f t="shared" ref="J229:J252" si="8">I229*30</f>
        <v>60</v>
      </c>
      <c r="K229" s="1222">
        <f t="shared" ref="K229:K252" si="9">J229/H229</f>
        <v>1</v>
      </c>
    </row>
    <row r="230" spans="2:11" x14ac:dyDescent="0.2">
      <c r="C230" s="321"/>
      <c r="D230" s="322" t="s">
        <v>731</v>
      </c>
      <c r="E230" s="323"/>
      <c r="F230" s="323" t="s">
        <v>732</v>
      </c>
      <c r="G230" s="1468" t="s">
        <v>734</v>
      </c>
      <c r="H230" s="1469">
        <v>60</v>
      </c>
      <c r="I230" s="1470">
        <v>2</v>
      </c>
      <c r="J230" s="1221">
        <f t="shared" ref="J230" si="10">I230*30</f>
        <v>60</v>
      </c>
      <c r="K230" s="1222">
        <f t="shared" ref="K230" si="11">J230/H230</f>
        <v>1</v>
      </c>
    </row>
    <row r="231" spans="2:11" x14ac:dyDescent="0.2">
      <c r="C231" s="321"/>
      <c r="D231" s="322" t="s">
        <v>11</v>
      </c>
      <c r="E231" s="323" t="s">
        <v>78</v>
      </c>
      <c r="F231" s="323" t="s">
        <v>521</v>
      </c>
      <c r="G231" s="1468" t="s">
        <v>12</v>
      </c>
      <c r="H231" s="1469">
        <v>60</v>
      </c>
      <c r="I231" s="1469">
        <v>2</v>
      </c>
      <c r="J231" s="1223">
        <f t="shared" si="8"/>
        <v>60</v>
      </c>
      <c r="K231" s="1224">
        <f t="shared" si="9"/>
        <v>1</v>
      </c>
    </row>
    <row r="232" spans="2:11" x14ac:dyDescent="0.2">
      <c r="C232" s="321"/>
      <c r="D232" s="322" t="s">
        <v>586</v>
      </c>
      <c r="E232" s="323"/>
      <c r="F232" s="323" t="s">
        <v>521</v>
      </c>
      <c r="G232" s="1468" t="s">
        <v>649</v>
      </c>
      <c r="H232" s="1469">
        <v>30</v>
      </c>
      <c r="I232" s="1470">
        <v>1</v>
      </c>
      <c r="J232" s="1225">
        <f>I232*30</f>
        <v>30</v>
      </c>
      <c r="K232" s="1226">
        <f>J232/H232</f>
        <v>1</v>
      </c>
    </row>
    <row r="233" spans="2:11" x14ac:dyDescent="0.2">
      <c r="C233" s="321"/>
      <c r="D233" s="322" t="s">
        <v>50</v>
      </c>
      <c r="E233" s="323" t="s">
        <v>79</v>
      </c>
      <c r="F233" s="323" t="s">
        <v>521</v>
      </c>
      <c r="G233" s="1468" t="s">
        <v>80</v>
      </c>
      <c r="H233" s="1469">
        <v>60</v>
      </c>
      <c r="I233" s="1470">
        <v>2</v>
      </c>
      <c r="J233" s="1225">
        <f t="shared" si="8"/>
        <v>60</v>
      </c>
      <c r="K233" s="1226">
        <f t="shared" si="9"/>
        <v>1</v>
      </c>
    </row>
    <row r="234" spans="2:11" x14ac:dyDescent="0.2">
      <c r="C234" s="321"/>
      <c r="D234" s="322" t="s">
        <v>81</v>
      </c>
      <c r="E234" s="323" t="s">
        <v>82</v>
      </c>
      <c r="F234" s="323" t="s">
        <v>521</v>
      </c>
      <c r="G234" s="1468" t="s">
        <v>83</v>
      </c>
      <c r="H234" s="1469">
        <v>60</v>
      </c>
      <c r="I234" s="1470">
        <v>2</v>
      </c>
      <c r="J234" s="1225">
        <f t="shared" si="8"/>
        <v>60</v>
      </c>
      <c r="K234" s="1226">
        <f t="shared" si="9"/>
        <v>1</v>
      </c>
    </row>
    <row r="235" spans="2:11" x14ac:dyDescent="0.2">
      <c r="C235" s="321"/>
      <c r="D235" s="322" t="s">
        <v>619</v>
      </c>
      <c r="E235" s="323"/>
      <c r="F235" s="323" t="s">
        <v>521</v>
      </c>
      <c r="G235" s="1468" t="s">
        <v>244</v>
      </c>
      <c r="H235" s="1469">
        <v>30</v>
      </c>
      <c r="I235" s="1469">
        <v>1</v>
      </c>
      <c r="J235" s="1223">
        <f t="shared" si="8"/>
        <v>30</v>
      </c>
      <c r="K235" s="1224">
        <f t="shared" si="9"/>
        <v>1</v>
      </c>
    </row>
    <row r="236" spans="2:11" x14ac:dyDescent="0.2">
      <c r="C236" s="330"/>
      <c r="D236" s="331" t="s">
        <v>620</v>
      </c>
      <c r="E236" s="332"/>
      <c r="F236" s="332" t="s">
        <v>521</v>
      </c>
      <c r="G236" s="1471" t="s">
        <v>24</v>
      </c>
      <c r="H236" s="1472">
        <v>30</v>
      </c>
      <c r="I236" s="1472">
        <v>1</v>
      </c>
      <c r="J236" s="1227">
        <f t="shared" si="8"/>
        <v>30</v>
      </c>
      <c r="K236" s="1228">
        <f t="shared" si="9"/>
        <v>1</v>
      </c>
    </row>
    <row r="237" spans="2:11" x14ac:dyDescent="0.2">
      <c r="C237" s="312" t="s">
        <v>84</v>
      </c>
      <c r="D237" s="304" t="s">
        <v>17</v>
      </c>
      <c r="E237" s="305"/>
      <c r="F237" s="305" t="s">
        <v>521</v>
      </c>
      <c r="G237" s="1464" t="s">
        <v>18</v>
      </c>
      <c r="H237" s="1465">
        <v>30</v>
      </c>
      <c r="I237" s="1465">
        <v>1</v>
      </c>
      <c r="J237" s="1219">
        <f t="shared" si="8"/>
        <v>30</v>
      </c>
      <c r="K237" s="1220">
        <f t="shared" si="9"/>
        <v>1</v>
      </c>
    </row>
    <row r="238" spans="2:11" x14ac:dyDescent="0.2">
      <c r="C238" s="330"/>
      <c r="D238" s="331" t="s">
        <v>19</v>
      </c>
      <c r="E238" s="332"/>
      <c r="F238" s="332" t="s">
        <v>521</v>
      </c>
      <c r="G238" s="1471" t="s">
        <v>20</v>
      </c>
      <c r="H238" s="1472">
        <v>60</v>
      </c>
      <c r="I238" s="1472">
        <v>2</v>
      </c>
      <c r="J238" s="1227">
        <f t="shared" si="8"/>
        <v>60</v>
      </c>
      <c r="K238" s="1228">
        <f t="shared" si="9"/>
        <v>1</v>
      </c>
    </row>
    <row r="239" spans="2:11" x14ac:dyDescent="0.2">
      <c r="C239" s="312" t="s">
        <v>85</v>
      </c>
      <c r="D239" s="304" t="s">
        <v>39</v>
      </c>
      <c r="E239" s="305"/>
      <c r="F239" s="305" t="s">
        <v>521</v>
      </c>
      <c r="G239" s="1464" t="s">
        <v>23</v>
      </c>
      <c r="H239" s="1465">
        <v>60</v>
      </c>
      <c r="I239" s="1465">
        <v>2</v>
      </c>
      <c r="J239" s="1219">
        <f t="shared" si="8"/>
        <v>60</v>
      </c>
      <c r="K239" s="1220">
        <f t="shared" si="9"/>
        <v>1</v>
      </c>
    </row>
    <row r="240" spans="2:11" x14ac:dyDescent="0.2">
      <c r="C240" s="312"/>
      <c r="D240" s="313" t="s">
        <v>621</v>
      </c>
      <c r="E240" s="314"/>
      <c r="F240" s="314" t="s">
        <v>521</v>
      </c>
      <c r="G240" s="1466" t="s">
        <v>16</v>
      </c>
      <c r="H240" s="1467">
        <v>60</v>
      </c>
      <c r="I240" s="1467">
        <v>2</v>
      </c>
      <c r="J240" s="1221">
        <f t="shared" si="8"/>
        <v>60</v>
      </c>
      <c r="K240" s="1222">
        <f t="shared" si="9"/>
        <v>1</v>
      </c>
    </row>
    <row r="241" spans="3:11" x14ac:dyDescent="0.2">
      <c r="C241" s="312"/>
      <c r="D241" s="313" t="s">
        <v>25</v>
      </c>
      <c r="E241" s="314"/>
      <c r="F241" s="314" t="s">
        <v>521</v>
      </c>
      <c r="G241" s="1466" t="s">
        <v>23</v>
      </c>
      <c r="H241" s="1467">
        <v>60</v>
      </c>
      <c r="I241" s="1467">
        <v>2</v>
      </c>
      <c r="J241" s="1221">
        <f t="shared" si="8"/>
        <v>60</v>
      </c>
      <c r="K241" s="1222">
        <f t="shared" si="9"/>
        <v>1</v>
      </c>
    </row>
    <row r="242" spans="3:11" x14ac:dyDescent="0.2">
      <c r="C242" s="321"/>
      <c r="D242" s="322" t="s">
        <v>28</v>
      </c>
      <c r="E242" s="323"/>
      <c r="F242" s="323" t="s">
        <v>88</v>
      </c>
      <c r="G242" s="1468" t="s">
        <v>29</v>
      </c>
      <c r="H242" s="1469">
        <v>30</v>
      </c>
      <c r="I242" s="1469">
        <v>1</v>
      </c>
      <c r="J242" s="1223">
        <f t="shared" si="8"/>
        <v>30</v>
      </c>
      <c r="K242" s="1224">
        <f t="shared" si="9"/>
        <v>1</v>
      </c>
    </row>
    <row r="243" spans="3:11" x14ac:dyDescent="0.2">
      <c r="C243" s="321"/>
      <c r="D243" s="322" t="s">
        <v>28</v>
      </c>
      <c r="E243" s="323"/>
      <c r="F243" s="323" t="s">
        <v>88</v>
      </c>
      <c r="G243" s="1468" t="s">
        <v>32</v>
      </c>
      <c r="H243" s="1469">
        <v>30</v>
      </c>
      <c r="I243" s="1469">
        <v>1</v>
      </c>
      <c r="J243" s="1223">
        <f t="shared" si="8"/>
        <v>30</v>
      </c>
      <c r="K243" s="1224">
        <f t="shared" si="9"/>
        <v>1</v>
      </c>
    </row>
    <row r="244" spans="3:11" x14ac:dyDescent="0.2">
      <c r="C244" s="330"/>
      <c r="D244" s="331" t="s">
        <v>22</v>
      </c>
      <c r="E244" s="332"/>
      <c r="F244" s="332" t="s">
        <v>521</v>
      </c>
      <c r="G244" s="1471" t="s">
        <v>23</v>
      </c>
      <c r="H244" s="1472">
        <v>30</v>
      </c>
      <c r="I244" s="1472">
        <v>1</v>
      </c>
      <c r="J244" s="1227">
        <f t="shared" si="8"/>
        <v>30</v>
      </c>
      <c r="K244" s="1228">
        <f t="shared" si="9"/>
        <v>1</v>
      </c>
    </row>
    <row r="245" spans="3:11" x14ac:dyDescent="0.2">
      <c r="C245" s="312" t="s">
        <v>87</v>
      </c>
      <c r="D245" s="304" t="s">
        <v>33</v>
      </c>
      <c r="E245" s="305"/>
      <c r="F245" s="305" t="s">
        <v>521</v>
      </c>
      <c r="G245" s="1464" t="s">
        <v>34</v>
      </c>
      <c r="H245" s="1465">
        <v>120</v>
      </c>
      <c r="I245" s="1467">
        <v>4</v>
      </c>
      <c r="J245" s="1221">
        <f t="shared" si="8"/>
        <v>120</v>
      </c>
      <c r="K245" s="1222">
        <f t="shared" si="9"/>
        <v>1</v>
      </c>
    </row>
    <row r="246" spans="3:11" x14ac:dyDescent="0.2">
      <c r="C246" s="321"/>
      <c r="D246" s="313" t="s">
        <v>69</v>
      </c>
      <c r="E246" s="314"/>
      <c r="F246" s="314" t="s">
        <v>88</v>
      </c>
      <c r="G246" s="1466" t="s">
        <v>32</v>
      </c>
      <c r="H246" s="1467">
        <v>180</v>
      </c>
      <c r="I246" s="1473">
        <v>4</v>
      </c>
      <c r="J246" s="1234">
        <f t="shared" si="8"/>
        <v>120</v>
      </c>
      <c r="K246" s="1229">
        <f t="shared" si="9"/>
        <v>0.66666666666666663</v>
      </c>
    </row>
    <row r="247" spans="3:11" x14ac:dyDescent="0.2">
      <c r="C247" s="321"/>
      <c r="D247" s="322" t="s">
        <v>70</v>
      </c>
      <c r="E247" s="323"/>
      <c r="F247" s="323" t="s">
        <v>88</v>
      </c>
      <c r="G247" s="1468" t="s">
        <v>89</v>
      </c>
      <c r="H247" s="1469">
        <v>84</v>
      </c>
      <c r="I247" s="1474">
        <v>2</v>
      </c>
      <c r="J247" s="1235">
        <f t="shared" si="8"/>
        <v>60</v>
      </c>
      <c r="K247" s="1230">
        <f t="shared" si="9"/>
        <v>0.7142857142857143</v>
      </c>
    </row>
    <row r="248" spans="3:11" x14ac:dyDescent="0.2">
      <c r="C248" s="321"/>
      <c r="D248" s="322" t="s">
        <v>68</v>
      </c>
      <c r="E248" s="323"/>
      <c r="F248" s="323" t="s">
        <v>88</v>
      </c>
      <c r="G248" s="1468" t="s">
        <v>256</v>
      </c>
      <c r="H248" s="1469">
        <v>120</v>
      </c>
      <c r="I248" s="1469">
        <v>4</v>
      </c>
      <c r="J248" s="1223">
        <f t="shared" si="8"/>
        <v>120</v>
      </c>
      <c r="K248" s="1224">
        <f t="shared" si="9"/>
        <v>1</v>
      </c>
    </row>
    <row r="249" spans="3:11" x14ac:dyDescent="0.2">
      <c r="C249" s="321"/>
      <c r="D249" s="322" t="s">
        <v>576</v>
      </c>
      <c r="E249" s="323"/>
      <c r="F249" s="323" t="s">
        <v>521</v>
      </c>
      <c r="G249" s="1468" t="s">
        <v>577</v>
      </c>
      <c r="H249" s="1469">
        <v>30</v>
      </c>
      <c r="I249" s="1469">
        <v>1</v>
      </c>
      <c r="J249" s="1223">
        <f t="shared" si="8"/>
        <v>30</v>
      </c>
      <c r="K249" s="1224">
        <f t="shared" si="9"/>
        <v>1</v>
      </c>
    </row>
    <row r="250" spans="3:11" x14ac:dyDescent="0.2">
      <c r="C250" s="339"/>
      <c r="D250" s="331" t="s">
        <v>328</v>
      </c>
      <c r="E250" s="332"/>
      <c r="F250" s="332" t="s">
        <v>521</v>
      </c>
      <c r="G250" s="1471" t="s">
        <v>18</v>
      </c>
      <c r="H250" s="1472">
        <v>60</v>
      </c>
      <c r="I250" s="1472">
        <v>2</v>
      </c>
      <c r="J250" s="1227">
        <f t="shared" si="8"/>
        <v>60</v>
      </c>
      <c r="K250" s="1228">
        <f t="shared" si="9"/>
        <v>1</v>
      </c>
    </row>
    <row r="251" spans="3:11" x14ac:dyDescent="0.2">
      <c r="C251" s="330" t="s">
        <v>331</v>
      </c>
      <c r="D251" s="331" t="s">
        <v>329</v>
      </c>
      <c r="E251" s="332"/>
      <c r="F251" s="332" t="s">
        <v>521</v>
      </c>
      <c r="G251" s="1471" t="s">
        <v>32</v>
      </c>
      <c r="H251" s="1472">
        <v>60</v>
      </c>
      <c r="I251" s="1472">
        <v>2</v>
      </c>
      <c r="J251" s="1227">
        <f t="shared" si="8"/>
        <v>60</v>
      </c>
      <c r="K251" s="1228">
        <f t="shared" si="9"/>
        <v>1</v>
      </c>
    </row>
    <row r="252" spans="3:11" ht="13.5" thickBot="1" x14ac:dyDescent="0.25">
      <c r="C252" s="340" t="s">
        <v>333</v>
      </c>
      <c r="D252" s="341" t="s">
        <v>330</v>
      </c>
      <c r="E252" s="342"/>
      <c r="F252" s="342" t="s">
        <v>521</v>
      </c>
      <c r="G252" s="1475" t="s">
        <v>89</v>
      </c>
      <c r="H252" s="1476">
        <v>120</v>
      </c>
      <c r="I252" s="1476">
        <v>4</v>
      </c>
      <c r="J252" s="1231">
        <f t="shared" si="8"/>
        <v>120</v>
      </c>
      <c r="K252" s="1232">
        <f t="shared" si="9"/>
        <v>1</v>
      </c>
    </row>
  </sheetData>
  <sheetProtection password="D0E7" sheet="1" objects="1" scenarios="1"/>
  <mergeCells count="42">
    <mergeCell ref="D192:N192"/>
    <mergeCell ref="B225:F225"/>
    <mergeCell ref="D177:N177"/>
    <mergeCell ref="D178:N178"/>
    <mergeCell ref="D179:N179"/>
    <mergeCell ref="D180:N180"/>
    <mergeCell ref="H183:K183"/>
    <mergeCell ref="B181:F181"/>
    <mergeCell ref="E221:K221"/>
    <mergeCell ref="E222:K222"/>
    <mergeCell ref="H184:K184"/>
    <mergeCell ref="H185:K185"/>
    <mergeCell ref="H186:K186"/>
    <mergeCell ref="H187:K187"/>
    <mergeCell ref="B219:F219"/>
    <mergeCell ref="D6:G6"/>
    <mergeCell ref="I7:J7"/>
    <mergeCell ref="B118:J118"/>
    <mergeCell ref="B190:F190"/>
    <mergeCell ref="B175:F175"/>
    <mergeCell ref="C157:L157"/>
    <mergeCell ref="C158:L158"/>
    <mergeCell ref="B23:L23"/>
    <mergeCell ref="D53:H53"/>
    <mergeCell ref="H72:L73"/>
    <mergeCell ref="B22:L22"/>
    <mergeCell ref="A2:M2"/>
    <mergeCell ref="B69:F69"/>
    <mergeCell ref="K69:M69"/>
    <mergeCell ref="K20:M20"/>
    <mergeCell ref="B166:F166"/>
    <mergeCell ref="B139:F139"/>
    <mergeCell ref="D141:H141"/>
    <mergeCell ref="B79:F79"/>
    <mergeCell ref="C103:G103"/>
    <mergeCell ref="B116:F116"/>
    <mergeCell ref="B120:K120"/>
    <mergeCell ref="K129:M129"/>
    <mergeCell ref="B129:F129"/>
    <mergeCell ref="K4:M4"/>
    <mergeCell ref="I6:J6"/>
    <mergeCell ref="K51:M51"/>
  </mergeCells>
  <phoneticPr fontId="12" type="noConversion"/>
  <dataValidations count="1">
    <dataValidation type="list" allowBlank="1" showInputMessage="1" showErrorMessage="1" sqref="C88:C97 G88:G97 E88:E97">
      <formula1>$C$36:$C$42</formula1>
    </dataValidation>
  </dataValidations>
  <printOptions horizontalCentered="1"/>
  <pageMargins left="0.23622047244094491" right="0.23622047244094491" top="0.31496062992125984" bottom="0.55118110236220474" header="0.31496062992125984" footer="0.31496062992125984"/>
  <pageSetup paperSize="9" scale="74" orientation="landscape" r:id="rId1"/>
  <rowBreaks count="3" manualBreakCount="3">
    <brk id="50" max="12" man="1"/>
    <brk id="127" max="12" man="1"/>
    <brk id="174" max="12" man="1"/>
  </rowBreaks>
  <colBreaks count="1" manualBreakCount="1">
    <brk id="13" max="1048575" man="1"/>
  </colBreak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3366"/>
  </sheetPr>
  <dimension ref="A2:AK112"/>
  <sheetViews>
    <sheetView showGridLines="0" topLeftCell="A82" workbookViewId="0">
      <selection activeCell="I13" sqref="I13"/>
    </sheetView>
  </sheetViews>
  <sheetFormatPr baseColWidth="10" defaultRowHeight="12.75" x14ac:dyDescent="0.2"/>
  <cols>
    <col min="2" max="2" width="19.1640625" bestFit="1" customWidth="1"/>
    <col min="10" max="10" width="18.1640625" customWidth="1"/>
  </cols>
  <sheetData>
    <row r="2" spans="1:33" ht="15" x14ac:dyDescent="0.2">
      <c r="A2" s="1855" t="str">
        <f>'TRAD-Data &amp; hypothesis Adults'!B136</f>
        <v>Passage en 2ème ligne - spécifications par schémas</v>
      </c>
      <c r="B2" s="1855"/>
      <c r="C2" s="1855"/>
      <c r="D2" s="1855"/>
      <c r="E2" s="1855"/>
      <c r="F2" s="21"/>
      <c r="G2" s="21"/>
      <c r="H2" s="21"/>
    </row>
    <row r="3" spans="1:33" ht="13.5" thickBot="1" x14ac:dyDescent="0.25"/>
    <row r="4" spans="1:33" s="1862" customFormat="1" ht="26.25" thickBot="1" x14ac:dyDescent="0.25">
      <c r="B4" s="1863" t="str">
        <f>'Data &amp; hypothesis Adults'!B86</f>
        <v>Schémas thérapeutiques</v>
      </c>
      <c r="C4" s="1882" t="str">
        <f>'Data &amp; hypothesis Adults'!C86</f>
        <v>Option 1</v>
      </c>
      <c r="D4" s="1883">
        <f>'Data &amp; hypothesis Adults'!D86</f>
        <v>0</v>
      </c>
      <c r="E4" s="1882" t="str">
        <f>'Data &amp; hypothesis Adults'!E86</f>
        <v>Option 2</v>
      </c>
      <c r="F4" s="1883">
        <f>'Data &amp; hypothesis Adults'!F86</f>
        <v>0</v>
      </c>
      <c r="G4" s="1882" t="str">
        <f>'Data &amp; hypothesis Adults'!G86</f>
        <v>Option 3</v>
      </c>
      <c r="H4" s="1884">
        <f>'Data &amp; hypothesis Adults'!H86</f>
        <v>0</v>
      </c>
      <c r="J4" s="1886" t="str">
        <f>'TRAD-Data &amp; hypothesis Adults'!$B$18</f>
        <v>Schémas thérapeutiques</v>
      </c>
      <c r="K4" s="2139" t="str">
        <f>'TRAD-General Data'!$B$10</f>
        <v>Année 1</v>
      </c>
      <c r="L4" s="2140"/>
      <c r="M4" s="2139" t="str">
        <f>'TRAD-General Data'!$B$11</f>
        <v>Année 2</v>
      </c>
      <c r="N4" s="2140"/>
      <c r="O4" s="2139" t="str">
        <f>'TRAD-General Data'!$B$12</f>
        <v>Année 3</v>
      </c>
      <c r="P4" s="2140"/>
      <c r="Q4" s="2139" t="str">
        <f>'TRAD-General Data'!$B$13</f>
        <v>Année 4</v>
      </c>
      <c r="R4" s="2140"/>
      <c r="S4" s="1891" t="str">
        <f>'TRAD-General Data'!$B$14</f>
        <v>Année 5</v>
      </c>
      <c r="T4" s="1891"/>
      <c r="AC4" s="1864"/>
      <c r="AD4" s="1864"/>
      <c r="AE4" s="1864"/>
      <c r="AF4" s="1864"/>
      <c r="AG4" s="1864"/>
    </row>
    <row r="5" spans="1:33" s="1862" customFormat="1" ht="64.5" thickBot="1" x14ac:dyDescent="0.25">
      <c r="B5" s="1865" t="str">
        <f>'Data &amp; hypothesis Adults'!B87</f>
        <v>Premières lignes</v>
      </c>
      <c r="C5" s="1866" t="str">
        <f>'Data &amp; hypothesis Adults'!C87</f>
        <v>Schéma thérapeutique</v>
      </c>
      <c r="D5" s="1867" t="str">
        <f>'Data &amp; hypothesis Adults'!D87</f>
        <v>Proportion %</v>
      </c>
      <c r="E5" s="1866" t="str">
        <f>'Data &amp; hypothesis Adults'!E87</f>
        <v>Schéma thérapeutique</v>
      </c>
      <c r="F5" s="1867" t="str">
        <f>'Data &amp; hypothesis Adults'!F87</f>
        <v>Proportion %</v>
      </c>
      <c r="G5" s="1866" t="str">
        <f>'Data &amp; hypothesis Adults'!G87</f>
        <v>Schéma thérapeutique</v>
      </c>
      <c r="H5" s="1879" t="str">
        <f>'Data &amp; hypothesis Adults'!H87</f>
        <v>Proportion %</v>
      </c>
      <c r="J5" s="1865" t="str">
        <f>'TRAD-Data &amp; hypothesis Adults'!$B$52</f>
        <v>Premières lignes</v>
      </c>
      <c r="K5" s="443" t="str">
        <f>'TRAD-Data &amp; hypothesis Adults'!$B$58</f>
        <v>Nombre de patients 1ère ligne à la fin de l'année</v>
      </c>
      <c r="L5" s="2086" t="s">
        <v>1733</v>
      </c>
      <c r="M5" s="443" t="str">
        <f>'TRAD-Data &amp; hypothesis Adults'!$B$58</f>
        <v>Nombre de patients 1ère ligne à la fin de l'année</v>
      </c>
      <c r="N5" s="443"/>
      <c r="O5" s="443" t="str">
        <f>'TRAD-Data &amp; hypothesis Adults'!$B$58</f>
        <v>Nombre de patients 1ère ligne à la fin de l'année</v>
      </c>
      <c r="P5" s="443"/>
      <c r="Q5" s="443" t="str">
        <f>'TRAD-Data &amp; hypothesis Adults'!$B$58</f>
        <v>Nombre de patients 1ère ligne à la fin de l'année</v>
      </c>
      <c r="R5" s="443"/>
      <c r="S5" s="443" t="str">
        <f>'TRAD-Data &amp; hypothesis Adults'!$B$58</f>
        <v>Nombre de patients 1ère ligne à la fin de l'année</v>
      </c>
      <c r="T5" s="443"/>
      <c r="AC5" s="1864"/>
      <c r="AD5" s="1864"/>
      <c r="AE5" s="1864"/>
      <c r="AF5" s="1864"/>
      <c r="AG5" s="1864"/>
    </row>
    <row r="6" spans="1:33" s="1862" customFormat="1" ht="13.5" thickBot="1" x14ac:dyDescent="0.25">
      <c r="B6" s="1865"/>
      <c r="C6" s="1866"/>
      <c r="D6" s="1867"/>
      <c r="E6" s="1866"/>
      <c r="F6" s="1867"/>
      <c r="G6" s="1866"/>
      <c r="H6" s="1879"/>
      <c r="J6" s="1865"/>
      <c r="L6" s="2087">
        <f>'Adults YEAR1'!H70</f>
        <v>621.16700000000003</v>
      </c>
      <c r="M6" s="2086"/>
      <c r="N6" s="2087">
        <f>'Adults YEAR2'!H70</f>
        <v>0</v>
      </c>
      <c r="O6" s="2086"/>
      <c r="P6" s="2087">
        <f>'Adults YEAR3'!H70</f>
        <v>0</v>
      </c>
      <c r="Q6" s="2086"/>
      <c r="R6" s="2087">
        <f>'Adults YEAR4'!H70</f>
        <v>0</v>
      </c>
      <c r="S6" s="2086"/>
      <c r="T6" s="2087">
        <f>'Adults YEAR5'!H70</f>
        <v>0</v>
      </c>
      <c r="AC6" s="1864"/>
      <c r="AD6" s="1864"/>
      <c r="AE6" s="1864"/>
      <c r="AF6" s="1864"/>
      <c r="AG6" s="1864"/>
    </row>
    <row r="7" spans="1:33" s="1862" customFormat="1" ht="13.5" thickBot="1" x14ac:dyDescent="0.25">
      <c r="B7" s="1868" t="str">
        <f>'Data &amp; hypothesis Adults'!B88</f>
        <v>AZT+3TC+NVP</v>
      </c>
      <c r="C7" s="1869" t="str">
        <f>'Data &amp; hypothesis Adults'!C88</f>
        <v>TDF+FTC/3TC+LPV/r</v>
      </c>
      <c r="D7" s="1870">
        <f>'Data &amp; hypothesis Adults'!D88</f>
        <v>1</v>
      </c>
      <c r="E7" s="1869">
        <f>'Data &amp; hypothesis Adults'!E88</f>
        <v>0</v>
      </c>
      <c r="F7" s="1870">
        <f>'Data &amp; hypothesis Adults'!F88</f>
        <v>0</v>
      </c>
      <c r="G7" s="1869">
        <f>'Data &amp; hypothesis Adults'!G88</f>
        <v>0</v>
      </c>
      <c r="H7" s="1880">
        <f>'Data &amp; hypothesis Adults'!H88</f>
        <v>0</v>
      </c>
      <c r="J7" s="1892" t="str">
        <f>'Data &amp; hypothesis Adults'!B88</f>
        <v>AZT+3TC+NVP</v>
      </c>
      <c r="K7" s="1890">
        <f>'Adults YEAR1'!D10+'Adults YEAR1'!F39</f>
        <v>10776.332</v>
      </c>
      <c r="L7" s="1890">
        <f>K7/K$17*L$6</f>
        <v>351.64126367687351</v>
      </c>
      <c r="M7" s="1890">
        <f>'Adults YEAR2'!D10+'Adults YEAR2'!F39</f>
        <v>10536.424547798304</v>
      </c>
      <c r="N7" s="1890">
        <f>M7*'Data &amp; hypothesis Adults'!$D$73</f>
        <v>0</v>
      </c>
      <c r="O7" s="1890">
        <f>'Adults YEAR3'!D10+'Adults YEAR3'!F39</f>
        <v>10296.517095596608</v>
      </c>
      <c r="P7" s="1890">
        <f>O7*'Data &amp; hypothesis Adults'!$D$74</f>
        <v>0</v>
      </c>
      <c r="Q7" s="1890">
        <f>'Adults YEAR4'!D10+'Adults YEAR4'!F39</f>
        <v>10056.609643394911</v>
      </c>
      <c r="R7" s="1890">
        <f>Q7*'Data &amp; hypothesis Adults'!$D$75</f>
        <v>0</v>
      </c>
      <c r="S7" s="1890">
        <f>'Adults YEAR5'!D10+'Adults YEAR5'!F39</f>
        <v>9816.7021911932152</v>
      </c>
      <c r="T7" s="1890">
        <f>S7*'Data &amp; hypothesis Adults'!$D$76</f>
        <v>0</v>
      </c>
      <c r="AC7" s="1864"/>
      <c r="AD7" s="1864"/>
      <c r="AE7" s="1864"/>
      <c r="AF7" s="1864"/>
      <c r="AG7" s="1864"/>
    </row>
    <row r="8" spans="1:33" s="1862" customFormat="1" ht="13.5" thickBot="1" x14ac:dyDescent="0.25">
      <c r="B8" s="1871" t="str">
        <f>'Data &amp; hypothesis Adults'!B89</f>
        <v>AZT+3TC+EFV</v>
      </c>
      <c r="C8" s="1869" t="str">
        <f>'Data &amp; hypothesis Adults'!C89</f>
        <v>TDF+FTC/3TC+LPV/r</v>
      </c>
      <c r="D8" s="1870">
        <f>'Data &amp; hypothesis Adults'!D89</f>
        <v>1</v>
      </c>
      <c r="E8" s="1869">
        <f>'Data &amp; hypothesis Adults'!E89</f>
        <v>0</v>
      </c>
      <c r="F8" s="1870">
        <f>'Data &amp; hypothesis Adults'!F89</f>
        <v>0</v>
      </c>
      <c r="G8" s="1869">
        <f>'Data &amp; hypothesis Adults'!G89</f>
        <v>0</v>
      </c>
      <c r="H8" s="1880">
        <f>'Data &amp; hypothesis Adults'!H89</f>
        <v>0</v>
      </c>
      <c r="J8" s="1887" t="str">
        <f>'Data &amp; hypothesis Adults'!B89</f>
        <v>AZT+3TC+EFV</v>
      </c>
      <c r="K8" s="1890">
        <f>'Adults YEAR1'!D11+'Adults YEAR1'!F40</f>
        <v>1391.7619999999999</v>
      </c>
      <c r="L8" s="1890">
        <f t="shared" ref="L8:L16" si="0">K8/K$17*L$6</f>
        <v>45.414427508121769</v>
      </c>
      <c r="M8" s="1890">
        <f>'Adults YEAR2'!D11+'Adults YEAR2'!F40</f>
        <v>1360.7779809950976</v>
      </c>
      <c r="N8" s="1890">
        <f>M8*'Data &amp; hypothesis Adults'!$D$73</f>
        <v>0</v>
      </c>
      <c r="O8" s="1890">
        <f>'Adults YEAR3'!$D$11+'Adults YEAR3'!$F$40</f>
        <v>1329.7939619901952</v>
      </c>
      <c r="P8" s="1890">
        <f>O8*'Data &amp; hypothesis Adults'!$D$74</f>
        <v>0</v>
      </c>
      <c r="Q8" s="1890">
        <f>'Adults YEAR4'!$D$11+'Adults YEAR4'!$F$40</f>
        <v>1298.8099429852928</v>
      </c>
      <c r="R8" s="1890">
        <f>Q8*'Data &amp; hypothesis Adults'!$D$75</f>
        <v>0</v>
      </c>
      <c r="S8" s="1890">
        <f>'Adults YEAR5'!$D$11+'Adults YEAR5'!$F$40</f>
        <v>1267.8259239803904</v>
      </c>
      <c r="T8" s="1890">
        <f>S8*'Data &amp; hypothesis Adults'!$D$76</f>
        <v>0</v>
      </c>
      <c r="AC8" s="1864"/>
      <c r="AD8" s="1864"/>
      <c r="AE8" s="1864"/>
      <c r="AF8" s="1864"/>
      <c r="AG8" s="1864"/>
    </row>
    <row r="9" spans="1:33" s="1862" customFormat="1" ht="13.5" thickBot="1" x14ac:dyDescent="0.25">
      <c r="B9" s="1872" t="str">
        <f>'Data &amp; hypothesis Adults'!B90</f>
        <v>AZT+3TC+ABC</v>
      </c>
      <c r="C9" s="1869" t="str">
        <f>'Data &amp; hypothesis Adults'!C90</f>
        <v>TDF+FTC/3TC+LPV/r</v>
      </c>
      <c r="D9" s="1870">
        <f>'Data &amp; hypothesis Adults'!D90</f>
        <v>1</v>
      </c>
      <c r="E9" s="1869">
        <f>'Data &amp; hypothesis Adults'!E90</f>
        <v>0</v>
      </c>
      <c r="F9" s="1870">
        <f>'Data &amp; hypothesis Adults'!F90</f>
        <v>0</v>
      </c>
      <c r="G9" s="1869">
        <f>'Data &amp; hypothesis Adults'!G90</f>
        <v>0</v>
      </c>
      <c r="H9" s="1880">
        <f>'Data &amp; hypothesis Adults'!H90</f>
        <v>0</v>
      </c>
      <c r="J9" s="1888" t="str">
        <f>'Data &amp; hypothesis Adults'!B90</f>
        <v>AZT+3TC+ABC</v>
      </c>
      <c r="K9" s="1890">
        <f>'Adults YEAR1'!D12+'Adults YEAR1'!F41</f>
        <v>78.525999999999996</v>
      </c>
      <c r="L9" s="1890">
        <f t="shared" si="0"/>
        <v>2.5623729736138574</v>
      </c>
      <c r="M9" s="1890">
        <f>'Adults YEAR2'!D12+'Adults YEAR2'!F41</f>
        <v>76.777819580949213</v>
      </c>
      <c r="N9" s="1890">
        <f>M9*'Data &amp; hypothesis Adults'!$D$73</f>
        <v>0</v>
      </c>
      <c r="O9" s="1890">
        <f>'Adults YEAR3'!$D$12+'Adults YEAR3'!$F$41</f>
        <v>75.02963916189843</v>
      </c>
      <c r="P9" s="1890">
        <f>O9*'Data &amp; hypothesis Adults'!$D$74</f>
        <v>0</v>
      </c>
      <c r="Q9" s="1890">
        <f>'Adults YEAR4'!$D$12+'Adults YEAR4'!$F$41</f>
        <v>73.281458742847647</v>
      </c>
      <c r="R9" s="1890">
        <f>Q9*'Data &amp; hypothesis Adults'!$D$75</f>
        <v>0</v>
      </c>
      <c r="S9" s="1890">
        <f>'Adults YEAR5'!$D$12+'Adults YEAR5'!$F$41</f>
        <v>71.533278323796864</v>
      </c>
      <c r="T9" s="1890">
        <f>S9*'Data &amp; hypothesis Adults'!$D$76</f>
        <v>0</v>
      </c>
      <c r="AC9" s="1864"/>
      <c r="AD9" s="1864"/>
      <c r="AE9" s="1864"/>
      <c r="AF9" s="1864"/>
      <c r="AG9" s="1864"/>
    </row>
    <row r="10" spans="1:33" s="1862" customFormat="1" ht="13.5" thickBot="1" x14ac:dyDescent="0.25">
      <c r="B10" s="1871" t="str">
        <f>'Data &amp; hypothesis Adults'!B91</f>
        <v>AZT+3TC+LPV/r</v>
      </c>
      <c r="C10" s="1869" t="str">
        <f>'Data &amp; hypothesis Adults'!C91</f>
        <v>TDF+FTC/3TC+LPV/r</v>
      </c>
      <c r="D10" s="1870">
        <f>'Data &amp; hypothesis Adults'!D91</f>
        <v>1</v>
      </c>
      <c r="E10" s="1869">
        <f>'Data &amp; hypothesis Adults'!E91</f>
        <v>0</v>
      </c>
      <c r="F10" s="1870">
        <f>'Data &amp; hypothesis Adults'!F91</f>
        <v>0</v>
      </c>
      <c r="G10" s="1869">
        <f>'Data &amp; hypothesis Adults'!G91</f>
        <v>0</v>
      </c>
      <c r="H10" s="1880">
        <f>'Data &amp; hypothesis Adults'!H91</f>
        <v>0</v>
      </c>
      <c r="J10" s="1887" t="str">
        <f>'Data &amp; hypothesis Adults'!B91</f>
        <v>AZT+3TC+LPV/r</v>
      </c>
      <c r="K10" s="1890">
        <f>'Adults YEAR1'!D13+'Adults YEAR1'!F42</f>
        <v>689.33199999999988</v>
      </c>
      <c r="L10" s="1890">
        <f t="shared" si="0"/>
        <v>22.493514080014105</v>
      </c>
      <c r="M10" s="1890">
        <f>'Adults YEAR2'!D13+'Adults YEAR2'!F42</f>
        <v>673.98578722174659</v>
      </c>
      <c r="N10" s="1890">
        <f>M10*'Data &amp; hypothesis Adults'!$D$73</f>
        <v>0</v>
      </c>
      <c r="O10" s="1890">
        <f>'Adults YEAR3'!$D$13+'Adults YEAR3'!$F$42</f>
        <v>658.6395744434933</v>
      </c>
      <c r="P10" s="1890">
        <f>O10*'Data &amp; hypothesis Adults'!$D$74</f>
        <v>0</v>
      </c>
      <c r="Q10" s="1890">
        <f>'Adults YEAR4'!$D$13+'Adults YEAR4'!$F$42</f>
        <v>643.29336166524001</v>
      </c>
      <c r="R10" s="1890">
        <f>Q10*'Data &amp; hypothesis Adults'!$D$75</f>
        <v>0</v>
      </c>
      <c r="S10" s="1890">
        <f>'Adults YEAR5'!$D$13+'Adults YEAR5'!$F$42</f>
        <v>627.94714888698672</v>
      </c>
      <c r="T10" s="1890">
        <f>S10*'Data &amp; hypothesis Adults'!$D$76</f>
        <v>0</v>
      </c>
      <c r="AC10" s="1864"/>
      <c r="AD10" s="1864"/>
      <c r="AE10" s="1864"/>
      <c r="AF10" s="1864"/>
      <c r="AG10" s="1864"/>
    </row>
    <row r="11" spans="1:33" s="1862" customFormat="1" ht="13.5" thickBot="1" x14ac:dyDescent="0.25">
      <c r="B11" s="1871" t="str">
        <f>'Data &amp; hypothesis Adults'!B92</f>
        <v>ABC+3TC+EFV</v>
      </c>
      <c r="C11" s="1869" t="str">
        <f>'Data &amp; hypothesis Adults'!C92</f>
        <v>TDF+FTC/3TC+LPV/r</v>
      </c>
      <c r="D11" s="1870">
        <f>'Data &amp; hypothesis Adults'!D92</f>
        <v>1</v>
      </c>
      <c r="E11" s="1869">
        <f>'Data &amp; hypothesis Adults'!E92</f>
        <v>0</v>
      </c>
      <c r="F11" s="1870">
        <f>'Data &amp; hypothesis Adults'!F92</f>
        <v>0</v>
      </c>
      <c r="G11" s="1869">
        <f>'Data &amp; hypothesis Adults'!G92</f>
        <v>0</v>
      </c>
      <c r="H11" s="1880">
        <f>'Data &amp; hypothesis Adults'!H92</f>
        <v>0</v>
      </c>
      <c r="J11" s="1887" t="str">
        <f>'Data &amp; hypothesis Adults'!B92</f>
        <v>ABC+3TC+EFV</v>
      </c>
      <c r="K11" s="1890">
        <f>'Adults YEAR1'!D14+'Adults YEAR1'!F43</f>
        <v>43.628999999999998</v>
      </c>
      <c r="L11" s="1890">
        <f t="shared" si="0"/>
        <v>1.4236529361714463</v>
      </c>
      <c r="M11" s="1890">
        <f>'Adults YEAR2'!D14+'Adults YEAR2'!F43</f>
        <v>42.657711974342675</v>
      </c>
      <c r="N11" s="1890">
        <f>M11*'Data &amp; hypothesis Adults'!$D$73</f>
        <v>0</v>
      </c>
      <c r="O11" s="1890">
        <f>'Adults YEAR3'!$D$14+'Adults YEAR3'!$F$43</f>
        <v>41.686423948685352</v>
      </c>
      <c r="P11" s="1890">
        <f>O11*'Data &amp; hypothesis Adults'!$D$74</f>
        <v>0</v>
      </c>
      <c r="Q11" s="1890">
        <f>'Adults YEAR4'!$D$14+'Adults YEAR4'!$F$43</f>
        <v>40.715135923028029</v>
      </c>
      <c r="R11" s="1890">
        <f>Q11*'Data &amp; hypothesis Adults'!$D$75</f>
        <v>0</v>
      </c>
      <c r="S11" s="1890">
        <f>'Adults YEAR5'!$D$14+'Adults YEAR5'!$F$43</f>
        <v>39.743847897370706</v>
      </c>
      <c r="T11" s="1890">
        <f>S11*'Data &amp; hypothesis Adults'!$D$76</f>
        <v>0</v>
      </c>
      <c r="AC11" s="1864"/>
      <c r="AD11" s="1864"/>
      <c r="AE11" s="1864"/>
      <c r="AF11" s="1864"/>
      <c r="AG11" s="1864"/>
    </row>
    <row r="12" spans="1:33" s="1862" customFormat="1" ht="13.5" thickBot="1" x14ac:dyDescent="0.25">
      <c r="B12" s="1872" t="str">
        <f>'Data &amp; hypothesis Adults'!B93</f>
        <v>TDF+FTC/3TC+EFV</v>
      </c>
      <c r="C12" s="1869" t="str">
        <f>'Data &amp; hypothesis Adults'!C93</f>
        <v>AZT+3TC+LPV/r</v>
      </c>
      <c r="D12" s="1870">
        <f>'Data &amp; hypothesis Adults'!D93</f>
        <v>1</v>
      </c>
      <c r="E12" s="1869">
        <f>'Data &amp; hypothesis Adults'!E93</f>
        <v>0</v>
      </c>
      <c r="F12" s="1870">
        <f>'Data &amp; hypothesis Adults'!F93</f>
        <v>0</v>
      </c>
      <c r="G12" s="1869">
        <f>'Data &amp; hypothesis Adults'!G93</f>
        <v>0</v>
      </c>
      <c r="H12" s="1880">
        <f>'Data &amp; hypothesis Adults'!H93</f>
        <v>0</v>
      </c>
      <c r="J12" s="1888" t="str">
        <f>'Data &amp; hypothesis Adults'!B93</f>
        <v>TDF+FTC/3TC+EFV</v>
      </c>
      <c r="K12" s="1890">
        <f>'Adults YEAR1'!D15+'Adults YEAR1'!F44</f>
        <v>6002.7800000000007</v>
      </c>
      <c r="L12" s="1890">
        <f t="shared" si="0"/>
        <v>195.87603135967444</v>
      </c>
      <c r="M12" s="1890">
        <f>'Adults YEAR2'!D15+'Adults YEAR2'!F44</f>
        <v>5869.1434661657331</v>
      </c>
      <c r="N12" s="1890">
        <f>M12*'Data &amp; hypothesis Adults'!$D$73</f>
        <v>0</v>
      </c>
      <c r="O12" s="1890">
        <f>'Adults YEAR3'!$D$15+'Adults YEAR3'!$F$44</f>
        <v>5735.5069323314656</v>
      </c>
      <c r="P12" s="1890">
        <f>O12*'Data &amp; hypothesis Adults'!$D$74</f>
        <v>0</v>
      </c>
      <c r="Q12" s="1890">
        <f>'Adults YEAR4'!$D$15+'Adults YEAR4'!$F$44</f>
        <v>5601.870398497198</v>
      </c>
      <c r="R12" s="1890">
        <f>Q12*'Data &amp; hypothesis Adults'!$D$75</f>
        <v>0</v>
      </c>
      <c r="S12" s="1890">
        <f>'Adults YEAR5'!$D$15+'Adults YEAR5'!$F$44</f>
        <v>5468.2338646629305</v>
      </c>
      <c r="T12" s="1890">
        <f>S12*'Data &amp; hypothesis Adults'!$D$76</f>
        <v>0</v>
      </c>
      <c r="AC12" s="1864"/>
      <c r="AD12" s="1864"/>
      <c r="AE12" s="1864"/>
      <c r="AF12" s="1864"/>
      <c r="AG12" s="1864"/>
    </row>
    <row r="13" spans="1:33" s="1862" customFormat="1" ht="13.5" thickBot="1" x14ac:dyDescent="0.25">
      <c r="B13" s="1871" t="str">
        <f>'Data &amp; hypothesis Adults'!B94</f>
        <v>TDF+FTC/3TC+LPV/r</v>
      </c>
      <c r="C13" s="1869" t="str">
        <f>'Data &amp; hypothesis Adults'!C94</f>
        <v>AZT+3TC+LPV/r</v>
      </c>
      <c r="D13" s="1870">
        <f>'Data &amp; hypothesis Adults'!D94</f>
        <v>1</v>
      </c>
      <c r="E13" s="1869">
        <f>'Data &amp; hypothesis Adults'!E94</f>
        <v>0</v>
      </c>
      <c r="F13" s="1870">
        <f>'Data &amp; hypothesis Adults'!F94</f>
        <v>0</v>
      </c>
      <c r="G13" s="1869">
        <f>'Data &amp; hypothesis Adults'!G94</f>
        <v>0</v>
      </c>
      <c r="H13" s="1880">
        <f>'Data &amp; hypothesis Adults'!H94</f>
        <v>0</v>
      </c>
      <c r="J13" s="1887" t="str">
        <f>'Data &amp; hypothesis Adults'!B94</f>
        <v>TDF+FTC/3TC+LPV/r</v>
      </c>
      <c r="K13" s="1890">
        <f>'Adults YEAR1'!D16+'Adults YEAR1'!F45</f>
        <v>0</v>
      </c>
      <c r="L13" s="1890">
        <f t="shared" si="0"/>
        <v>0</v>
      </c>
      <c r="M13" s="1890">
        <f>'Adults YEAR2'!D16+'Adults YEAR2'!F45</f>
        <v>0</v>
      </c>
      <c r="N13" s="1890">
        <f>M13*'Data &amp; hypothesis Adults'!$D$73</f>
        <v>0</v>
      </c>
      <c r="O13" s="1890">
        <f>'Adults YEAR3'!$D$16+'Adults YEAR3'!$F$45</f>
        <v>0</v>
      </c>
      <c r="P13" s="1890">
        <f>O13*'Data &amp; hypothesis Adults'!$D$74</f>
        <v>0</v>
      </c>
      <c r="Q13" s="1890">
        <f>'Adults YEAR4'!$D$16+'Adults YEAR4'!$F$45</f>
        <v>0</v>
      </c>
      <c r="R13" s="1890">
        <f>Q13*'Data &amp; hypothesis Adults'!$D$75</f>
        <v>0</v>
      </c>
      <c r="S13" s="1890">
        <f>'Adults YEAR5'!$D$16+'Adults YEAR5'!$F$45</f>
        <v>0</v>
      </c>
      <c r="T13" s="1890">
        <f>S13*'Data &amp; hypothesis Adults'!$D$76</f>
        <v>0</v>
      </c>
      <c r="AC13" s="1864"/>
      <c r="AD13" s="1864"/>
      <c r="AE13" s="1864"/>
      <c r="AF13" s="1864"/>
      <c r="AG13" s="1864"/>
    </row>
    <row r="14" spans="1:33" s="1862" customFormat="1" ht="13.5" thickBot="1" x14ac:dyDescent="0.25">
      <c r="B14" s="1871" t="str">
        <f>'Data &amp; hypothesis Adults'!B95</f>
        <v>ABC+3TC+LPV/r</v>
      </c>
      <c r="C14" s="1869" t="str">
        <f>'Data &amp; hypothesis Adults'!C95</f>
        <v>TDF+FTC/3TC+LPV/r</v>
      </c>
      <c r="D14" s="1870">
        <f>'Data &amp; hypothesis Adults'!D95</f>
        <v>1</v>
      </c>
      <c r="E14" s="1869">
        <f>'Data &amp; hypothesis Adults'!E95</f>
        <v>0</v>
      </c>
      <c r="F14" s="1870">
        <f>'Data &amp; hypothesis Adults'!F95</f>
        <v>0</v>
      </c>
      <c r="G14" s="1869">
        <f>'Data &amp; hypothesis Adults'!G95</f>
        <v>0</v>
      </c>
      <c r="H14" s="1880">
        <f>'Data &amp; hypothesis Adults'!H95</f>
        <v>0</v>
      </c>
      <c r="J14" s="1887" t="str">
        <f>'Data &amp; hypothesis Adults'!B95</f>
        <v>ABC+3TC+LPV/r</v>
      </c>
      <c r="K14" s="1890">
        <f>'Adults YEAR1'!D17+'Adults YEAR1'!F46</f>
        <v>24.72</v>
      </c>
      <c r="L14" s="1890">
        <f t="shared" si="0"/>
        <v>0.80663550808311335</v>
      </c>
      <c r="M14" s="1890">
        <f>'Adults YEAR2'!D17+'Adults YEAR2'!F46</f>
        <v>24.169672465693711</v>
      </c>
      <c r="N14" s="1890">
        <f>M14*'Data &amp; hypothesis Adults'!$D$73</f>
        <v>0</v>
      </c>
      <c r="O14" s="1890">
        <f>'Adults YEAR3'!$D$17+'Adults YEAR3'!$F$46</f>
        <v>23.619344931387424</v>
      </c>
      <c r="P14" s="1890">
        <f>O14*'Data &amp; hypothesis Adults'!$D$74</f>
        <v>0</v>
      </c>
      <c r="Q14" s="1890">
        <f>'Adults YEAR4'!$D$17+'Adults YEAR4'!$F$46</f>
        <v>23.069017397081137</v>
      </c>
      <c r="R14" s="1890">
        <f>Q14*'Data &amp; hypothesis Adults'!$D$75</f>
        <v>0</v>
      </c>
      <c r="S14" s="1890">
        <f>'Adults YEAR5'!$D$17+'Adults YEAR5'!$F$46</f>
        <v>22.518689862774849</v>
      </c>
      <c r="T14" s="1890">
        <f>S14*'Data &amp; hypothesis Adults'!$D$76</f>
        <v>0</v>
      </c>
      <c r="AC14" s="1864"/>
      <c r="AD14" s="1864"/>
      <c r="AE14" s="1864"/>
      <c r="AF14" s="1864"/>
      <c r="AG14" s="1864"/>
    </row>
    <row r="15" spans="1:33" s="1862" customFormat="1" ht="13.5" thickBot="1" x14ac:dyDescent="0.25">
      <c r="B15" s="1872" t="str">
        <f>'Data &amp; hypothesis Adults'!B96</f>
        <v>TDF+3TC/FTC+ABC</v>
      </c>
      <c r="C15" s="1869">
        <f>'Data &amp; hypothesis Adults'!C96</f>
        <v>0</v>
      </c>
      <c r="D15" s="1870">
        <f>'Data &amp; hypothesis Adults'!D96</f>
        <v>0</v>
      </c>
      <c r="E15" s="1869">
        <f>'Data &amp; hypothesis Adults'!E96</f>
        <v>0</v>
      </c>
      <c r="F15" s="1870">
        <f>'Data &amp; hypothesis Adults'!F96</f>
        <v>0</v>
      </c>
      <c r="G15" s="1869">
        <f>'Data &amp; hypothesis Adults'!G96</f>
        <v>0</v>
      </c>
      <c r="H15" s="1880">
        <f>'Data &amp; hypothesis Adults'!H96</f>
        <v>0</v>
      </c>
      <c r="J15" s="1888" t="str">
        <f>'Data &amp; hypothesis Adults'!B96</f>
        <v>TDF+3TC/FTC+ABC</v>
      </c>
      <c r="K15" s="1890">
        <f>'Adults YEAR1'!D18+'Adults YEAR1'!F47</f>
        <v>29.086000000000002</v>
      </c>
      <c r="L15" s="1890">
        <f t="shared" si="0"/>
        <v>0.94910195744763093</v>
      </c>
      <c r="M15" s="1890">
        <f>'Adults YEAR2'!D18+'Adults YEAR2'!F47</f>
        <v>52.608147115255498</v>
      </c>
      <c r="N15" s="1890">
        <f>M15*'Data &amp; hypothesis Adults'!$D$73</f>
        <v>0</v>
      </c>
      <c r="O15" s="1890">
        <f>'Adults YEAR3'!$D$18+'Adults YEAR3'!$F$48</f>
        <v>51.410294230510999</v>
      </c>
      <c r="P15" s="1890">
        <f>O15*'Data &amp; hypothesis Adults'!$D$74</f>
        <v>0</v>
      </c>
      <c r="Q15" s="1890">
        <f>'Adults YEAR4'!$D$18+'Adults YEAR4'!$F$48</f>
        <v>50.2124413457665</v>
      </c>
      <c r="R15" s="1890">
        <f>Q15*'Data &amp; hypothesis Adults'!$D$75</f>
        <v>0</v>
      </c>
      <c r="S15" s="1890">
        <f>'Adults YEAR5'!$D$18+'Adults YEAR5'!$F$48</f>
        <v>49.014588461022001</v>
      </c>
      <c r="T15" s="1890">
        <f>S15*'Data &amp; hypothesis Adults'!$D$76</f>
        <v>0</v>
      </c>
      <c r="AC15" s="1864"/>
      <c r="AD15" s="1864"/>
      <c r="AE15" s="1864"/>
      <c r="AF15" s="1864"/>
      <c r="AG15" s="1864"/>
    </row>
    <row r="16" spans="1:33" s="1862" customFormat="1" ht="13.5" thickBot="1" x14ac:dyDescent="0.25">
      <c r="B16" s="1873">
        <f>'Data &amp; hypothesis Adults'!B97</f>
        <v>0</v>
      </c>
      <c r="C16" s="1874">
        <f>'Data &amp; hypothesis Adults'!C97</f>
        <v>0</v>
      </c>
      <c r="D16" s="1875">
        <f>'Data &amp; hypothesis Adults'!D97</f>
        <v>0</v>
      </c>
      <c r="E16" s="1874">
        <f>'Data &amp; hypothesis Adults'!E97</f>
        <v>0</v>
      </c>
      <c r="F16" s="1875">
        <f>'Data &amp; hypothesis Adults'!F97</f>
        <v>0</v>
      </c>
      <c r="G16" s="1874">
        <f>'Data &amp; hypothesis Adults'!G97</f>
        <v>0</v>
      </c>
      <c r="H16" s="1881">
        <f>'Data &amp; hypothesis Adults'!H97</f>
        <v>0</v>
      </c>
      <c r="J16" s="1889">
        <f>'Data &amp; hypothesis Adults'!B97</f>
        <v>0</v>
      </c>
      <c r="K16" s="1890">
        <f>'Adults YEAR1'!D19+'Adults YEAR1'!F48</f>
        <v>0</v>
      </c>
      <c r="L16" s="1890">
        <f t="shared" si="0"/>
        <v>0</v>
      </c>
      <c r="M16" s="1890">
        <f>'Adults YEAR2'!D19+'Adults YEAR2'!F48</f>
        <v>0</v>
      </c>
      <c r="N16" s="1890">
        <f>M16*'Data &amp; hypothesis Adults'!$D$73</f>
        <v>0</v>
      </c>
      <c r="O16" s="1890">
        <f>'Adults YEAR3'!$D$19+'Adults YEAR3'!$F$49</f>
        <v>0</v>
      </c>
      <c r="P16" s="1890">
        <f>O16*'Data &amp; hypothesis Adults'!$D$74</f>
        <v>0</v>
      </c>
      <c r="Q16" s="1890">
        <f>'Adults YEAR4'!$D$19+'Adults YEAR4'!$F$49</f>
        <v>0</v>
      </c>
      <c r="R16" s="1890">
        <f>Q16*'Data &amp; hypothesis Adults'!$D$75</f>
        <v>0</v>
      </c>
      <c r="S16" s="1890">
        <f>'Adults YEAR5'!$D$19+'Adults YEAR5'!$F$49</f>
        <v>0</v>
      </c>
      <c r="T16" s="1890">
        <f>S16*'Data &amp; hypothesis Adults'!$D$76</f>
        <v>0</v>
      </c>
      <c r="AC16" s="1864"/>
      <c r="AD16" s="1864"/>
      <c r="AE16" s="1864"/>
      <c r="AF16" s="1864"/>
      <c r="AG16" s="1864"/>
    </row>
    <row r="17" spans="1:37" s="1858" customFormat="1" x14ac:dyDescent="0.2">
      <c r="J17" s="1858" t="s">
        <v>6</v>
      </c>
      <c r="K17" s="2088">
        <f>SUM(K7:K16)</f>
        <v>19036.167000000005</v>
      </c>
      <c r="L17" s="2088">
        <f>SUM(L7:L16)</f>
        <v>621.1669999999998</v>
      </c>
      <c r="M17" s="2088">
        <f t="shared" ref="M17:T17" si="1">SUM(M7:M16)</f>
        <v>18636.545133317122</v>
      </c>
      <c r="N17" s="2088">
        <f t="shared" si="1"/>
        <v>0</v>
      </c>
      <c r="O17" s="2088">
        <f t="shared" si="1"/>
        <v>18212.203266634242</v>
      </c>
      <c r="P17" s="2088">
        <f t="shared" si="1"/>
        <v>0</v>
      </c>
      <c r="Q17" s="2088">
        <f t="shared" si="1"/>
        <v>17787.861399951365</v>
      </c>
      <c r="R17" s="2088">
        <f t="shared" si="1"/>
        <v>0</v>
      </c>
      <c r="S17" s="2088">
        <f t="shared" si="1"/>
        <v>17363.519533268489</v>
      </c>
      <c r="T17" s="2088">
        <f t="shared" si="1"/>
        <v>0</v>
      </c>
      <c r="AB17" s="1860"/>
      <c r="AC17" s="1860"/>
      <c r="AD17" s="1860"/>
      <c r="AE17" s="1860"/>
      <c r="AF17" s="1860"/>
    </row>
    <row r="18" spans="1:37" s="1858" customFormat="1" x14ac:dyDescent="0.2">
      <c r="AB18" s="1860"/>
      <c r="AC18" s="1860"/>
      <c r="AD18" s="1860"/>
      <c r="AE18" s="1860"/>
      <c r="AF18" s="1860"/>
    </row>
    <row r="19" spans="1:37" s="1858" customFormat="1" x14ac:dyDescent="0.2">
      <c r="A19" s="1898" t="str">
        <f>'TRAD-General Data'!B10</f>
        <v>Année 1</v>
      </c>
      <c r="B19" s="1899"/>
      <c r="C19" s="1899"/>
      <c r="D19" s="1899"/>
      <c r="E19" s="1899"/>
      <c r="F19" s="1899"/>
      <c r="G19" s="1899"/>
      <c r="H19" s="1899"/>
      <c r="I19" s="1899"/>
      <c r="J19" s="1899"/>
      <c r="K19" s="1899"/>
      <c r="L19" s="1899"/>
      <c r="AD19" s="1860"/>
      <c r="AE19" s="1860"/>
      <c r="AF19" s="1860"/>
      <c r="AG19" s="1860"/>
      <c r="AH19" s="1860"/>
    </row>
    <row r="20" spans="1:37" s="1858" customFormat="1" x14ac:dyDescent="0.2">
      <c r="AD20" s="1860"/>
      <c r="AE20" s="1860"/>
      <c r="AF20" s="1860"/>
      <c r="AG20" s="1860"/>
      <c r="AH20" s="1860"/>
    </row>
    <row r="21" spans="1:37" s="1858" customFormat="1" x14ac:dyDescent="0.2">
      <c r="B21" s="1896" t="str">
        <f>'Data &amp; hypothesis Adults'!B86</f>
        <v>Schémas thérapeutiques</v>
      </c>
      <c r="C21" s="1896"/>
      <c r="D21" s="1896" t="str">
        <f>'Data &amp; hypothesis Adults'!C86</f>
        <v>Option 1</v>
      </c>
      <c r="E21" s="1896">
        <f>'Data &amp; hypothesis Adults'!D86</f>
        <v>0</v>
      </c>
      <c r="F21" s="1896"/>
      <c r="G21" s="1896" t="str">
        <f>'Data &amp; hypothesis Adults'!E86</f>
        <v>Option 2</v>
      </c>
      <c r="H21" s="1896">
        <f>'Data &amp; hypothesis Adults'!F86</f>
        <v>0</v>
      </c>
      <c r="I21" s="1896"/>
      <c r="J21" s="1896" t="str">
        <f>'Data &amp; hypothesis Adults'!G86</f>
        <v>Option 3</v>
      </c>
      <c r="K21" s="1896">
        <f>'Data &amp; hypothesis Adults'!H86</f>
        <v>0</v>
      </c>
      <c r="L21" s="1896"/>
      <c r="AG21" s="1860"/>
      <c r="AH21" s="1860"/>
      <c r="AI21" s="1860"/>
      <c r="AJ21" s="1860"/>
      <c r="AK21" s="1860"/>
    </row>
    <row r="22" spans="1:37" s="1858" customFormat="1" x14ac:dyDescent="0.2">
      <c r="B22" s="1896" t="str">
        <f>'Data &amp; hypothesis Adults'!B87</f>
        <v>Premières lignes</v>
      </c>
      <c r="C22" s="1897" t="str">
        <f>K5</f>
        <v>Nombre de patients 1ère ligne à la fin de l'année</v>
      </c>
      <c r="D22" s="1896" t="str">
        <f>'Data &amp; hypothesis Adults'!C87</f>
        <v>Schéma thérapeutique</v>
      </c>
      <c r="E22" s="1896" t="str">
        <f>'Data &amp; hypothesis Adults'!D87</f>
        <v>Proportion %</v>
      </c>
      <c r="F22" s="1896"/>
      <c r="G22" s="1896" t="str">
        <f>'Data &amp; hypothesis Adults'!E87</f>
        <v>Schéma thérapeutique</v>
      </c>
      <c r="H22" s="1896" t="str">
        <f>'Data &amp; hypothesis Adults'!F87</f>
        <v>Proportion %</v>
      </c>
      <c r="I22" s="1896"/>
      <c r="J22" s="1896" t="str">
        <f>'Data &amp; hypothesis Adults'!G87</f>
        <v>Schéma thérapeutique</v>
      </c>
      <c r="K22" s="1896" t="str">
        <f>'Data &amp; hypothesis Adults'!H87</f>
        <v>Proportion %</v>
      </c>
      <c r="L22" s="1896"/>
      <c r="AG22" s="1860"/>
      <c r="AH22" s="1860"/>
      <c r="AI22" s="1860"/>
      <c r="AJ22" s="1860"/>
      <c r="AK22" s="1860"/>
    </row>
    <row r="23" spans="1:37" s="1858" customFormat="1" x14ac:dyDescent="0.2">
      <c r="B23" s="1894" t="str">
        <f>'Data &amp; hypothesis Adults'!B88</f>
        <v>AZT+3TC+NVP</v>
      </c>
      <c r="C23" s="1895">
        <f>L7</f>
        <v>351.64126367687351</v>
      </c>
      <c r="D23" s="1894" t="str">
        <f>'Data &amp; hypothesis Adults'!C88</f>
        <v>TDF+FTC/3TC+LPV/r</v>
      </c>
      <c r="E23" s="1900">
        <f>'Data &amp; hypothesis Adults'!D88</f>
        <v>1</v>
      </c>
      <c r="F23" s="1894">
        <f>C23*E23</f>
        <v>351.64126367687351</v>
      </c>
      <c r="G23" s="1894">
        <f>'Data &amp; hypothesis Adults'!E88</f>
        <v>0</v>
      </c>
      <c r="H23" s="1900">
        <f>'Data &amp; hypothesis Adults'!F88</f>
        <v>0</v>
      </c>
      <c r="I23" s="1894">
        <f>H23*C23</f>
        <v>0</v>
      </c>
      <c r="J23" s="1894">
        <f>'Data &amp; hypothesis Adults'!G88</f>
        <v>0</v>
      </c>
      <c r="K23" s="1900">
        <f>'Data &amp; hypothesis Adults'!H88</f>
        <v>0</v>
      </c>
      <c r="L23" s="1894">
        <f>C23*K23</f>
        <v>0</v>
      </c>
      <c r="AG23" s="1860"/>
      <c r="AH23" s="1860"/>
      <c r="AI23" s="1860"/>
      <c r="AJ23" s="1860"/>
      <c r="AK23" s="1860"/>
    </row>
    <row r="24" spans="1:37" s="1858" customFormat="1" x14ac:dyDescent="0.2">
      <c r="B24" s="1894" t="str">
        <f>'Data &amp; hypothesis Adults'!B89</f>
        <v>AZT+3TC+EFV</v>
      </c>
      <c r="C24" s="1895">
        <f t="shared" ref="C24:C32" si="2">L8</f>
        <v>45.414427508121769</v>
      </c>
      <c r="D24" s="1894" t="str">
        <f>'Data &amp; hypothesis Adults'!C89</f>
        <v>TDF+FTC/3TC+LPV/r</v>
      </c>
      <c r="E24" s="1900">
        <f>'Data &amp; hypothesis Adults'!D89</f>
        <v>1</v>
      </c>
      <c r="F24" s="1894">
        <f t="shared" ref="F24:F32" si="3">C24*E24</f>
        <v>45.414427508121769</v>
      </c>
      <c r="G24" s="1894">
        <f>'Data &amp; hypothesis Adults'!E89</f>
        <v>0</v>
      </c>
      <c r="H24" s="1900">
        <f>'Data &amp; hypothesis Adults'!F89</f>
        <v>0</v>
      </c>
      <c r="I24" s="1894">
        <f t="shared" ref="I24:I32" si="4">H24*C24</f>
        <v>0</v>
      </c>
      <c r="J24" s="1894">
        <f>'Data &amp; hypothesis Adults'!G89</f>
        <v>0</v>
      </c>
      <c r="K24" s="1900">
        <f>'Data &amp; hypothesis Adults'!H89</f>
        <v>0</v>
      </c>
      <c r="L24" s="1894">
        <f t="shared" ref="L24:L32" si="5">C24*K24</f>
        <v>0</v>
      </c>
      <c r="AG24" s="1860"/>
      <c r="AH24" s="1860"/>
      <c r="AI24" s="1860"/>
      <c r="AJ24" s="1860"/>
      <c r="AK24" s="1860"/>
    </row>
    <row r="25" spans="1:37" s="1858" customFormat="1" x14ac:dyDescent="0.2">
      <c r="B25" s="1894" t="str">
        <f>'Data &amp; hypothesis Adults'!B90</f>
        <v>AZT+3TC+ABC</v>
      </c>
      <c r="C25" s="1895">
        <f t="shared" si="2"/>
        <v>2.5623729736138574</v>
      </c>
      <c r="D25" s="1894" t="str">
        <f>'Data &amp; hypothesis Adults'!C90</f>
        <v>TDF+FTC/3TC+LPV/r</v>
      </c>
      <c r="E25" s="1900">
        <f>'Data &amp; hypothesis Adults'!D90</f>
        <v>1</v>
      </c>
      <c r="F25" s="1894">
        <f t="shared" si="3"/>
        <v>2.5623729736138574</v>
      </c>
      <c r="G25" s="1894">
        <f>'Data &amp; hypothesis Adults'!E90</f>
        <v>0</v>
      </c>
      <c r="H25" s="1900">
        <f>'Data &amp; hypothesis Adults'!F90</f>
        <v>0</v>
      </c>
      <c r="I25" s="1894">
        <f t="shared" si="4"/>
        <v>0</v>
      </c>
      <c r="J25" s="1894">
        <f>'Data &amp; hypothesis Adults'!G90</f>
        <v>0</v>
      </c>
      <c r="K25" s="1900">
        <f>'Data &amp; hypothesis Adults'!H90</f>
        <v>0</v>
      </c>
      <c r="L25" s="1894">
        <f t="shared" si="5"/>
        <v>0</v>
      </c>
      <c r="AG25" s="1860"/>
      <c r="AH25" s="1860"/>
      <c r="AI25" s="1860"/>
      <c r="AJ25" s="1860"/>
      <c r="AK25" s="1860"/>
    </row>
    <row r="26" spans="1:37" s="1858" customFormat="1" x14ac:dyDescent="0.2">
      <c r="B26" s="1894" t="str">
        <f>'Data &amp; hypothesis Adults'!B91</f>
        <v>AZT+3TC+LPV/r</v>
      </c>
      <c r="C26" s="1895">
        <f t="shared" si="2"/>
        <v>22.493514080014105</v>
      </c>
      <c r="D26" s="1894" t="str">
        <f>'Data &amp; hypothesis Adults'!C91</f>
        <v>TDF+FTC/3TC+LPV/r</v>
      </c>
      <c r="E26" s="1900">
        <f>'Data &amp; hypothesis Adults'!D91</f>
        <v>1</v>
      </c>
      <c r="F26" s="1894">
        <f t="shared" si="3"/>
        <v>22.493514080014105</v>
      </c>
      <c r="G26" s="1894">
        <f>'Data &amp; hypothesis Adults'!E91</f>
        <v>0</v>
      </c>
      <c r="H26" s="1900">
        <f>'Data &amp; hypothesis Adults'!F91</f>
        <v>0</v>
      </c>
      <c r="I26" s="1894">
        <f t="shared" si="4"/>
        <v>0</v>
      </c>
      <c r="J26" s="1894">
        <f>'Data &amp; hypothesis Adults'!G91</f>
        <v>0</v>
      </c>
      <c r="K26" s="1900">
        <f>'Data &amp; hypothesis Adults'!H91</f>
        <v>0</v>
      </c>
      <c r="L26" s="1894">
        <f t="shared" si="5"/>
        <v>0</v>
      </c>
      <c r="AG26" s="1860"/>
      <c r="AH26" s="1860"/>
      <c r="AI26" s="1860"/>
      <c r="AJ26" s="1860"/>
      <c r="AK26" s="1860"/>
    </row>
    <row r="27" spans="1:37" s="1858" customFormat="1" x14ac:dyDescent="0.2">
      <c r="B27" s="1894" t="str">
        <f>'Data &amp; hypothesis Adults'!B92</f>
        <v>ABC+3TC+EFV</v>
      </c>
      <c r="C27" s="1895">
        <f t="shared" si="2"/>
        <v>1.4236529361714463</v>
      </c>
      <c r="D27" s="1894" t="str">
        <f>'Data &amp; hypothesis Adults'!C92</f>
        <v>TDF+FTC/3TC+LPV/r</v>
      </c>
      <c r="E27" s="1900">
        <f>'Data &amp; hypothesis Adults'!D92</f>
        <v>1</v>
      </c>
      <c r="F27" s="1894">
        <f t="shared" si="3"/>
        <v>1.4236529361714463</v>
      </c>
      <c r="G27" s="1894">
        <f>'Data &amp; hypothesis Adults'!E92</f>
        <v>0</v>
      </c>
      <c r="H27" s="1900">
        <f>'Data &amp; hypothesis Adults'!F92</f>
        <v>0</v>
      </c>
      <c r="I27" s="1894">
        <f t="shared" si="4"/>
        <v>0</v>
      </c>
      <c r="J27" s="1894">
        <f>'Data &amp; hypothesis Adults'!G92</f>
        <v>0</v>
      </c>
      <c r="K27" s="1900">
        <f>'Data &amp; hypothesis Adults'!H92</f>
        <v>0</v>
      </c>
      <c r="L27" s="1894">
        <f t="shared" si="5"/>
        <v>0</v>
      </c>
      <c r="AG27" s="1860"/>
      <c r="AH27" s="1860"/>
      <c r="AI27" s="1860"/>
      <c r="AJ27" s="1860"/>
      <c r="AK27" s="1860"/>
    </row>
    <row r="28" spans="1:37" s="1858" customFormat="1" x14ac:dyDescent="0.2">
      <c r="B28" s="1894" t="str">
        <f>'Data &amp; hypothesis Adults'!B93</f>
        <v>TDF+FTC/3TC+EFV</v>
      </c>
      <c r="C28" s="1895">
        <f t="shared" si="2"/>
        <v>195.87603135967444</v>
      </c>
      <c r="D28" s="1894" t="str">
        <f>'Data &amp; hypothesis Adults'!C93</f>
        <v>AZT+3TC+LPV/r</v>
      </c>
      <c r="E28" s="1900">
        <f>'Data &amp; hypothesis Adults'!D93</f>
        <v>1</v>
      </c>
      <c r="F28" s="1894">
        <f t="shared" si="3"/>
        <v>195.87603135967444</v>
      </c>
      <c r="G28" s="1894">
        <f>'Data &amp; hypothesis Adults'!E93</f>
        <v>0</v>
      </c>
      <c r="H28" s="1900">
        <f>'Data &amp; hypothesis Adults'!F93</f>
        <v>0</v>
      </c>
      <c r="I28" s="1894">
        <f t="shared" si="4"/>
        <v>0</v>
      </c>
      <c r="J28" s="1894">
        <f>'Data &amp; hypothesis Adults'!G93</f>
        <v>0</v>
      </c>
      <c r="K28" s="1900">
        <f>'Data &amp; hypothesis Adults'!H93</f>
        <v>0</v>
      </c>
      <c r="L28" s="1894">
        <f t="shared" si="5"/>
        <v>0</v>
      </c>
      <c r="AG28" s="1860"/>
      <c r="AH28" s="1860"/>
      <c r="AI28" s="1860"/>
      <c r="AJ28" s="1860"/>
      <c r="AK28" s="1860"/>
    </row>
    <row r="29" spans="1:37" s="1858" customFormat="1" x14ac:dyDescent="0.2">
      <c r="B29" s="1894" t="str">
        <f>'Data &amp; hypothesis Adults'!B94</f>
        <v>TDF+FTC/3TC+LPV/r</v>
      </c>
      <c r="C29" s="1895">
        <f t="shared" si="2"/>
        <v>0</v>
      </c>
      <c r="D29" s="1894" t="str">
        <f>'Data &amp; hypothesis Adults'!C94</f>
        <v>AZT+3TC+LPV/r</v>
      </c>
      <c r="E29" s="1900">
        <f>'Data &amp; hypothesis Adults'!D94</f>
        <v>1</v>
      </c>
      <c r="F29" s="1894">
        <f t="shared" si="3"/>
        <v>0</v>
      </c>
      <c r="G29" s="1894">
        <f>'Data &amp; hypothesis Adults'!E94</f>
        <v>0</v>
      </c>
      <c r="H29" s="1900">
        <f>'Data &amp; hypothesis Adults'!F94</f>
        <v>0</v>
      </c>
      <c r="I29" s="1894">
        <f t="shared" si="4"/>
        <v>0</v>
      </c>
      <c r="J29" s="1894">
        <f>'Data &amp; hypothesis Adults'!G94</f>
        <v>0</v>
      </c>
      <c r="K29" s="1900">
        <f>'Data &amp; hypothesis Adults'!H94</f>
        <v>0</v>
      </c>
      <c r="L29" s="1894">
        <f t="shared" si="5"/>
        <v>0</v>
      </c>
      <c r="AG29" s="1860"/>
      <c r="AH29" s="1860"/>
      <c r="AI29" s="1860"/>
      <c r="AJ29" s="1860"/>
      <c r="AK29" s="1860"/>
    </row>
    <row r="30" spans="1:37" s="1858" customFormat="1" x14ac:dyDescent="0.2">
      <c r="B30" s="1894" t="str">
        <f>'Data &amp; hypothesis Adults'!B95</f>
        <v>ABC+3TC+LPV/r</v>
      </c>
      <c r="C30" s="1895">
        <f t="shared" si="2"/>
        <v>0.80663550808311335</v>
      </c>
      <c r="D30" s="1894" t="str">
        <f>'Data &amp; hypothesis Adults'!C95</f>
        <v>TDF+FTC/3TC+LPV/r</v>
      </c>
      <c r="E30" s="1900">
        <f>'Data &amp; hypothesis Adults'!D95</f>
        <v>1</v>
      </c>
      <c r="F30" s="1894">
        <f t="shared" si="3"/>
        <v>0.80663550808311335</v>
      </c>
      <c r="G30" s="1894">
        <f>'Data &amp; hypothesis Adults'!E95</f>
        <v>0</v>
      </c>
      <c r="H30" s="1900">
        <f>'Data &amp; hypothesis Adults'!F95</f>
        <v>0</v>
      </c>
      <c r="I30" s="1894">
        <f t="shared" si="4"/>
        <v>0</v>
      </c>
      <c r="J30" s="1894">
        <f>'Data &amp; hypothesis Adults'!G95</f>
        <v>0</v>
      </c>
      <c r="K30" s="1900">
        <f>'Data &amp; hypothesis Adults'!H95</f>
        <v>0</v>
      </c>
      <c r="L30" s="1894">
        <f t="shared" si="5"/>
        <v>0</v>
      </c>
      <c r="AG30" s="1860"/>
      <c r="AH30" s="1860"/>
      <c r="AI30" s="1860"/>
      <c r="AJ30" s="1860"/>
      <c r="AK30" s="1860"/>
    </row>
    <row r="31" spans="1:37" s="1858" customFormat="1" x14ac:dyDescent="0.2">
      <c r="B31" s="1894" t="str">
        <f>'Data &amp; hypothesis Adults'!B96</f>
        <v>TDF+3TC/FTC+ABC</v>
      </c>
      <c r="C31" s="1895">
        <f t="shared" si="2"/>
        <v>0.94910195744763093</v>
      </c>
      <c r="D31" s="1894">
        <f>'Data &amp; hypothesis Adults'!C96</f>
        <v>0</v>
      </c>
      <c r="E31" s="1900">
        <f>'Data &amp; hypothesis Adults'!D96</f>
        <v>0</v>
      </c>
      <c r="F31" s="1894">
        <f t="shared" si="3"/>
        <v>0</v>
      </c>
      <c r="G31" s="1894">
        <f>'Data &amp; hypothesis Adults'!E96</f>
        <v>0</v>
      </c>
      <c r="H31" s="1900">
        <f>'Data &amp; hypothesis Adults'!F96</f>
        <v>0</v>
      </c>
      <c r="I31" s="1894">
        <f t="shared" si="4"/>
        <v>0</v>
      </c>
      <c r="J31" s="1894">
        <f>'Data &amp; hypothesis Adults'!G96</f>
        <v>0</v>
      </c>
      <c r="K31" s="1900">
        <f>'Data &amp; hypothesis Adults'!H96</f>
        <v>0</v>
      </c>
      <c r="L31" s="1894">
        <f t="shared" si="5"/>
        <v>0</v>
      </c>
      <c r="AG31" s="1860"/>
      <c r="AH31" s="1860"/>
      <c r="AI31" s="1860"/>
      <c r="AJ31" s="1860"/>
      <c r="AK31" s="1860"/>
    </row>
    <row r="32" spans="1:37" s="1858" customFormat="1" x14ac:dyDescent="0.2">
      <c r="B32" s="1894">
        <f>'Data &amp; hypothesis Adults'!B97</f>
        <v>0</v>
      </c>
      <c r="C32" s="1895">
        <f t="shared" si="2"/>
        <v>0</v>
      </c>
      <c r="D32" s="1894">
        <f>'Data &amp; hypothesis Adults'!C97</f>
        <v>0</v>
      </c>
      <c r="E32" s="1900">
        <f>'Data &amp; hypothesis Adults'!D97</f>
        <v>0</v>
      </c>
      <c r="F32" s="1894">
        <f t="shared" si="3"/>
        <v>0</v>
      </c>
      <c r="G32" s="1894">
        <f>'Data &amp; hypothesis Adults'!E97</f>
        <v>0</v>
      </c>
      <c r="H32" s="1900">
        <f>'Data &amp; hypothesis Adults'!F97</f>
        <v>0</v>
      </c>
      <c r="I32" s="1894">
        <f t="shared" si="4"/>
        <v>0</v>
      </c>
      <c r="J32" s="1894">
        <f>'Data &amp; hypothesis Adults'!G97</f>
        <v>0</v>
      </c>
      <c r="K32" s="1900">
        <f>'Data &amp; hypothesis Adults'!H97</f>
        <v>0</v>
      </c>
      <c r="L32" s="1894">
        <f t="shared" si="5"/>
        <v>0</v>
      </c>
      <c r="AG32" s="1860"/>
      <c r="AH32" s="1860"/>
      <c r="AI32" s="1860"/>
      <c r="AJ32" s="1860"/>
      <c r="AK32" s="1860"/>
    </row>
    <row r="33" spans="1:37" s="1858" customFormat="1" x14ac:dyDescent="0.2">
      <c r="AD33" s="1860"/>
      <c r="AE33" s="1860"/>
      <c r="AF33" s="1860"/>
      <c r="AG33" s="1860"/>
      <c r="AH33" s="1860"/>
    </row>
    <row r="34" spans="1:37" s="1858" customFormat="1" x14ac:dyDescent="0.2">
      <c r="AD34" s="1860"/>
      <c r="AE34" s="1860"/>
      <c r="AF34" s="1860"/>
      <c r="AG34" s="1860"/>
      <c r="AH34" s="1860"/>
    </row>
    <row r="35" spans="1:37" s="1858" customFormat="1" x14ac:dyDescent="0.2">
      <c r="A35" s="1898" t="str">
        <f>'TRAD-General Data'!B11</f>
        <v>Année 2</v>
      </c>
      <c r="B35" s="1899"/>
      <c r="C35" s="1899"/>
      <c r="D35" s="1899"/>
      <c r="E35" s="1899"/>
      <c r="F35" s="1899"/>
      <c r="G35" s="1899"/>
      <c r="H35" s="1899"/>
      <c r="I35" s="1899"/>
      <c r="J35" s="1899"/>
      <c r="K35" s="1899"/>
      <c r="L35" s="1899"/>
      <c r="AD35" s="1860"/>
      <c r="AE35" s="1860"/>
      <c r="AF35" s="1860"/>
      <c r="AG35" s="1860"/>
      <c r="AH35" s="1860"/>
    </row>
    <row r="36" spans="1:37" s="1858" customFormat="1" x14ac:dyDescent="0.2">
      <c r="AD36" s="1860"/>
      <c r="AE36" s="1860"/>
      <c r="AF36" s="1860"/>
      <c r="AG36" s="1860"/>
      <c r="AH36" s="1860"/>
    </row>
    <row r="37" spans="1:37" s="1858" customFormat="1" x14ac:dyDescent="0.2">
      <c r="B37" s="1896" t="str">
        <f>'Data &amp; hypothesis Adults'!B86</f>
        <v>Schémas thérapeutiques</v>
      </c>
      <c r="C37" s="1896"/>
      <c r="D37" s="1896" t="str">
        <f>'Data &amp; hypothesis Adults'!C86</f>
        <v>Option 1</v>
      </c>
      <c r="E37" s="1896">
        <f>'Data &amp; hypothesis Adults'!D86</f>
        <v>0</v>
      </c>
      <c r="F37" s="1896"/>
      <c r="G37" s="1896" t="str">
        <f>'Data &amp; hypothesis Adults'!E86</f>
        <v>Option 2</v>
      </c>
      <c r="H37" s="1896">
        <f>'Data &amp; hypothesis Adults'!F86</f>
        <v>0</v>
      </c>
      <c r="I37" s="1896"/>
      <c r="J37" s="1896" t="str">
        <f>'Data &amp; hypothesis Adults'!G86</f>
        <v>Option 3</v>
      </c>
      <c r="K37" s="1896">
        <f>'Data &amp; hypothesis Adults'!H86</f>
        <v>0</v>
      </c>
      <c r="L37" s="1896"/>
      <c r="AG37" s="1860"/>
      <c r="AH37" s="1860"/>
      <c r="AI37" s="1860"/>
      <c r="AJ37" s="1860"/>
      <c r="AK37" s="1860"/>
    </row>
    <row r="38" spans="1:37" s="1858" customFormat="1" x14ac:dyDescent="0.2">
      <c r="B38" s="1896" t="str">
        <f>'Data &amp; hypothesis Adults'!B87</f>
        <v>Premières lignes</v>
      </c>
      <c r="C38" s="1897" t="str">
        <f>M5</f>
        <v>Nombre de patients 1ère ligne à la fin de l'année</v>
      </c>
      <c r="D38" s="1896" t="str">
        <f>'Data &amp; hypothesis Adults'!C87</f>
        <v>Schéma thérapeutique</v>
      </c>
      <c r="E38" s="1896" t="str">
        <f>'Data &amp; hypothesis Adults'!D87</f>
        <v>Proportion %</v>
      </c>
      <c r="F38" s="1896"/>
      <c r="G38" s="1896" t="str">
        <f>'Data &amp; hypothesis Adults'!E87</f>
        <v>Schéma thérapeutique</v>
      </c>
      <c r="H38" s="1896" t="str">
        <f>'Data &amp; hypothesis Adults'!F87</f>
        <v>Proportion %</v>
      </c>
      <c r="I38" s="1896"/>
      <c r="J38" s="1896" t="str">
        <f>'Data &amp; hypothesis Adults'!G87</f>
        <v>Schéma thérapeutique</v>
      </c>
      <c r="K38" s="1896" t="str">
        <f>'Data &amp; hypothesis Adults'!H87</f>
        <v>Proportion %</v>
      </c>
      <c r="L38" s="1896"/>
      <c r="AG38" s="1860"/>
      <c r="AH38" s="1860"/>
      <c r="AI38" s="1860"/>
      <c r="AJ38" s="1860"/>
      <c r="AK38" s="1860"/>
    </row>
    <row r="39" spans="1:37" s="1858" customFormat="1" x14ac:dyDescent="0.2">
      <c r="B39" s="1894" t="str">
        <f>'Data &amp; hypothesis Adults'!B88</f>
        <v>AZT+3TC+NVP</v>
      </c>
      <c r="C39" s="1895">
        <f>N7</f>
        <v>0</v>
      </c>
      <c r="D39" s="1894" t="str">
        <f>'Data &amp; hypothesis Adults'!C88</f>
        <v>TDF+FTC/3TC+LPV/r</v>
      </c>
      <c r="E39" s="1900">
        <f>'Data &amp; hypothesis Adults'!D88</f>
        <v>1</v>
      </c>
      <c r="F39" s="1894">
        <f>C39*E39</f>
        <v>0</v>
      </c>
      <c r="G39" s="1894">
        <f>'Data &amp; hypothesis Adults'!E88</f>
        <v>0</v>
      </c>
      <c r="H39" s="1900">
        <f>'Data &amp; hypothesis Adults'!F88</f>
        <v>0</v>
      </c>
      <c r="I39" s="1894">
        <f>H39*C39</f>
        <v>0</v>
      </c>
      <c r="J39" s="1894">
        <f>'Data &amp; hypothesis Adults'!G88</f>
        <v>0</v>
      </c>
      <c r="K39" s="1900">
        <f>'Data &amp; hypothesis Adults'!H88</f>
        <v>0</v>
      </c>
      <c r="L39" s="1894">
        <f>C39*K39</f>
        <v>0</v>
      </c>
      <c r="AG39" s="1860"/>
      <c r="AH39" s="1860"/>
      <c r="AI39" s="1860"/>
      <c r="AJ39" s="1860"/>
      <c r="AK39" s="1860"/>
    </row>
    <row r="40" spans="1:37" s="1858" customFormat="1" x14ac:dyDescent="0.2">
      <c r="B40" s="1894" t="str">
        <f>'Data &amp; hypothesis Adults'!B89</f>
        <v>AZT+3TC+EFV</v>
      </c>
      <c r="C40" s="1895">
        <f t="shared" ref="C40:C48" si="6">N8</f>
        <v>0</v>
      </c>
      <c r="D40" s="1894" t="str">
        <f>'Data &amp; hypothesis Adults'!C89</f>
        <v>TDF+FTC/3TC+LPV/r</v>
      </c>
      <c r="E40" s="1900">
        <f>'Data &amp; hypothesis Adults'!D89</f>
        <v>1</v>
      </c>
      <c r="F40" s="1894">
        <f t="shared" ref="F40:F48" si="7">C40*E40</f>
        <v>0</v>
      </c>
      <c r="G40" s="1894">
        <f>'Data &amp; hypothesis Adults'!E89</f>
        <v>0</v>
      </c>
      <c r="H40" s="1900">
        <f>'Data &amp; hypothesis Adults'!F89</f>
        <v>0</v>
      </c>
      <c r="I40" s="1894">
        <f t="shared" ref="I40:I48" si="8">H40*C40</f>
        <v>0</v>
      </c>
      <c r="J40" s="1894">
        <f>'Data &amp; hypothesis Adults'!G89</f>
        <v>0</v>
      </c>
      <c r="K40" s="1900">
        <f>'Data &amp; hypothesis Adults'!H89</f>
        <v>0</v>
      </c>
      <c r="L40" s="1894">
        <f t="shared" ref="L40:L48" si="9">C40*K40</f>
        <v>0</v>
      </c>
      <c r="AG40" s="1860"/>
      <c r="AH40" s="1860"/>
      <c r="AI40" s="1860"/>
      <c r="AJ40" s="1860"/>
      <c r="AK40" s="1860"/>
    </row>
    <row r="41" spans="1:37" s="1858" customFormat="1" x14ac:dyDescent="0.2">
      <c r="B41" s="1894" t="str">
        <f>'Data &amp; hypothesis Adults'!B90</f>
        <v>AZT+3TC+ABC</v>
      </c>
      <c r="C41" s="1895">
        <f t="shared" si="6"/>
        <v>0</v>
      </c>
      <c r="D41" s="1894" t="str">
        <f>'Data &amp; hypothesis Adults'!C90</f>
        <v>TDF+FTC/3TC+LPV/r</v>
      </c>
      <c r="E41" s="1900">
        <f>'Data &amp; hypothesis Adults'!D90</f>
        <v>1</v>
      </c>
      <c r="F41" s="1894">
        <f t="shared" si="7"/>
        <v>0</v>
      </c>
      <c r="G41" s="1894">
        <f>'Data &amp; hypothesis Adults'!E90</f>
        <v>0</v>
      </c>
      <c r="H41" s="1900">
        <f>'Data &amp; hypothesis Adults'!F90</f>
        <v>0</v>
      </c>
      <c r="I41" s="1894">
        <f t="shared" si="8"/>
        <v>0</v>
      </c>
      <c r="J41" s="1894">
        <f>'Data &amp; hypothesis Adults'!G90</f>
        <v>0</v>
      </c>
      <c r="K41" s="1900">
        <f>'Data &amp; hypothesis Adults'!H90</f>
        <v>0</v>
      </c>
      <c r="L41" s="1894">
        <f t="shared" si="9"/>
        <v>0</v>
      </c>
      <c r="AG41" s="1860"/>
      <c r="AH41" s="1860"/>
      <c r="AI41" s="1860"/>
      <c r="AJ41" s="1860"/>
      <c r="AK41" s="1860"/>
    </row>
    <row r="42" spans="1:37" s="1858" customFormat="1" x14ac:dyDescent="0.2">
      <c r="B42" s="1894" t="str">
        <f>'Data &amp; hypothesis Adults'!B91</f>
        <v>AZT+3TC+LPV/r</v>
      </c>
      <c r="C42" s="1895">
        <f t="shared" si="6"/>
        <v>0</v>
      </c>
      <c r="D42" s="1894" t="str">
        <f>'Data &amp; hypothesis Adults'!C91</f>
        <v>TDF+FTC/3TC+LPV/r</v>
      </c>
      <c r="E42" s="1900">
        <f>'Data &amp; hypothesis Adults'!D91</f>
        <v>1</v>
      </c>
      <c r="F42" s="1894">
        <f t="shared" si="7"/>
        <v>0</v>
      </c>
      <c r="G42" s="1894">
        <f>'Data &amp; hypothesis Adults'!E91</f>
        <v>0</v>
      </c>
      <c r="H42" s="1900">
        <f>'Data &amp; hypothesis Adults'!F91</f>
        <v>0</v>
      </c>
      <c r="I42" s="1894">
        <f t="shared" si="8"/>
        <v>0</v>
      </c>
      <c r="J42" s="1894">
        <f>'Data &amp; hypothesis Adults'!G91</f>
        <v>0</v>
      </c>
      <c r="K42" s="1900">
        <f>'Data &amp; hypothesis Adults'!H91</f>
        <v>0</v>
      </c>
      <c r="L42" s="1894">
        <f t="shared" si="9"/>
        <v>0</v>
      </c>
      <c r="AG42" s="1860"/>
      <c r="AH42" s="1860"/>
      <c r="AI42" s="1860"/>
      <c r="AJ42" s="1860"/>
      <c r="AK42" s="1860"/>
    </row>
    <row r="43" spans="1:37" s="1858" customFormat="1" x14ac:dyDescent="0.2">
      <c r="B43" s="1894" t="str">
        <f>'Data &amp; hypothesis Adults'!B92</f>
        <v>ABC+3TC+EFV</v>
      </c>
      <c r="C43" s="1895">
        <f t="shared" si="6"/>
        <v>0</v>
      </c>
      <c r="D43" s="1894" t="str">
        <f>'Data &amp; hypothesis Adults'!C92</f>
        <v>TDF+FTC/3TC+LPV/r</v>
      </c>
      <c r="E43" s="1900">
        <f>'Data &amp; hypothesis Adults'!D92</f>
        <v>1</v>
      </c>
      <c r="F43" s="1894">
        <f t="shared" si="7"/>
        <v>0</v>
      </c>
      <c r="G43" s="1894">
        <f>'Data &amp; hypothesis Adults'!E92</f>
        <v>0</v>
      </c>
      <c r="H43" s="1900">
        <f>'Data &amp; hypothesis Adults'!F92</f>
        <v>0</v>
      </c>
      <c r="I43" s="1894">
        <f t="shared" si="8"/>
        <v>0</v>
      </c>
      <c r="J43" s="1894">
        <f>'Data &amp; hypothesis Adults'!G92</f>
        <v>0</v>
      </c>
      <c r="K43" s="1900">
        <f>'Data &amp; hypothesis Adults'!H92</f>
        <v>0</v>
      </c>
      <c r="L43" s="1894">
        <f t="shared" si="9"/>
        <v>0</v>
      </c>
      <c r="AG43" s="1860"/>
      <c r="AH43" s="1860"/>
      <c r="AI43" s="1860"/>
      <c r="AJ43" s="1860"/>
      <c r="AK43" s="1860"/>
    </row>
    <row r="44" spans="1:37" s="1858" customFormat="1" x14ac:dyDescent="0.2">
      <c r="B44" s="1894" t="str">
        <f>'Data &amp; hypothesis Adults'!B93</f>
        <v>TDF+FTC/3TC+EFV</v>
      </c>
      <c r="C44" s="1895">
        <f t="shared" si="6"/>
        <v>0</v>
      </c>
      <c r="D44" s="1894" t="str">
        <f>'Data &amp; hypothesis Adults'!C93</f>
        <v>AZT+3TC+LPV/r</v>
      </c>
      <c r="E44" s="1900">
        <f>'Data &amp; hypothesis Adults'!D93</f>
        <v>1</v>
      </c>
      <c r="F44" s="1894">
        <f t="shared" si="7"/>
        <v>0</v>
      </c>
      <c r="G44" s="1894">
        <f>'Data &amp; hypothesis Adults'!E93</f>
        <v>0</v>
      </c>
      <c r="H44" s="1900">
        <f>'Data &amp; hypothesis Adults'!F93</f>
        <v>0</v>
      </c>
      <c r="I44" s="1894">
        <f t="shared" si="8"/>
        <v>0</v>
      </c>
      <c r="J44" s="1894">
        <f>'Data &amp; hypothesis Adults'!G93</f>
        <v>0</v>
      </c>
      <c r="K44" s="1900">
        <f>'Data &amp; hypothesis Adults'!H93</f>
        <v>0</v>
      </c>
      <c r="L44" s="1894">
        <f t="shared" si="9"/>
        <v>0</v>
      </c>
      <c r="AG44" s="1860"/>
      <c r="AH44" s="1860"/>
      <c r="AI44" s="1860"/>
      <c r="AJ44" s="1860"/>
      <c r="AK44" s="1860"/>
    </row>
    <row r="45" spans="1:37" s="1858" customFormat="1" x14ac:dyDescent="0.2">
      <c r="B45" s="1894" t="str">
        <f>'Data &amp; hypothesis Adults'!B94</f>
        <v>TDF+FTC/3TC+LPV/r</v>
      </c>
      <c r="C45" s="1895">
        <f t="shared" si="6"/>
        <v>0</v>
      </c>
      <c r="D45" s="1894" t="str">
        <f>'Data &amp; hypothesis Adults'!C94</f>
        <v>AZT+3TC+LPV/r</v>
      </c>
      <c r="E45" s="1900">
        <f>'Data &amp; hypothesis Adults'!D94</f>
        <v>1</v>
      </c>
      <c r="F45" s="1894">
        <f t="shared" si="7"/>
        <v>0</v>
      </c>
      <c r="G45" s="1894">
        <f>'Data &amp; hypothesis Adults'!E94</f>
        <v>0</v>
      </c>
      <c r="H45" s="1900">
        <f>'Data &amp; hypothesis Adults'!F94</f>
        <v>0</v>
      </c>
      <c r="I45" s="1894">
        <f t="shared" si="8"/>
        <v>0</v>
      </c>
      <c r="J45" s="1894">
        <f>'Data &amp; hypothesis Adults'!G94</f>
        <v>0</v>
      </c>
      <c r="K45" s="1900">
        <f>'Data &amp; hypothesis Adults'!H94</f>
        <v>0</v>
      </c>
      <c r="L45" s="1894">
        <f t="shared" si="9"/>
        <v>0</v>
      </c>
      <c r="AG45" s="1860"/>
      <c r="AH45" s="1860"/>
      <c r="AI45" s="1860"/>
      <c r="AJ45" s="1860"/>
      <c r="AK45" s="1860"/>
    </row>
    <row r="46" spans="1:37" s="1858" customFormat="1" x14ac:dyDescent="0.2">
      <c r="B46" s="1894" t="str">
        <f>'Data &amp; hypothesis Adults'!B95</f>
        <v>ABC+3TC+LPV/r</v>
      </c>
      <c r="C46" s="1895">
        <f t="shared" si="6"/>
        <v>0</v>
      </c>
      <c r="D46" s="1894" t="str">
        <f>'Data &amp; hypothesis Adults'!C95</f>
        <v>TDF+FTC/3TC+LPV/r</v>
      </c>
      <c r="E46" s="1900">
        <f>'Data &amp; hypothesis Adults'!D95</f>
        <v>1</v>
      </c>
      <c r="F46" s="1894">
        <f t="shared" si="7"/>
        <v>0</v>
      </c>
      <c r="G46" s="1894">
        <f>'Data &amp; hypothesis Adults'!E95</f>
        <v>0</v>
      </c>
      <c r="H46" s="1900">
        <f>'Data &amp; hypothesis Adults'!F95</f>
        <v>0</v>
      </c>
      <c r="I46" s="1894">
        <f t="shared" si="8"/>
        <v>0</v>
      </c>
      <c r="J46" s="1894">
        <f>'Data &amp; hypothesis Adults'!G95</f>
        <v>0</v>
      </c>
      <c r="K46" s="1900">
        <f>'Data &amp; hypothesis Adults'!H95</f>
        <v>0</v>
      </c>
      <c r="L46" s="1894">
        <f t="shared" si="9"/>
        <v>0</v>
      </c>
      <c r="AG46" s="1860"/>
      <c r="AH46" s="1860"/>
      <c r="AI46" s="1860"/>
      <c r="AJ46" s="1860"/>
      <c r="AK46" s="1860"/>
    </row>
    <row r="47" spans="1:37" s="1858" customFormat="1" x14ac:dyDescent="0.2">
      <c r="B47" s="1894" t="str">
        <f>'Data &amp; hypothesis Adults'!B96</f>
        <v>TDF+3TC/FTC+ABC</v>
      </c>
      <c r="C47" s="1895">
        <f t="shared" si="6"/>
        <v>0</v>
      </c>
      <c r="D47" s="1894">
        <f>'Data &amp; hypothesis Adults'!C96</f>
        <v>0</v>
      </c>
      <c r="E47" s="1900">
        <f>'Data &amp; hypothesis Adults'!D96</f>
        <v>0</v>
      </c>
      <c r="F47" s="1894">
        <f t="shared" si="7"/>
        <v>0</v>
      </c>
      <c r="G47" s="1894">
        <f>'Data &amp; hypothesis Adults'!E96</f>
        <v>0</v>
      </c>
      <c r="H47" s="1900">
        <f>'Data &amp; hypothesis Adults'!F96</f>
        <v>0</v>
      </c>
      <c r="I47" s="1894">
        <f t="shared" si="8"/>
        <v>0</v>
      </c>
      <c r="J47" s="1894">
        <f>'Data &amp; hypothesis Adults'!G96</f>
        <v>0</v>
      </c>
      <c r="K47" s="1900">
        <f>'Data &amp; hypothesis Adults'!H96</f>
        <v>0</v>
      </c>
      <c r="L47" s="1894">
        <f t="shared" si="9"/>
        <v>0</v>
      </c>
      <c r="AG47" s="1860"/>
      <c r="AH47" s="1860"/>
      <c r="AI47" s="1860"/>
      <c r="AJ47" s="1860"/>
      <c r="AK47" s="1860"/>
    </row>
    <row r="48" spans="1:37" s="1858" customFormat="1" x14ac:dyDescent="0.2">
      <c r="B48" s="1894">
        <f>'Data &amp; hypothesis Adults'!B97</f>
        <v>0</v>
      </c>
      <c r="C48" s="1895">
        <f t="shared" si="6"/>
        <v>0</v>
      </c>
      <c r="D48" s="1894">
        <f>'Data &amp; hypothesis Adults'!C97</f>
        <v>0</v>
      </c>
      <c r="E48" s="1900">
        <f>'Data &amp; hypothesis Adults'!D97</f>
        <v>0</v>
      </c>
      <c r="F48" s="1894">
        <f t="shared" si="7"/>
        <v>0</v>
      </c>
      <c r="G48" s="1894">
        <f>'Data &amp; hypothesis Adults'!E97</f>
        <v>0</v>
      </c>
      <c r="H48" s="1900">
        <f>'Data &amp; hypothesis Adults'!F97</f>
        <v>0</v>
      </c>
      <c r="I48" s="1894">
        <f t="shared" si="8"/>
        <v>0</v>
      </c>
      <c r="J48" s="1894">
        <f>'Data &amp; hypothesis Adults'!G97</f>
        <v>0</v>
      </c>
      <c r="K48" s="1900">
        <f>'Data &amp; hypothesis Adults'!H97</f>
        <v>0</v>
      </c>
      <c r="L48" s="1894">
        <f t="shared" si="9"/>
        <v>0</v>
      </c>
      <c r="AG48" s="1860"/>
      <c r="AH48" s="1860"/>
      <c r="AI48" s="1860"/>
      <c r="AJ48" s="1860"/>
      <c r="AK48" s="1860"/>
    </row>
    <row r="49" spans="1:37" s="1858" customFormat="1" x14ac:dyDescent="0.2">
      <c r="K49" s="1901"/>
      <c r="AD49" s="1860"/>
      <c r="AE49" s="1860"/>
      <c r="AF49" s="1860"/>
      <c r="AG49" s="1860"/>
      <c r="AH49" s="1860"/>
    </row>
    <row r="50" spans="1:37" s="1858" customFormat="1" x14ac:dyDescent="0.2">
      <c r="K50" s="1901"/>
      <c r="AD50" s="1860"/>
      <c r="AE50" s="1860"/>
      <c r="AF50" s="1860"/>
      <c r="AG50" s="1860"/>
      <c r="AH50" s="1860"/>
    </row>
    <row r="51" spans="1:37" s="1858" customFormat="1" x14ac:dyDescent="0.2">
      <c r="A51" s="1898" t="str">
        <f>'TRAD-General Data'!B12</f>
        <v>Année 3</v>
      </c>
      <c r="B51" s="1899"/>
      <c r="C51" s="1899"/>
      <c r="D51" s="1899"/>
      <c r="E51" s="1899"/>
      <c r="F51" s="1899"/>
      <c r="G51" s="1899"/>
      <c r="H51" s="1899"/>
      <c r="I51" s="1899"/>
      <c r="J51" s="1899"/>
      <c r="K51" s="1902"/>
      <c r="L51" s="1899"/>
      <c r="AD51" s="1860"/>
      <c r="AE51" s="1860"/>
      <c r="AF51" s="1860"/>
      <c r="AG51" s="1860"/>
      <c r="AH51" s="1860"/>
    </row>
    <row r="52" spans="1:37" s="1858" customFormat="1" x14ac:dyDescent="0.2">
      <c r="K52" s="1901"/>
      <c r="AD52" s="1860"/>
      <c r="AE52" s="1860"/>
      <c r="AF52" s="1860"/>
      <c r="AG52" s="1860"/>
      <c r="AH52" s="1860"/>
    </row>
    <row r="53" spans="1:37" s="1858" customFormat="1" x14ac:dyDescent="0.2">
      <c r="B53" s="1896" t="str">
        <f>'Data &amp; hypothesis Adults'!B86</f>
        <v>Schémas thérapeutiques</v>
      </c>
      <c r="C53" s="1896"/>
      <c r="D53" s="1896" t="str">
        <f>'Data &amp; hypothesis Adults'!C86</f>
        <v>Option 1</v>
      </c>
      <c r="E53" s="1896">
        <f>'Data &amp; hypothesis Adults'!D86</f>
        <v>0</v>
      </c>
      <c r="F53" s="1896"/>
      <c r="G53" s="1896" t="str">
        <f>'Data &amp; hypothesis Adults'!E86</f>
        <v>Option 2</v>
      </c>
      <c r="H53" s="1896">
        <f>'Data &amp; hypothesis Adults'!F86</f>
        <v>0</v>
      </c>
      <c r="I53" s="1896"/>
      <c r="J53" s="1896" t="str">
        <f>'Data &amp; hypothesis Adults'!G86</f>
        <v>Option 3</v>
      </c>
      <c r="K53" s="1903">
        <f>'Data &amp; hypothesis Adults'!H86</f>
        <v>0</v>
      </c>
      <c r="L53" s="1896"/>
      <c r="AG53" s="1860"/>
      <c r="AH53" s="1860"/>
      <c r="AI53" s="1860"/>
      <c r="AJ53" s="1860"/>
      <c r="AK53" s="1860"/>
    </row>
    <row r="54" spans="1:37" s="1858" customFormat="1" x14ac:dyDescent="0.2">
      <c r="B54" s="1896" t="str">
        <f>'Data &amp; hypothesis Adults'!B87</f>
        <v>Premières lignes</v>
      </c>
      <c r="C54" s="1897" t="str">
        <f>O5</f>
        <v>Nombre de patients 1ère ligne à la fin de l'année</v>
      </c>
      <c r="D54" s="1896" t="str">
        <f>'Data &amp; hypothesis Adults'!C87</f>
        <v>Schéma thérapeutique</v>
      </c>
      <c r="E54" s="1896" t="str">
        <f>'Data &amp; hypothesis Adults'!D87</f>
        <v>Proportion %</v>
      </c>
      <c r="F54" s="1896"/>
      <c r="G54" s="1896" t="str">
        <f>'Data &amp; hypothesis Adults'!E87</f>
        <v>Schéma thérapeutique</v>
      </c>
      <c r="H54" s="1896" t="str">
        <f>'Data &amp; hypothesis Adults'!F87</f>
        <v>Proportion %</v>
      </c>
      <c r="I54" s="1896"/>
      <c r="J54" s="1896" t="str">
        <f>'Data &amp; hypothesis Adults'!G87</f>
        <v>Schéma thérapeutique</v>
      </c>
      <c r="K54" s="1903" t="str">
        <f>'Data &amp; hypothesis Adults'!H87</f>
        <v>Proportion %</v>
      </c>
      <c r="L54" s="1896"/>
      <c r="AG54" s="1860"/>
      <c r="AH54" s="1860"/>
      <c r="AI54" s="1860"/>
      <c r="AJ54" s="1860"/>
      <c r="AK54" s="1860"/>
    </row>
    <row r="55" spans="1:37" s="1858" customFormat="1" x14ac:dyDescent="0.2">
      <c r="B55" s="1894" t="str">
        <f>'Data &amp; hypothesis Adults'!B88</f>
        <v>AZT+3TC+NVP</v>
      </c>
      <c r="C55" s="1895">
        <f>P7</f>
        <v>0</v>
      </c>
      <c r="D55" s="1894" t="str">
        <f>'Data &amp; hypothesis Adults'!C88</f>
        <v>TDF+FTC/3TC+LPV/r</v>
      </c>
      <c r="E55" s="1900">
        <f>'Data &amp; hypothesis Adults'!D88</f>
        <v>1</v>
      </c>
      <c r="F55" s="1894">
        <f>C55*E55</f>
        <v>0</v>
      </c>
      <c r="G55" s="1894">
        <f>'Data &amp; hypothesis Adults'!E88</f>
        <v>0</v>
      </c>
      <c r="H55" s="1900">
        <f>'Data &amp; hypothesis Adults'!F88</f>
        <v>0</v>
      </c>
      <c r="I55" s="1894">
        <f>H55*C55</f>
        <v>0</v>
      </c>
      <c r="J55" s="1894">
        <f>'Data &amp; hypothesis Adults'!G88</f>
        <v>0</v>
      </c>
      <c r="K55" s="1900">
        <f>'Data &amp; hypothesis Adults'!H88</f>
        <v>0</v>
      </c>
      <c r="L55" s="1894">
        <f>C55*K55</f>
        <v>0</v>
      </c>
      <c r="AG55" s="1860"/>
      <c r="AH55" s="1860"/>
      <c r="AI55" s="1860"/>
      <c r="AJ55" s="1860"/>
      <c r="AK55" s="1860"/>
    </row>
    <row r="56" spans="1:37" s="1858" customFormat="1" x14ac:dyDescent="0.2">
      <c r="B56" s="1894" t="str">
        <f>'Data &amp; hypothesis Adults'!B89</f>
        <v>AZT+3TC+EFV</v>
      </c>
      <c r="C56" s="1895">
        <f t="shared" ref="C56:C64" si="10">P8</f>
        <v>0</v>
      </c>
      <c r="D56" s="1894" t="str">
        <f>'Data &amp; hypothesis Adults'!C89</f>
        <v>TDF+FTC/3TC+LPV/r</v>
      </c>
      <c r="E56" s="1900">
        <f>'Data &amp; hypothesis Adults'!D89</f>
        <v>1</v>
      </c>
      <c r="F56" s="1894">
        <f t="shared" ref="F56:F64" si="11">C56*E56</f>
        <v>0</v>
      </c>
      <c r="G56" s="1894">
        <f>'Data &amp; hypothesis Adults'!E89</f>
        <v>0</v>
      </c>
      <c r="H56" s="1900">
        <f>'Data &amp; hypothesis Adults'!F89</f>
        <v>0</v>
      </c>
      <c r="I56" s="1894">
        <f t="shared" ref="I56:I64" si="12">H56*C56</f>
        <v>0</v>
      </c>
      <c r="J56" s="1894">
        <f>'Data &amp; hypothesis Adults'!G89</f>
        <v>0</v>
      </c>
      <c r="K56" s="1900">
        <f>'Data &amp; hypothesis Adults'!H89</f>
        <v>0</v>
      </c>
      <c r="L56" s="1894">
        <f t="shared" ref="L56:L64" si="13">C56*K56</f>
        <v>0</v>
      </c>
      <c r="AG56" s="1860"/>
      <c r="AH56" s="1860"/>
      <c r="AI56" s="1860"/>
      <c r="AJ56" s="1860"/>
      <c r="AK56" s="1860"/>
    </row>
    <row r="57" spans="1:37" s="1858" customFormat="1" x14ac:dyDescent="0.2">
      <c r="B57" s="1894" t="str">
        <f>'Data &amp; hypothesis Adults'!B90</f>
        <v>AZT+3TC+ABC</v>
      </c>
      <c r="C57" s="1895">
        <f t="shared" si="10"/>
        <v>0</v>
      </c>
      <c r="D57" s="1894" t="str">
        <f>'Data &amp; hypothesis Adults'!C90</f>
        <v>TDF+FTC/3TC+LPV/r</v>
      </c>
      <c r="E57" s="1900">
        <f>'Data &amp; hypothesis Adults'!D90</f>
        <v>1</v>
      </c>
      <c r="F57" s="1894">
        <f t="shared" si="11"/>
        <v>0</v>
      </c>
      <c r="G57" s="1894">
        <f>'Data &amp; hypothesis Adults'!E90</f>
        <v>0</v>
      </c>
      <c r="H57" s="1900">
        <f>'Data &amp; hypothesis Adults'!F90</f>
        <v>0</v>
      </c>
      <c r="I57" s="1894">
        <f t="shared" si="12"/>
        <v>0</v>
      </c>
      <c r="J57" s="1894">
        <f>'Data &amp; hypothesis Adults'!G90</f>
        <v>0</v>
      </c>
      <c r="K57" s="1900">
        <f>'Data &amp; hypothesis Adults'!H90</f>
        <v>0</v>
      </c>
      <c r="L57" s="1894">
        <f t="shared" si="13"/>
        <v>0</v>
      </c>
      <c r="AG57" s="1860"/>
      <c r="AH57" s="1860"/>
      <c r="AI57" s="1860"/>
      <c r="AJ57" s="1860"/>
      <c r="AK57" s="1860"/>
    </row>
    <row r="58" spans="1:37" s="1858" customFormat="1" x14ac:dyDescent="0.2">
      <c r="B58" s="1894" t="str">
        <f>'Data &amp; hypothesis Adults'!B91</f>
        <v>AZT+3TC+LPV/r</v>
      </c>
      <c r="C58" s="1895">
        <f t="shared" si="10"/>
        <v>0</v>
      </c>
      <c r="D58" s="1894" t="str">
        <f>'Data &amp; hypothesis Adults'!C91</f>
        <v>TDF+FTC/3TC+LPV/r</v>
      </c>
      <c r="E58" s="1900">
        <f>'Data &amp; hypothesis Adults'!D91</f>
        <v>1</v>
      </c>
      <c r="F58" s="1894">
        <f t="shared" si="11"/>
        <v>0</v>
      </c>
      <c r="G58" s="1894">
        <f>'Data &amp; hypothesis Adults'!E91</f>
        <v>0</v>
      </c>
      <c r="H58" s="1900">
        <f>'Data &amp; hypothesis Adults'!F91</f>
        <v>0</v>
      </c>
      <c r="I58" s="1894">
        <f t="shared" si="12"/>
        <v>0</v>
      </c>
      <c r="J58" s="1894">
        <f>'Data &amp; hypothesis Adults'!G91</f>
        <v>0</v>
      </c>
      <c r="K58" s="1900">
        <f>'Data &amp; hypothesis Adults'!H91</f>
        <v>0</v>
      </c>
      <c r="L58" s="1894">
        <f t="shared" si="13"/>
        <v>0</v>
      </c>
      <c r="AG58" s="1860"/>
      <c r="AH58" s="1860"/>
      <c r="AI58" s="1860"/>
      <c r="AJ58" s="1860"/>
      <c r="AK58" s="1860"/>
    </row>
    <row r="59" spans="1:37" s="1858" customFormat="1" x14ac:dyDescent="0.2">
      <c r="B59" s="1894" t="str">
        <f>'Data &amp; hypothesis Adults'!B92</f>
        <v>ABC+3TC+EFV</v>
      </c>
      <c r="C59" s="1895">
        <f t="shared" si="10"/>
        <v>0</v>
      </c>
      <c r="D59" s="1894" t="str">
        <f>'Data &amp; hypothesis Adults'!C92</f>
        <v>TDF+FTC/3TC+LPV/r</v>
      </c>
      <c r="E59" s="1900">
        <f>'Data &amp; hypothesis Adults'!D92</f>
        <v>1</v>
      </c>
      <c r="F59" s="1894">
        <f t="shared" si="11"/>
        <v>0</v>
      </c>
      <c r="G59" s="1894">
        <f>'Data &amp; hypothesis Adults'!E92</f>
        <v>0</v>
      </c>
      <c r="H59" s="1900">
        <f>'Data &amp; hypothesis Adults'!F92</f>
        <v>0</v>
      </c>
      <c r="I59" s="1894">
        <f t="shared" si="12"/>
        <v>0</v>
      </c>
      <c r="J59" s="1894">
        <f>'Data &amp; hypothesis Adults'!G92</f>
        <v>0</v>
      </c>
      <c r="K59" s="1900">
        <f>'Data &amp; hypothesis Adults'!H92</f>
        <v>0</v>
      </c>
      <c r="L59" s="1894">
        <f t="shared" si="13"/>
        <v>0</v>
      </c>
      <c r="AG59" s="1860"/>
      <c r="AH59" s="1860"/>
      <c r="AI59" s="1860"/>
      <c r="AJ59" s="1860"/>
      <c r="AK59" s="1860"/>
    </row>
    <row r="60" spans="1:37" s="1858" customFormat="1" x14ac:dyDescent="0.2">
      <c r="B60" s="1894" t="str">
        <f>'Data &amp; hypothesis Adults'!B93</f>
        <v>TDF+FTC/3TC+EFV</v>
      </c>
      <c r="C60" s="1895">
        <f t="shared" si="10"/>
        <v>0</v>
      </c>
      <c r="D60" s="1894" t="str">
        <f>'Data &amp; hypothesis Adults'!C93</f>
        <v>AZT+3TC+LPV/r</v>
      </c>
      <c r="E60" s="1900">
        <f>'Data &amp; hypothesis Adults'!D93</f>
        <v>1</v>
      </c>
      <c r="F60" s="1894">
        <f t="shared" si="11"/>
        <v>0</v>
      </c>
      <c r="G60" s="1894">
        <f>'Data &amp; hypothesis Adults'!E93</f>
        <v>0</v>
      </c>
      <c r="H60" s="1900">
        <f>'Data &amp; hypothesis Adults'!F93</f>
        <v>0</v>
      </c>
      <c r="I60" s="1894">
        <f t="shared" si="12"/>
        <v>0</v>
      </c>
      <c r="J60" s="1894">
        <f>'Data &amp; hypothesis Adults'!G93</f>
        <v>0</v>
      </c>
      <c r="K60" s="1900">
        <f>'Data &amp; hypothesis Adults'!H93</f>
        <v>0</v>
      </c>
      <c r="L60" s="1894">
        <f t="shared" si="13"/>
        <v>0</v>
      </c>
      <c r="AG60" s="1860"/>
      <c r="AH60" s="1860"/>
      <c r="AI60" s="1860"/>
      <c r="AJ60" s="1860"/>
      <c r="AK60" s="1860"/>
    </row>
    <row r="61" spans="1:37" s="1858" customFormat="1" x14ac:dyDescent="0.2">
      <c r="B61" s="1894" t="str">
        <f>'Data &amp; hypothesis Adults'!B94</f>
        <v>TDF+FTC/3TC+LPV/r</v>
      </c>
      <c r="C61" s="1895">
        <f t="shared" si="10"/>
        <v>0</v>
      </c>
      <c r="D61" s="1894" t="str">
        <f>'Data &amp; hypothesis Adults'!C94</f>
        <v>AZT+3TC+LPV/r</v>
      </c>
      <c r="E61" s="1900">
        <f>'Data &amp; hypothesis Adults'!D94</f>
        <v>1</v>
      </c>
      <c r="F61" s="1894">
        <f t="shared" si="11"/>
        <v>0</v>
      </c>
      <c r="G61" s="1894">
        <f>'Data &amp; hypothesis Adults'!E94</f>
        <v>0</v>
      </c>
      <c r="H61" s="1900">
        <f>'Data &amp; hypothesis Adults'!F94</f>
        <v>0</v>
      </c>
      <c r="I61" s="1894">
        <f t="shared" si="12"/>
        <v>0</v>
      </c>
      <c r="J61" s="1894">
        <f>'Data &amp; hypothesis Adults'!G94</f>
        <v>0</v>
      </c>
      <c r="K61" s="1900">
        <f>'Data &amp; hypothesis Adults'!H94</f>
        <v>0</v>
      </c>
      <c r="L61" s="1894">
        <f t="shared" si="13"/>
        <v>0</v>
      </c>
      <c r="AG61" s="1860"/>
      <c r="AH61" s="1860"/>
      <c r="AI61" s="1860"/>
      <c r="AJ61" s="1860"/>
      <c r="AK61" s="1860"/>
    </row>
    <row r="62" spans="1:37" s="1858" customFormat="1" x14ac:dyDescent="0.2">
      <c r="B62" s="1894" t="str">
        <f>'Data &amp; hypothesis Adults'!B95</f>
        <v>ABC+3TC+LPV/r</v>
      </c>
      <c r="C62" s="1895">
        <f t="shared" si="10"/>
        <v>0</v>
      </c>
      <c r="D62" s="1894" t="str">
        <f>'Data &amp; hypothesis Adults'!C95</f>
        <v>TDF+FTC/3TC+LPV/r</v>
      </c>
      <c r="E62" s="1900">
        <f>'Data &amp; hypothesis Adults'!D95</f>
        <v>1</v>
      </c>
      <c r="F62" s="1894">
        <f t="shared" si="11"/>
        <v>0</v>
      </c>
      <c r="G62" s="1894">
        <f>'Data &amp; hypothesis Adults'!E95</f>
        <v>0</v>
      </c>
      <c r="H62" s="1900">
        <f>'Data &amp; hypothesis Adults'!F95</f>
        <v>0</v>
      </c>
      <c r="I62" s="1894">
        <f t="shared" si="12"/>
        <v>0</v>
      </c>
      <c r="J62" s="1894">
        <f>'Data &amp; hypothesis Adults'!G95</f>
        <v>0</v>
      </c>
      <c r="K62" s="1900">
        <f>'Data &amp; hypothesis Adults'!H95</f>
        <v>0</v>
      </c>
      <c r="L62" s="1894">
        <f t="shared" si="13"/>
        <v>0</v>
      </c>
      <c r="AG62" s="1860"/>
      <c r="AH62" s="1860"/>
      <c r="AI62" s="1860"/>
      <c r="AJ62" s="1860"/>
      <c r="AK62" s="1860"/>
    </row>
    <row r="63" spans="1:37" s="1858" customFormat="1" x14ac:dyDescent="0.2">
      <c r="B63" s="1894" t="str">
        <f>'Data &amp; hypothesis Adults'!B96</f>
        <v>TDF+3TC/FTC+ABC</v>
      </c>
      <c r="C63" s="1895">
        <f t="shared" si="10"/>
        <v>0</v>
      </c>
      <c r="D63" s="1894">
        <f>'Data &amp; hypothesis Adults'!C96</f>
        <v>0</v>
      </c>
      <c r="E63" s="1900">
        <f>'Data &amp; hypothesis Adults'!D96</f>
        <v>0</v>
      </c>
      <c r="F63" s="1894">
        <f t="shared" si="11"/>
        <v>0</v>
      </c>
      <c r="G63" s="1894">
        <f>'Data &amp; hypothesis Adults'!E96</f>
        <v>0</v>
      </c>
      <c r="H63" s="1900">
        <f>'Data &amp; hypothesis Adults'!F96</f>
        <v>0</v>
      </c>
      <c r="I63" s="1894">
        <f t="shared" si="12"/>
        <v>0</v>
      </c>
      <c r="J63" s="1894">
        <f>'Data &amp; hypothesis Adults'!G96</f>
        <v>0</v>
      </c>
      <c r="K63" s="1900">
        <f>'Data &amp; hypothesis Adults'!H96</f>
        <v>0</v>
      </c>
      <c r="L63" s="1894">
        <f t="shared" si="13"/>
        <v>0</v>
      </c>
      <c r="AG63" s="1860"/>
      <c r="AH63" s="1860"/>
      <c r="AI63" s="1860"/>
      <c r="AJ63" s="1860"/>
      <c r="AK63" s="1860"/>
    </row>
    <row r="64" spans="1:37" s="1858" customFormat="1" x14ac:dyDescent="0.2">
      <c r="B64" s="1894">
        <f>'Data &amp; hypothesis Adults'!B97</f>
        <v>0</v>
      </c>
      <c r="C64" s="1895">
        <f t="shared" si="10"/>
        <v>0</v>
      </c>
      <c r="D64" s="1894">
        <f>'Data &amp; hypothesis Adults'!C97</f>
        <v>0</v>
      </c>
      <c r="E64" s="1900">
        <f>'Data &amp; hypothesis Adults'!D97</f>
        <v>0</v>
      </c>
      <c r="F64" s="1894">
        <f t="shared" si="11"/>
        <v>0</v>
      </c>
      <c r="G64" s="1894">
        <f>'Data &amp; hypothesis Adults'!E97</f>
        <v>0</v>
      </c>
      <c r="H64" s="1900">
        <f>'Data &amp; hypothesis Adults'!F97</f>
        <v>0</v>
      </c>
      <c r="I64" s="1894">
        <f t="shared" si="12"/>
        <v>0</v>
      </c>
      <c r="J64" s="1894">
        <f>'Data &amp; hypothesis Adults'!G97</f>
        <v>0</v>
      </c>
      <c r="K64" s="1900">
        <f>'Data &amp; hypothesis Adults'!H97</f>
        <v>0</v>
      </c>
      <c r="L64" s="1894">
        <f t="shared" si="13"/>
        <v>0</v>
      </c>
      <c r="AG64" s="1860"/>
      <c r="AH64" s="1860"/>
      <c r="AI64" s="1860"/>
      <c r="AJ64" s="1860"/>
      <c r="AK64" s="1860"/>
    </row>
    <row r="65" spans="1:37" s="1858" customFormat="1" x14ac:dyDescent="0.2">
      <c r="K65" s="1901"/>
      <c r="AD65" s="1860"/>
      <c r="AE65" s="1860"/>
      <c r="AF65" s="1860"/>
      <c r="AG65" s="1860"/>
      <c r="AH65" s="1860"/>
    </row>
    <row r="66" spans="1:37" s="1858" customFormat="1" x14ac:dyDescent="0.2">
      <c r="K66" s="1901"/>
      <c r="AD66" s="1860"/>
      <c r="AE66" s="1860"/>
      <c r="AF66" s="1860"/>
      <c r="AG66" s="1860"/>
      <c r="AH66" s="1860"/>
    </row>
    <row r="67" spans="1:37" s="1858" customFormat="1" x14ac:dyDescent="0.2">
      <c r="A67" s="1898" t="str">
        <f>'TRAD-General Data'!B13</f>
        <v>Année 4</v>
      </c>
      <c r="B67" s="1899"/>
      <c r="C67" s="1899"/>
      <c r="D67" s="1899"/>
      <c r="E67" s="1899"/>
      <c r="F67" s="1899"/>
      <c r="G67" s="1899"/>
      <c r="H67" s="1899"/>
      <c r="I67" s="1899"/>
      <c r="J67" s="1899"/>
      <c r="K67" s="1902"/>
      <c r="L67" s="1899"/>
      <c r="AD67" s="1860"/>
      <c r="AE67" s="1860"/>
      <c r="AF67" s="1860"/>
      <c r="AG67" s="1860"/>
      <c r="AH67" s="1860"/>
    </row>
    <row r="68" spans="1:37" s="1858" customFormat="1" x14ac:dyDescent="0.2">
      <c r="K68" s="1901"/>
      <c r="AD68" s="1860"/>
      <c r="AE68" s="1860"/>
      <c r="AF68" s="1860"/>
      <c r="AG68" s="1860"/>
      <c r="AH68" s="1860"/>
    </row>
    <row r="69" spans="1:37" s="1858" customFormat="1" x14ac:dyDescent="0.2">
      <c r="B69" s="1896" t="str">
        <f>'Data &amp; hypothesis Adults'!B86</f>
        <v>Schémas thérapeutiques</v>
      </c>
      <c r="C69" s="1896"/>
      <c r="D69" s="1896" t="str">
        <f>'Data &amp; hypothesis Adults'!C86</f>
        <v>Option 1</v>
      </c>
      <c r="E69" s="1896">
        <f>'Data &amp; hypothesis Adults'!D86</f>
        <v>0</v>
      </c>
      <c r="F69" s="1896"/>
      <c r="G69" s="1896" t="str">
        <f>'Data &amp; hypothesis Adults'!E86</f>
        <v>Option 2</v>
      </c>
      <c r="H69" s="1896">
        <f>'Data &amp; hypothesis Adults'!F86</f>
        <v>0</v>
      </c>
      <c r="I69" s="1896"/>
      <c r="J69" s="1896" t="str">
        <f>'Data &amp; hypothesis Adults'!G86</f>
        <v>Option 3</v>
      </c>
      <c r="K69" s="1903">
        <f>'Data &amp; hypothesis Adults'!H86</f>
        <v>0</v>
      </c>
      <c r="L69" s="1896"/>
      <c r="AG69" s="1860"/>
      <c r="AH69" s="1860"/>
      <c r="AI69" s="1860"/>
      <c r="AJ69" s="1860"/>
      <c r="AK69" s="1860"/>
    </row>
    <row r="70" spans="1:37" s="1858" customFormat="1" x14ac:dyDescent="0.2">
      <c r="B70" s="1896" t="str">
        <f>'Data &amp; hypothesis Adults'!B87</f>
        <v>Premières lignes</v>
      </c>
      <c r="C70" s="1897" t="str">
        <f>Q5</f>
        <v>Nombre de patients 1ère ligne à la fin de l'année</v>
      </c>
      <c r="D70" s="1896" t="str">
        <f>'Data &amp; hypothesis Adults'!C87</f>
        <v>Schéma thérapeutique</v>
      </c>
      <c r="E70" s="1896" t="str">
        <f>'Data &amp; hypothesis Adults'!D87</f>
        <v>Proportion %</v>
      </c>
      <c r="F70" s="1896"/>
      <c r="G70" s="1896" t="str">
        <f>'Data &amp; hypothesis Adults'!E87</f>
        <v>Schéma thérapeutique</v>
      </c>
      <c r="H70" s="1896" t="str">
        <f>'Data &amp; hypothesis Adults'!F87</f>
        <v>Proportion %</v>
      </c>
      <c r="I70" s="1896"/>
      <c r="J70" s="1896" t="str">
        <f>'Data &amp; hypothesis Adults'!G87</f>
        <v>Schéma thérapeutique</v>
      </c>
      <c r="K70" s="1903" t="str">
        <f>'Data &amp; hypothesis Adults'!H87</f>
        <v>Proportion %</v>
      </c>
      <c r="L70" s="1896"/>
      <c r="AG70" s="1860"/>
      <c r="AH70" s="1860"/>
      <c r="AI70" s="1860"/>
      <c r="AJ70" s="1860"/>
      <c r="AK70" s="1860"/>
    </row>
    <row r="71" spans="1:37" s="1858" customFormat="1" x14ac:dyDescent="0.2">
      <c r="B71" s="1894" t="str">
        <f>'Data &amp; hypothesis Adults'!B88</f>
        <v>AZT+3TC+NVP</v>
      </c>
      <c r="C71" s="1895">
        <f>R7</f>
        <v>0</v>
      </c>
      <c r="D71" s="1894" t="str">
        <f>'Data &amp; hypothesis Adults'!C88</f>
        <v>TDF+FTC/3TC+LPV/r</v>
      </c>
      <c r="E71" s="1900">
        <f>'Data &amp; hypothesis Adults'!D88</f>
        <v>1</v>
      </c>
      <c r="F71" s="1894">
        <f>C71*E71</f>
        <v>0</v>
      </c>
      <c r="G71" s="1894">
        <f>'Data &amp; hypothesis Adults'!E88</f>
        <v>0</v>
      </c>
      <c r="H71" s="1900">
        <f>'Data &amp; hypothesis Adults'!F88</f>
        <v>0</v>
      </c>
      <c r="I71" s="1894">
        <f>H71*C71</f>
        <v>0</v>
      </c>
      <c r="J71" s="1894">
        <f>'Data &amp; hypothesis Adults'!G88</f>
        <v>0</v>
      </c>
      <c r="K71" s="1900">
        <f>'Data &amp; hypothesis Adults'!H88</f>
        <v>0</v>
      </c>
      <c r="L71" s="1894">
        <f>C71*K71</f>
        <v>0</v>
      </c>
      <c r="AG71" s="1860"/>
      <c r="AH71" s="1860"/>
      <c r="AI71" s="1860"/>
      <c r="AJ71" s="1860"/>
      <c r="AK71" s="1860"/>
    </row>
    <row r="72" spans="1:37" s="1858" customFormat="1" x14ac:dyDescent="0.2">
      <c r="B72" s="1894" t="str">
        <f>'Data &amp; hypothesis Adults'!B89</f>
        <v>AZT+3TC+EFV</v>
      </c>
      <c r="C72" s="1895">
        <f t="shared" ref="C72:C80" si="14">R8</f>
        <v>0</v>
      </c>
      <c r="D72" s="1894" t="str">
        <f>'Data &amp; hypothesis Adults'!C89</f>
        <v>TDF+FTC/3TC+LPV/r</v>
      </c>
      <c r="E72" s="1900">
        <f>'Data &amp; hypothesis Adults'!D89</f>
        <v>1</v>
      </c>
      <c r="F72" s="1894">
        <f t="shared" ref="F72:F80" si="15">C72*E72</f>
        <v>0</v>
      </c>
      <c r="G72" s="1894">
        <f>'Data &amp; hypothesis Adults'!E89</f>
        <v>0</v>
      </c>
      <c r="H72" s="1900">
        <f>'Data &amp; hypothesis Adults'!F89</f>
        <v>0</v>
      </c>
      <c r="I72" s="1894">
        <f t="shared" ref="I72:I80" si="16">H72*C72</f>
        <v>0</v>
      </c>
      <c r="J72" s="1894">
        <f>'Data &amp; hypothesis Adults'!G89</f>
        <v>0</v>
      </c>
      <c r="K72" s="1900">
        <f>'Data &amp; hypothesis Adults'!H89</f>
        <v>0</v>
      </c>
      <c r="L72" s="1894">
        <f t="shared" ref="L72:L80" si="17">C72*K72</f>
        <v>0</v>
      </c>
      <c r="AG72" s="1860"/>
      <c r="AH72" s="1860"/>
      <c r="AI72" s="1860"/>
      <c r="AJ72" s="1860"/>
      <c r="AK72" s="1860"/>
    </row>
    <row r="73" spans="1:37" s="1858" customFormat="1" x14ac:dyDescent="0.2">
      <c r="B73" s="1894" t="str">
        <f>'Data &amp; hypothesis Adults'!B90</f>
        <v>AZT+3TC+ABC</v>
      </c>
      <c r="C73" s="1895">
        <f t="shared" si="14"/>
        <v>0</v>
      </c>
      <c r="D73" s="1894" t="str">
        <f>'Data &amp; hypothesis Adults'!C90</f>
        <v>TDF+FTC/3TC+LPV/r</v>
      </c>
      <c r="E73" s="1900">
        <f>'Data &amp; hypothesis Adults'!D90</f>
        <v>1</v>
      </c>
      <c r="F73" s="1894">
        <f t="shared" si="15"/>
        <v>0</v>
      </c>
      <c r="G73" s="1894">
        <f>'Data &amp; hypothesis Adults'!E90</f>
        <v>0</v>
      </c>
      <c r="H73" s="1900">
        <f>'Data &amp; hypothesis Adults'!F90</f>
        <v>0</v>
      </c>
      <c r="I73" s="1894">
        <f t="shared" si="16"/>
        <v>0</v>
      </c>
      <c r="J73" s="1894">
        <f>'Data &amp; hypothesis Adults'!G90</f>
        <v>0</v>
      </c>
      <c r="K73" s="1900">
        <f>'Data &amp; hypothesis Adults'!H90</f>
        <v>0</v>
      </c>
      <c r="L73" s="1894">
        <f t="shared" si="17"/>
        <v>0</v>
      </c>
      <c r="AG73" s="1860"/>
      <c r="AH73" s="1860"/>
      <c r="AI73" s="1860"/>
      <c r="AJ73" s="1860"/>
      <c r="AK73" s="1860"/>
    </row>
    <row r="74" spans="1:37" s="1858" customFormat="1" x14ac:dyDescent="0.2">
      <c r="B74" s="1894" t="str">
        <f>'Data &amp; hypothesis Adults'!B91</f>
        <v>AZT+3TC+LPV/r</v>
      </c>
      <c r="C74" s="1895">
        <f t="shared" si="14"/>
        <v>0</v>
      </c>
      <c r="D74" s="1894" t="str">
        <f>'Data &amp; hypothesis Adults'!C91</f>
        <v>TDF+FTC/3TC+LPV/r</v>
      </c>
      <c r="E74" s="1900">
        <f>'Data &amp; hypothesis Adults'!D91</f>
        <v>1</v>
      </c>
      <c r="F74" s="1894">
        <f t="shared" si="15"/>
        <v>0</v>
      </c>
      <c r="G74" s="1894">
        <f>'Data &amp; hypothesis Adults'!E91</f>
        <v>0</v>
      </c>
      <c r="H74" s="1900">
        <f>'Data &amp; hypothesis Adults'!F91</f>
        <v>0</v>
      </c>
      <c r="I74" s="1894">
        <f t="shared" si="16"/>
        <v>0</v>
      </c>
      <c r="J74" s="1894">
        <f>'Data &amp; hypothesis Adults'!G91</f>
        <v>0</v>
      </c>
      <c r="K74" s="1900">
        <f>'Data &amp; hypothesis Adults'!H91</f>
        <v>0</v>
      </c>
      <c r="L74" s="1894">
        <f t="shared" si="17"/>
        <v>0</v>
      </c>
      <c r="AG74" s="1860"/>
      <c r="AH74" s="1860"/>
      <c r="AI74" s="1860"/>
      <c r="AJ74" s="1860"/>
      <c r="AK74" s="1860"/>
    </row>
    <row r="75" spans="1:37" s="1858" customFormat="1" x14ac:dyDescent="0.2">
      <c r="B75" s="1894" t="str">
        <f>'Data &amp; hypothesis Adults'!B92</f>
        <v>ABC+3TC+EFV</v>
      </c>
      <c r="C75" s="1895">
        <f t="shared" si="14"/>
        <v>0</v>
      </c>
      <c r="D75" s="1894" t="str">
        <f>'Data &amp; hypothesis Adults'!C92</f>
        <v>TDF+FTC/3TC+LPV/r</v>
      </c>
      <c r="E75" s="1900">
        <f>'Data &amp; hypothesis Adults'!D92</f>
        <v>1</v>
      </c>
      <c r="F75" s="1894">
        <f t="shared" si="15"/>
        <v>0</v>
      </c>
      <c r="G75" s="1894">
        <f>'Data &amp; hypothesis Adults'!E92</f>
        <v>0</v>
      </c>
      <c r="H75" s="1900">
        <f>'Data &amp; hypothesis Adults'!F92</f>
        <v>0</v>
      </c>
      <c r="I75" s="1894">
        <f t="shared" si="16"/>
        <v>0</v>
      </c>
      <c r="J75" s="1894">
        <f>'Data &amp; hypothesis Adults'!G92</f>
        <v>0</v>
      </c>
      <c r="K75" s="1900">
        <f>'Data &amp; hypothesis Adults'!H92</f>
        <v>0</v>
      </c>
      <c r="L75" s="1894">
        <f t="shared" si="17"/>
        <v>0</v>
      </c>
      <c r="AG75" s="1860"/>
      <c r="AH75" s="1860"/>
      <c r="AI75" s="1860"/>
      <c r="AJ75" s="1860"/>
      <c r="AK75" s="1860"/>
    </row>
    <row r="76" spans="1:37" s="1858" customFormat="1" x14ac:dyDescent="0.2">
      <c r="B76" s="1894" t="str">
        <f>'Data &amp; hypothesis Adults'!B93</f>
        <v>TDF+FTC/3TC+EFV</v>
      </c>
      <c r="C76" s="1895">
        <f t="shared" si="14"/>
        <v>0</v>
      </c>
      <c r="D76" s="1894" t="str">
        <f>'Data &amp; hypothesis Adults'!C93</f>
        <v>AZT+3TC+LPV/r</v>
      </c>
      <c r="E76" s="1900">
        <f>'Data &amp; hypothesis Adults'!D93</f>
        <v>1</v>
      </c>
      <c r="F76" s="1894">
        <f t="shared" si="15"/>
        <v>0</v>
      </c>
      <c r="G76" s="1894">
        <f>'Data &amp; hypothesis Adults'!E93</f>
        <v>0</v>
      </c>
      <c r="H76" s="1900">
        <f>'Data &amp; hypothesis Adults'!F93</f>
        <v>0</v>
      </c>
      <c r="I76" s="1894">
        <f t="shared" si="16"/>
        <v>0</v>
      </c>
      <c r="J76" s="1894">
        <f>'Data &amp; hypothesis Adults'!G93</f>
        <v>0</v>
      </c>
      <c r="K76" s="1900">
        <f>'Data &amp; hypothesis Adults'!H93</f>
        <v>0</v>
      </c>
      <c r="L76" s="1894">
        <f t="shared" si="17"/>
        <v>0</v>
      </c>
      <c r="AG76" s="1860"/>
      <c r="AH76" s="1860"/>
      <c r="AI76" s="1860"/>
      <c r="AJ76" s="1860"/>
      <c r="AK76" s="1860"/>
    </row>
    <row r="77" spans="1:37" s="1858" customFormat="1" x14ac:dyDescent="0.2">
      <c r="B77" s="1894" t="str">
        <f>'Data &amp; hypothesis Adults'!B94</f>
        <v>TDF+FTC/3TC+LPV/r</v>
      </c>
      <c r="C77" s="1895">
        <f t="shared" si="14"/>
        <v>0</v>
      </c>
      <c r="D77" s="1894" t="str">
        <f>'Data &amp; hypothesis Adults'!C94</f>
        <v>AZT+3TC+LPV/r</v>
      </c>
      <c r="E77" s="1900">
        <f>'Data &amp; hypothesis Adults'!D94</f>
        <v>1</v>
      </c>
      <c r="F77" s="1894">
        <f t="shared" si="15"/>
        <v>0</v>
      </c>
      <c r="G77" s="1894">
        <f>'Data &amp; hypothesis Adults'!E94</f>
        <v>0</v>
      </c>
      <c r="H77" s="1900">
        <f>'Data &amp; hypothesis Adults'!F94</f>
        <v>0</v>
      </c>
      <c r="I77" s="1894">
        <f t="shared" si="16"/>
        <v>0</v>
      </c>
      <c r="J77" s="1894">
        <f>'Data &amp; hypothesis Adults'!G94</f>
        <v>0</v>
      </c>
      <c r="K77" s="1900">
        <f>'Data &amp; hypothesis Adults'!H94</f>
        <v>0</v>
      </c>
      <c r="L77" s="1894">
        <f t="shared" si="17"/>
        <v>0</v>
      </c>
      <c r="AG77" s="1860"/>
      <c r="AH77" s="1860"/>
      <c r="AI77" s="1860"/>
      <c r="AJ77" s="1860"/>
      <c r="AK77" s="1860"/>
    </row>
    <row r="78" spans="1:37" s="1858" customFormat="1" x14ac:dyDescent="0.2">
      <c r="B78" s="1894" t="str">
        <f>'Data &amp; hypothesis Adults'!B95</f>
        <v>ABC+3TC+LPV/r</v>
      </c>
      <c r="C78" s="1895">
        <f t="shared" si="14"/>
        <v>0</v>
      </c>
      <c r="D78" s="1894" t="str">
        <f>'Data &amp; hypothesis Adults'!C95</f>
        <v>TDF+FTC/3TC+LPV/r</v>
      </c>
      <c r="E78" s="1900">
        <f>'Data &amp; hypothesis Adults'!D95</f>
        <v>1</v>
      </c>
      <c r="F78" s="1894">
        <f t="shared" si="15"/>
        <v>0</v>
      </c>
      <c r="G78" s="1894">
        <f>'Data &amp; hypothesis Adults'!E95</f>
        <v>0</v>
      </c>
      <c r="H78" s="1900">
        <f>'Data &amp; hypothesis Adults'!F95</f>
        <v>0</v>
      </c>
      <c r="I78" s="1894">
        <f t="shared" si="16"/>
        <v>0</v>
      </c>
      <c r="J78" s="1894">
        <f>'Data &amp; hypothesis Adults'!G95</f>
        <v>0</v>
      </c>
      <c r="K78" s="1900">
        <f>'Data &amp; hypothesis Adults'!H95</f>
        <v>0</v>
      </c>
      <c r="L78" s="1894">
        <f t="shared" si="17"/>
        <v>0</v>
      </c>
      <c r="AG78" s="1860"/>
      <c r="AH78" s="1860"/>
      <c r="AI78" s="1860"/>
      <c r="AJ78" s="1860"/>
      <c r="AK78" s="1860"/>
    </row>
    <row r="79" spans="1:37" s="1858" customFormat="1" x14ac:dyDescent="0.2">
      <c r="B79" s="1894" t="str">
        <f>'Data &amp; hypothesis Adults'!B96</f>
        <v>TDF+3TC/FTC+ABC</v>
      </c>
      <c r="C79" s="1895">
        <f t="shared" si="14"/>
        <v>0</v>
      </c>
      <c r="D79" s="1894">
        <f>'Data &amp; hypothesis Adults'!C96</f>
        <v>0</v>
      </c>
      <c r="E79" s="1900">
        <f>'Data &amp; hypothesis Adults'!D96</f>
        <v>0</v>
      </c>
      <c r="F79" s="1894">
        <f t="shared" si="15"/>
        <v>0</v>
      </c>
      <c r="G79" s="1894">
        <f>'Data &amp; hypothesis Adults'!E96</f>
        <v>0</v>
      </c>
      <c r="H79" s="1900">
        <f>'Data &amp; hypothesis Adults'!F96</f>
        <v>0</v>
      </c>
      <c r="I79" s="1894">
        <f t="shared" si="16"/>
        <v>0</v>
      </c>
      <c r="J79" s="1894">
        <f>'Data &amp; hypothesis Adults'!G96</f>
        <v>0</v>
      </c>
      <c r="K79" s="1900">
        <f>'Data &amp; hypothesis Adults'!H96</f>
        <v>0</v>
      </c>
      <c r="L79" s="1894">
        <f t="shared" si="17"/>
        <v>0</v>
      </c>
      <c r="AG79" s="1860"/>
      <c r="AH79" s="1860"/>
      <c r="AI79" s="1860"/>
      <c r="AJ79" s="1860"/>
      <c r="AK79" s="1860"/>
    </row>
    <row r="80" spans="1:37" s="1858" customFormat="1" x14ac:dyDescent="0.2">
      <c r="B80" s="1894">
        <f>'Data &amp; hypothesis Adults'!B97</f>
        <v>0</v>
      </c>
      <c r="C80" s="1895">
        <f t="shared" si="14"/>
        <v>0</v>
      </c>
      <c r="D80" s="1894">
        <f>'Data &amp; hypothesis Adults'!C97</f>
        <v>0</v>
      </c>
      <c r="E80" s="1900">
        <f>'Data &amp; hypothesis Adults'!D97</f>
        <v>0</v>
      </c>
      <c r="F80" s="1894">
        <f t="shared" si="15"/>
        <v>0</v>
      </c>
      <c r="G80" s="1894">
        <f>'Data &amp; hypothesis Adults'!E97</f>
        <v>0</v>
      </c>
      <c r="H80" s="1900">
        <f>'Data &amp; hypothesis Adults'!F97</f>
        <v>0</v>
      </c>
      <c r="I80" s="1894">
        <f t="shared" si="16"/>
        <v>0</v>
      </c>
      <c r="J80" s="1894">
        <f>'Data &amp; hypothesis Adults'!G97</f>
        <v>0</v>
      </c>
      <c r="K80" s="1900">
        <f>'Data &amp; hypothesis Adults'!H97</f>
        <v>0</v>
      </c>
      <c r="L80" s="1894">
        <f t="shared" si="17"/>
        <v>0</v>
      </c>
      <c r="AG80" s="1860"/>
      <c r="AH80" s="1860"/>
      <c r="AI80" s="1860"/>
      <c r="AJ80" s="1860"/>
      <c r="AK80" s="1860"/>
    </row>
    <row r="81" spans="1:37" s="1858" customFormat="1" x14ac:dyDescent="0.2">
      <c r="K81" s="1901"/>
      <c r="AD81" s="1860"/>
      <c r="AE81" s="1860"/>
      <c r="AF81" s="1860"/>
      <c r="AG81" s="1860"/>
      <c r="AH81" s="1860"/>
    </row>
    <row r="82" spans="1:37" s="1858" customFormat="1" x14ac:dyDescent="0.2">
      <c r="K82" s="1901"/>
      <c r="AD82" s="1860"/>
      <c r="AE82" s="1860"/>
      <c r="AF82" s="1860"/>
      <c r="AG82" s="1860"/>
      <c r="AH82" s="1860"/>
    </row>
    <row r="83" spans="1:37" s="1858" customFormat="1" x14ac:dyDescent="0.2">
      <c r="A83" s="1898" t="str">
        <f>'TRAD-General Data'!B14</f>
        <v>Année 5</v>
      </c>
      <c r="B83" s="1899"/>
      <c r="C83" s="1899"/>
      <c r="D83" s="1899"/>
      <c r="E83" s="1899"/>
      <c r="F83" s="1899"/>
      <c r="G83" s="1899"/>
      <c r="H83" s="1899"/>
      <c r="I83" s="1899"/>
      <c r="J83" s="1899"/>
      <c r="K83" s="1902"/>
      <c r="L83" s="1899"/>
      <c r="AD83" s="1860"/>
      <c r="AE83" s="1860"/>
      <c r="AF83" s="1860"/>
      <c r="AG83" s="1860"/>
      <c r="AH83" s="1860"/>
    </row>
    <row r="84" spans="1:37" s="1858" customFormat="1" x14ac:dyDescent="0.2">
      <c r="K84" s="1901"/>
      <c r="AD84" s="1860"/>
      <c r="AE84" s="1860"/>
      <c r="AF84" s="1860"/>
      <c r="AG84" s="1860"/>
      <c r="AH84" s="1860"/>
    </row>
    <row r="85" spans="1:37" s="1858" customFormat="1" x14ac:dyDescent="0.2">
      <c r="B85" s="1896" t="str">
        <f>'Data &amp; hypothesis Adults'!B86</f>
        <v>Schémas thérapeutiques</v>
      </c>
      <c r="C85" s="1896"/>
      <c r="D85" s="1896" t="str">
        <f>'Data &amp; hypothesis Adults'!C86</f>
        <v>Option 1</v>
      </c>
      <c r="E85" s="1896">
        <f>'Data &amp; hypothesis Adults'!D86</f>
        <v>0</v>
      </c>
      <c r="F85" s="1896"/>
      <c r="G85" s="1896" t="str">
        <f>'Data &amp; hypothesis Adults'!E86</f>
        <v>Option 2</v>
      </c>
      <c r="H85" s="1896">
        <f>'Data &amp; hypothesis Adults'!F86</f>
        <v>0</v>
      </c>
      <c r="I85" s="1896"/>
      <c r="J85" s="1896" t="str">
        <f>'Data &amp; hypothesis Adults'!G86</f>
        <v>Option 3</v>
      </c>
      <c r="K85" s="1903">
        <f>'Data &amp; hypothesis Adults'!H86</f>
        <v>0</v>
      </c>
      <c r="L85" s="1896"/>
      <c r="AG85" s="1860"/>
      <c r="AH85" s="1860"/>
      <c r="AI85" s="1860"/>
      <c r="AJ85" s="1860"/>
      <c r="AK85" s="1860"/>
    </row>
    <row r="86" spans="1:37" s="1858" customFormat="1" x14ac:dyDescent="0.2">
      <c r="B86" s="1896" t="str">
        <f>'Data &amp; hypothesis Adults'!B87</f>
        <v>Premières lignes</v>
      </c>
      <c r="C86" s="1897" t="str">
        <f>S5</f>
        <v>Nombre de patients 1ère ligne à la fin de l'année</v>
      </c>
      <c r="D86" s="1896" t="str">
        <f>'Data &amp; hypothesis Adults'!C87</f>
        <v>Schéma thérapeutique</v>
      </c>
      <c r="E86" s="1896" t="str">
        <f>'Data &amp; hypothesis Adults'!D87</f>
        <v>Proportion %</v>
      </c>
      <c r="F86" s="1896"/>
      <c r="G86" s="1896" t="str">
        <f>'Data &amp; hypothesis Adults'!E87</f>
        <v>Schéma thérapeutique</v>
      </c>
      <c r="H86" s="1896" t="str">
        <f>'Data &amp; hypothesis Adults'!F87</f>
        <v>Proportion %</v>
      </c>
      <c r="I86" s="1896"/>
      <c r="J86" s="1896" t="str">
        <f>'Data &amp; hypothesis Adults'!G87</f>
        <v>Schéma thérapeutique</v>
      </c>
      <c r="K86" s="1903" t="str">
        <f>'Data &amp; hypothesis Adults'!H87</f>
        <v>Proportion %</v>
      </c>
      <c r="L86" s="1896"/>
      <c r="AG86" s="1860"/>
      <c r="AH86" s="1860"/>
      <c r="AI86" s="1860"/>
      <c r="AJ86" s="1860"/>
      <c r="AK86" s="1860"/>
    </row>
    <row r="87" spans="1:37" s="1858" customFormat="1" x14ac:dyDescent="0.2">
      <c r="B87" s="1894" t="str">
        <f>'Data &amp; hypothesis Adults'!B88</f>
        <v>AZT+3TC+NVP</v>
      </c>
      <c r="C87" s="1895">
        <f>T7</f>
        <v>0</v>
      </c>
      <c r="D87" s="1904" t="str">
        <f>'Data &amp; hypothesis Adults'!C88</f>
        <v>TDF+FTC/3TC+LPV/r</v>
      </c>
      <c r="E87" s="1900">
        <f>'Data &amp; hypothesis Adults'!D88</f>
        <v>1</v>
      </c>
      <c r="F87" s="1894">
        <f>C87*E87</f>
        <v>0</v>
      </c>
      <c r="G87" s="1894">
        <f>'Data &amp; hypothesis Adults'!E88</f>
        <v>0</v>
      </c>
      <c r="H87" s="1900">
        <f>'Data &amp; hypothesis Adults'!F88</f>
        <v>0</v>
      </c>
      <c r="I87" s="1894">
        <f>H87*C87</f>
        <v>0</v>
      </c>
      <c r="J87" s="1894">
        <f>'Data &amp; hypothesis Adults'!G88</f>
        <v>0</v>
      </c>
      <c r="K87" s="1900">
        <f>'Data &amp; hypothesis Adults'!H88</f>
        <v>0</v>
      </c>
      <c r="L87" s="1894">
        <f>C87*K87</f>
        <v>0</v>
      </c>
      <c r="AG87" s="1860"/>
      <c r="AH87" s="1860"/>
      <c r="AI87" s="1860"/>
      <c r="AJ87" s="1860"/>
      <c r="AK87" s="1860"/>
    </row>
    <row r="88" spans="1:37" s="1858" customFormat="1" x14ac:dyDescent="0.2">
      <c r="B88" s="1894" t="str">
        <f>'Data &amp; hypothesis Adults'!B89</f>
        <v>AZT+3TC+EFV</v>
      </c>
      <c r="C88" s="1895">
        <f t="shared" ref="C88:C96" si="18">T8</f>
        <v>0</v>
      </c>
      <c r="D88" s="1904" t="str">
        <f>'Data &amp; hypothesis Adults'!C89</f>
        <v>TDF+FTC/3TC+LPV/r</v>
      </c>
      <c r="E88" s="1900">
        <f>'Data &amp; hypothesis Adults'!D89</f>
        <v>1</v>
      </c>
      <c r="F88" s="1894">
        <f t="shared" ref="F88:F96" si="19">C88*E88</f>
        <v>0</v>
      </c>
      <c r="G88" s="1894">
        <f>'Data &amp; hypothesis Adults'!E89</f>
        <v>0</v>
      </c>
      <c r="H88" s="1900">
        <f>'Data &amp; hypothesis Adults'!F89</f>
        <v>0</v>
      </c>
      <c r="I88" s="1894">
        <f t="shared" ref="I88:I96" si="20">H88*C88</f>
        <v>0</v>
      </c>
      <c r="J88" s="1894">
        <f>'Data &amp; hypothesis Adults'!G89</f>
        <v>0</v>
      </c>
      <c r="K88" s="1900">
        <f>'Data &amp; hypothesis Adults'!H89</f>
        <v>0</v>
      </c>
      <c r="L88" s="1894">
        <f t="shared" ref="L88:L96" si="21">C88*K88</f>
        <v>0</v>
      </c>
      <c r="AG88" s="1860"/>
      <c r="AH88" s="1860"/>
      <c r="AI88" s="1860"/>
      <c r="AJ88" s="1860"/>
      <c r="AK88" s="1860"/>
    </row>
    <row r="89" spans="1:37" s="1858" customFormat="1" x14ac:dyDescent="0.2">
      <c r="B89" s="1894" t="str">
        <f>'Data &amp; hypothesis Adults'!B90</f>
        <v>AZT+3TC+ABC</v>
      </c>
      <c r="C89" s="1895">
        <f t="shared" si="18"/>
        <v>0</v>
      </c>
      <c r="D89" s="1904" t="str">
        <f>'Data &amp; hypothesis Adults'!C90</f>
        <v>TDF+FTC/3TC+LPV/r</v>
      </c>
      <c r="E89" s="1900">
        <f>'Data &amp; hypothesis Adults'!D90</f>
        <v>1</v>
      </c>
      <c r="F89" s="1894">
        <f t="shared" si="19"/>
        <v>0</v>
      </c>
      <c r="G89" s="1894">
        <f>'Data &amp; hypothesis Adults'!E90</f>
        <v>0</v>
      </c>
      <c r="H89" s="1900">
        <f>'Data &amp; hypothesis Adults'!F90</f>
        <v>0</v>
      </c>
      <c r="I89" s="1894">
        <f t="shared" si="20"/>
        <v>0</v>
      </c>
      <c r="J89" s="1894">
        <f>'Data &amp; hypothesis Adults'!G90</f>
        <v>0</v>
      </c>
      <c r="K89" s="1900">
        <f>'Data &amp; hypothesis Adults'!H90</f>
        <v>0</v>
      </c>
      <c r="L89" s="1894">
        <f t="shared" si="21"/>
        <v>0</v>
      </c>
      <c r="AG89" s="1860"/>
      <c r="AH89" s="1860"/>
      <c r="AI89" s="1860"/>
      <c r="AJ89" s="1860"/>
      <c r="AK89" s="1860"/>
    </row>
    <row r="90" spans="1:37" s="1858" customFormat="1" x14ac:dyDescent="0.2">
      <c r="B90" s="1894" t="str">
        <f>'Data &amp; hypothesis Adults'!B91</f>
        <v>AZT+3TC+LPV/r</v>
      </c>
      <c r="C90" s="1895">
        <f t="shared" si="18"/>
        <v>0</v>
      </c>
      <c r="D90" s="1904" t="str">
        <f>'Data &amp; hypothesis Adults'!C91</f>
        <v>TDF+FTC/3TC+LPV/r</v>
      </c>
      <c r="E90" s="1900">
        <f>'Data &amp; hypothesis Adults'!D91</f>
        <v>1</v>
      </c>
      <c r="F90" s="1894">
        <f t="shared" si="19"/>
        <v>0</v>
      </c>
      <c r="G90" s="1894">
        <f>'Data &amp; hypothesis Adults'!E91</f>
        <v>0</v>
      </c>
      <c r="H90" s="1900">
        <f>'Data &amp; hypothesis Adults'!F91</f>
        <v>0</v>
      </c>
      <c r="I90" s="1894">
        <f t="shared" si="20"/>
        <v>0</v>
      </c>
      <c r="J90" s="1894">
        <f>'Data &amp; hypothesis Adults'!G91</f>
        <v>0</v>
      </c>
      <c r="K90" s="1900">
        <f>'Data &amp; hypothesis Adults'!H91</f>
        <v>0</v>
      </c>
      <c r="L90" s="1894">
        <f t="shared" si="21"/>
        <v>0</v>
      </c>
      <c r="AG90" s="1860"/>
      <c r="AH90" s="1860"/>
      <c r="AI90" s="1860"/>
      <c r="AJ90" s="1860"/>
      <c r="AK90" s="1860"/>
    </row>
    <row r="91" spans="1:37" s="1858" customFormat="1" x14ac:dyDescent="0.2">
      <c r="B91" s="1894" t="str">
        <f>'Data &amp; hypothesis Adults'!B92</f>
        <v>ABC+3TC+EFV</v>
      </c>
      <c r="C91" s="1895">
        <f t="shared" si="18"/>
        <v>0</v>
      </c>
      <c r="D91" s="1904" t="str">
        <f>'Data &amp; hypothesis Adults'!C92</f>
        <v>TDF+FTC/3TC+LPV/r</v>
      </c>
      <c r="E91" s="1900">
        <f>'Data &amp; hypothesis Adults'!D92</f>
        <v>1</v>
      </c>
      <c r="F91" s="1894">
        <f t="shared" si="19"/>
        <v>0</v>
      </c>
      <c r="G91" s="1894">
        <f>'Data &amp; hypothesis Adults'!E92</f>
        <v>0</v>
      </c>
      <c r="H91" s="1900">
        <f>'Data &amp; hypothesis Adults'!F92</f>
        <v>0</v>
      </c>
      <c r="I91" s="1894">
        <f t="shared" si="20"/>
        <v>0</v>
      </c>
      <c r="J91" s="1894">
        <f>'Data &amp; hypothesis Adults'!G92</f>
        <v>0</v>
      </c>
      <c r="K91" s="1900">
        <f>'Data &amp; hypothesis Adults'!H92</f>
        <v>0</v>
      </c>
      <c r="L91" s="1894">
        <f t="shared" si="21"/>
        <v>0</v>
      </c>
      <c r="AG91" s="1860"/>
      <c r="AH91" s="1860"/>
      <c r="AI91" s="1860"/>
      <c r="AJ91" s="1860"/>
      <c r="AK91" s="1860"/>
    </row>
    <row r="92" spans="1:37" s="1858" customFormat="1" x14ac:dyDescent="0.2">
      <c r="B92" s="1894" t="str">
        <f>'Data &amp; hypothesis Adults'!B93</f>
        <v>TDF+FTC/3TC+EFV</v>
      </c>
      <c r="C92" s="1895">
        <f t="shared" si="18"/>
        <v>0</v>
      </c>
      <c r="D92" s="1904" t="str">
        <f>'Data &amp; hypothesis Adults'!C93</f>
        <v>AZT+3TC+LPV/r</v>
      </c>
      <c r="E92" s="1900">
        <f>'Data &amp; hypothesis Adults'!D93</f>
        <v>1</v>
      </c>
      <c r="F92" s="1894">
        <f t="shared" si="19"/>
        <v>0</v>
      </c>
      <c r="G92" s="1894">
        <f>'Data &amp; hypothesis Adults'!E93</f>
        <v>0</v>
      </c>
      <c r="H92" s="1900">
        <f>'Data &amp; hypothesis Adults'!F93</f>
        <v>0</v>
      </c>
      <c r="I92" s="1894">
        <f t="shared" si="20"/>
        <v>0</v>
      </c>
      <c r="J92" s="1894">
        <f>'Data &amp; hypothesis Adults'!G93</f>
        <v>0</v>
      </c>
      <c r="K92" s="1900">
        <f>'Data &amp; hypothesis Adults'!H93</f>
        <v>0</v>
      </c>
      <c r="L92" s="1894">
        <f t="shared" si="21"/>
        <v>0</v>
      </c>
      <c r="AG92" s="1860"/>
      <c r="AH92" s="1860"/>
      <c r="AI92" s="1860"/>
      <c r="AJ92" s="1860"/>
      <c r="AK92" s="1860"/>
    </row>
    <row r="93" spans="1:37" s="1858" customFormat="1" x14ac:dyDescent="0.2">
      <c r="B93" s="1894" t="str">
        <f>'Data &amp; hypothesis Adults'!B94</f>
        <v>TDF+FTC/3TC+LPV/r</v>
      </c>
      <c r="C93" s="1895">
        <f t="shared" si="18"/>
        <v>0</v>
      </c>
      <c r="D93" s="1904" t="str">
        <f>'Data &amp; hypothesis Adults'!C94</f>
        <v>AZT+3TC+LPV/r</v>
      </c>
      <c r="E93" s="1900">
        <f>'Data &amp; hypothesis Adults'!D94</f>
        <v>1</v>
      </c>
      <c r="F93" s="1894">
        <f t="shared" si="19"/>
        <v>0</v>
      </c>
      <c r="G93" s="1894">
        <f>'Data &amp; hypothesis Adults'!E94</f>
        <v>0</v>
      </c>
      <c r="H93" s="1900">
        <f>'Data &amp; hypothesis Adults'!F94</f>
        <v>0</v>
      </c>
      <c r="I93" s="1894">
        <f t="shared" si="20"/>
        <v>0</v>
      </c>
      <c r="J93" s="1894">
        <f>'Data &amp; hypothesis Adults'!G94</f>
        <v>0</v>
      </c>
      <c r="K93" s="1900">
        <f>'Data &amp; hypothesis Adults'!H94</f>
        <v>0</v>
      </c>
      <c r="L93" s="1894">
        <f t="shared" si="21"/>
        <v>0</v>
      </c>
      <c r="AG93" s="1860"/>
      <c r="AH93" s="1860"/>
      <c r="AI93" s="1860"/>
      <c r="AJ93" s="1860"/>
      <c r="AK93" s="1860"/>
    </row>
    <row r="94" spans="1:37" s="1858" customFormat="1" x14ac:dyDescent="0.2">
      <c r="B94" s="1894" t="str">
        <f>'Data &amp; hypothesis Adults'!B95</f>
        <v>ABC+3TC+LPV/r</v>
      </c>
      <c r="C94" s="1895">
        <f t="shared" si="18"/>
        <v>0</v>
      </c>
      <c r="D94" s="1904" t="str">
        <f>'Data &amp; hypothesis Adults'!C95</f>
        <v>TDF+FTC/3TC+LPV/r</v>
      </c>
      <c r="E94" s="1900">
        <f>'Data &amp; hypothesis Adults'!D95</f>
        <v>1</v>
      </c>
      <c r="F94" s="1894">
        <f t="shared" si="19"/>
        <v>0</v>
      </c>
      <c r="G94" s="1894">
        <f>'Data &amp; hypothesis Adults'!E95</f>
        <v>0</v>
      </c>
      <c r="H94" s="1900">
        <f>'Data &amp; hypothesis Adults'!F95</f>
        <v>0</v>
      </c>
      <c r="I94" s="1894">
        <f t="shared" si="20"/>
        <v>0</v>
      </c>
      <c r="J94" s="1894">
        <f>'Data &amp; hypothesis Adults'!G95</f>
        <v>0</v>
      </c>
      <c r="K94" s="1900">
        <f>'Data &amp; hypothesis Adults'!H95</f>
        <v>0</v>
      </c>
      <c r="L94" s="1894">
        <f t="shared" si="21"/>
        <v>0</v>
      </c>
      <c r="AG94" s="1860"/>
      <c r="AH94" s="1860"/>
      <c r="AI94" s="1860"/>
      <c r="AJ94" s="1860"/>
      <c r="AK94" s="1860"/>
    </row>
    <row r="95" spans="1:37" s="1858" customFormat="1" x14ac:dyDescent="0.2">
      <c r="B95" s="1894" t="str">
        <f>'Data &amp; hypothesis Adults'!B96</f>
        <v>TDF+3TC/FTC+ABC</v>
      </c>
      <c r="C95" s="1895">
        <f t="shared" si="18"/>
        <v>0</v>
      </c>
      <c r="D95" s="1904">
        <f>'Data &amp; hypothesis Adults'!C96</f>
        <v>0</v>
      </c>
      <c r="E95" s="1900">
        <f>'Data &amp; hypothesis Adults'!D96</f>
        <v>0</v>
      </c>
      <c r="F95" s="1894">
        <f t="shared" si="19"/>
        <v>0</v>
      </c>
      <c r="G95" s="1894">
        <f>'Data &amp; hypothesis Adults'!E96</f>
        <v>0</v>
      </c>
      <c r="H95" s="1900">
        <f>'Data &amp; hypothesis Adults'!F96</f>
        <v>0</v>
      </c>
      <c r="I95" s="1894">
        <f t="shared" si="20"/>
        <v>0</v>
      </c>
      <c r="J95" s="1894">
        <f>'Data &amp; hypothesis Adults'!G96</f>
        <v>0</v>
      </c>
      <c r="K95" s="1900">
        <f>'Data &amp; hypothesis Adults'!H96</f>
        <v>0</v>
      </c>
      <c r="L95" s="1894">
        <f t="shared" si="21"/>
        <v>0</v>
      </c>
      <c r="AG95" s="1860"/>
      <c r="AH95" s="1860"/>
      <c r="AI95" s="1860"/>
      <c r="AJ95" s="1860"/>
      <c r="AK95" s="1860"/>
    </row>
    <row r="96" spans="1:37" s="1858" customFormat="1" x14ac:dyDescent="0.2">
      <c r="B96" s="1894">
        <f>'Data &amp; hypothesis Adults'!B97</f>
        <v>0</v>
      </c>
      <c r="C96" s="1895">
        <f t="shared" si="18"/>
        <v>0</v>
      </c>
      <c r="D96" s="1904">
        <f>'Data &amp; hypothesis Adults'!C97</f>
        <v>0</v>
      </c>
      <c r="E96" s="1900">
        <f>'Data &amp; hypothesis Adults'!D97</f>
        <v>0</v>
      </c>
      <c r="F96" s="1894">
        <f t="shared" si="19"/>
        <v>0</v>
      </c>
      <c r="G96" s="1894">
        <f>'Data &amp; hypothesis Adults'!E97</f>
        <v>0</v>
      </c>
      <c r="H96" s="1900">
        <f>'Data &amp; hypothesis Adults'!F97</f>
        <v>0</v>
      </c>
      <c r="I96" s="1894">
        <f t="shared" si="20"/>
        <v>0</v>
      </c>
      <c r="J96" s="1894">
        <f>'Data &amp; hypothesis Adults'!G97</f>
        <v>0</v>
      </c>
      <c r="K96" s="1900">
        <f>'Data &amp; hypothesis Adults'!H97</f>
        <v>0</v>
      </c>
      <c r="L96" s="1894">
        <f t="shared" si="21"/>
        <v>0</v>
      </c>
      <c r="AG96" s="1860"/>
      <c r="AH96" s="1860"/>
      <c r="AI96" s="1860"/>
      <c r="AJ96" s="1860"/>
      <c r="AK96" s="1860"/>
    </row>
    <row r="97" spans="1:34" s="1858" customFormat="1" x14ac:dyDescent="0.2">
      <c r="K97" s="1901"/>
      <c r="AD97" s="1860"/>
      <c r="AE97" s="1860"/>
      <c r="AF97" s="1860"/>
      <c r="AG97" s="1860"/>
      <c r="AH97" s="1860"/>
    </row>
    <row r="98" spans="1:34" s="1858" customFormat="1" x14ac:dyDescent="0.2">
      <c r="K98" s="1901"/>
      <c r="AD98" s="1860"/>
      <c r="AE98" s="1860"/>
      <c r="AF98" s="1860"/>
      <c r="AG98" s="1860"/>
      <c r="AH98" s="1860"/>
    </row>
    <row r="99" spans="1:34" s="1858" customFormat="1" x14ac:dyDescent="0.2">
      <c r="A99" s="1898" t="str">
        <f>'TRAD-Data &amp; hypothesis Adults'!B135</f>
        <v>Récapitulatif</v>
      </c>
      <c r="B99" s="1899"/>
      <c r="C99" s="1899"/>
      <c r="D99" s="1899"/>
      <c r="E99" s="1899"/>
      <c r="F99" s="1899"/>
      <c r="G99" s="1899"/>
      <c r="H99" s="1899"/>
      <c r="I99" s="1899"/>
      <c r="J99" s="1899"/>
      <c r="K99" s="1902"/>
      <c r="L99" s="1899"/>
      <c r="AD99" s="1860"/>
      <c r="AE99" s="1860"/>
      <c r="AF99" s="1860"/>
      <c r="AG99" s="1860"/>
      <c r="AH99" s="1860"/>
    </row>
    <row r="100" spans="1:34" s="1858" customFormat="1" x14ac:dyDescent="0.2">
      <c r="K100" s="1901"/>
      <c r="AD100" s="1860"/>
      <c r="AE100" s="1860"/>
      <c r="AF100" s="1860"/>
      <c r="AG100" s="1860"/>
      <c r="AH100" s="1860"/>
    </row>
    <row r="101" spans="1:34" s="4" customFormat="1" x14ac:dyDescent="0.2">
      <c r="B101" s="34"/>
      <c r="C101" s="2103" t="str">
        <f>'TRAD-Data &amp; hypothesis Adults'!B27</f>
        <v>Répartition</v>
      </c>
      <c r="D101" s="2103"/>
      <c r="E101" s="2103"/>
      <c r="F101" s="2103"/>
      <c r="G101" s="2103"/>
      <c r="K101" s="1901"/>
    </row>
    <row r="102" spans="1:34" s="4" customFormat="1" ht="25.5" x14ac:dyDescent="0.2">
      <c r="B102" s="34"/>
      <c r="C102" s="24" t="str">
        <f>'General Data'!$E$13</f>
        <v>Juillet 2014 - Juin 2015</v>
      </c>
      <c r="D102" s="24">
        <f>'General Data'!$E$14</f>
        <v>0</v>
      </c>
      <c r="E102" s="24">
        <f>'General Data'!$E$15</f>
        <v>0</v>
      </c>
      <c r="F102" s="24">
        <f>'General Data'!$E$16</f>
        <v>0</v>
      </c>
      <c r="G102" s="24">
        <f>'General Data'!$E$17</f>
        <v>0</v>
      </c>
      <c r="K102" s="1901"/>
    </row>
    <row r="103" spans="1:34" s="4" customFormat="1" ht="27.75" customHeight="1" thickBot="1" x14ac:dyDescent="0.25">
      <c r="B103" s="26" t="str">
        <f>'TRAD-Data &amp; hypothesis Adults'!B9</f>
        <v>TOTAL à la fin de l'année</v>
      </c>
      <c r="C103" s="25" t="str">
        <f>'General Data'!$D$13</f>
        <v>Année 1</v>
      </c>
      <c r="D103" s="25" t="str">
        <f>'General Data'!$D$14</f>
        <v>Année 2</v>
      </c>
      <c r="E103" s="26" t="str">
        <f>'General Data'!$D$15</f>
        <v>Année 3</v>
      </c>
      <c r="F103" s="26" t="str">
        <f>'General Data'!$D$16</f>
        <v>Année 4</v>
      </c>
      <c r="G103" s="26" t="str">
        <f>'General Data'!$D$17</f>
        <v>Année 5</v>
      </c>
      <c r="K103" s="1901"/>
    </row>
    <row r="104" spans="1:34" s="4" customFormat="1" x14ac:dyDescent="0.2">
      <c r="B104" s="1193" t="str">
        <f>'Data &amp; hypothesis Adults'!C36</f>
        <v>TDF+FTC/3TC+LPV/r</v>
      </c>
      <c r="C104" s="193">
        <f>SUMIF($D23:$D32, $B104, $F23:$F32)+SUMIF($G23:$G32, $B104, $I23:$I32)+SUMIF($J23:$J32, $B104, $L23:$L32)</f>
        <v>424.34186668287776</v>
      </c>
      <c r="D104" s="193">
        <f>SUMIF($D39:$D48, $B104, $F39:$F48)+SUMIF($G39:$G48, $B104, $I39:$I48)+SUMIF($J39:$J48, $B104, $L39:$L48)</f>
        <v>0</v>
      </c>
      <c r="E104" s="193">
        <f>SUMIF($D55:$D64, $B104, $F55:$F64)+SUMIF($G55:$G64, $B104, $I55:$I64)+SUMIF($J55:$J64, $B104, $L55:$L64)</f>
        <v>0</v>
      </c>
      <c r="F104" s="193">
        <f>SUMIF($D71:$D80, $B104, $F71:$F80)+SUMIF($G71:$G80, $B104, $I71:$I80)+SUMIF($J71:$J80, $B104, $L71:$L80)</f>
        <v>0</v>
      </c>
      <c r="G104" s="193">
        <f>SUMIF($D87:$D96, $B104, $F87:$F96)+SUMIF($G87:$G96, $B104, $I87:$I96)+SUMIF($J87:$J96, $B104, $L87:$L96)</f>
        <v>0</v>
      </c>
      <c r="I104" s="1885"/>
      <c r="K104" s="1901"/>
    </row>
    <row r="105" spans="1:34" s="4" customFormat="1" x14ac:dyDescent="0.2">
      <c r="B105" s="1156" t="str">
        <f>'Data &amp; hypothesis Adults'!C37</f>
        <v>TDF+FTC/3TC+ATV/r</v>
      </c>
      <c r="C105" s="1926">
        <f>SUMIF($D23:$D32, $B105, $F23:$F32)+SUMIF($G23:$G32, $B105, $I23:$I32)+SUMIF($J23:$J32, $B105, $L23:$L32)</f>
        <v>0</v>
      </c>
      <c r="D105" s="1926">
        <f>SUMIF($D39:$D48, $B105, $F39:$F48)+SUMIF($G39:$G48, $B105, $I39:$I48)+SUMIF($J39:$J48, $B105, $L39:$L48)</f>
        <v>0</v>
      </c>
      <c r="E105" s="1926">
        <f>SUMIF($D55:$D64, $B105, $F55:$F64)+SUMIF($G55:$G64, $B105, $I55:$I64)+SUMIF($J55:$J64, $B105, $L55:$L64)</f>
        <v>0</v>
      </c>
      <c r="F105" s="1926">
        <f>SUMIF($D71:$D80, $B105, $F71:$F80)+SUMIF($G71:$G80, $B105, $I71:$I80)+SUMIF($J71:$J80, $B105, $L71:$L80)</f>
        <v>0</v>
      </c>
      <c r="G105" s="1926">
        <f>SUMIF($D87:$D96, $B105, $F87:$F96)+SUMIF($G87:$G96, $B105, $I87:$I96)+SUMIF($J87:$J96, $B105, $L87:$L96)</f>
        <v>0</v>
      </c>
      <c r="K105" s="1901"/>
    </row>
    <row r="106" spans="1:34" s="4" customFormat="1" x14ac:dyDescent="0.2">
      <c r="B106" s="36" t="str">
        <f>'Data &amp; hypothesis Adults'!C38</f>
        <v>ABC+DDI+LPV/r</v>
      </c>
      <c r="C106" s="1926">
        <f>SUMIF($D23:$D32, $B106, $F23:$F32)+SUMIF($G23:$G32, $B106, $I23:$I32)+SUMIF($J23:$J32, $B106, $L23:$L32)</f>
        <v>0</v>
      </c>
      <c r="D106" s="1926">
        <f>SUMIF($D39:$D48, $B106, $F39:$F48)+SUMIF($G39:$G48, $B106, $I39:$I48)+SUMIF($J39:$J48, $B106, $L39:$L48)</f>
        <v>0</v>
      </c>
      <c r="E106" s="1926">
        <f>SUMIF($D55:$D64, $B106, $F55:$F64)+SUMIF($G55:$G64, $B106, $I55:$I64)+SUMIF($J55:$J64, $B106, $L55:$L64)</f>
        <v>0</v>
      </c>
      <c r="F106" s="1926">
        <f>SUMIF($D71:$D80, $B106, $F71:$F80)+SUMIF($G71:$G80, $B106, $I71:$I80)+SUMIF($J71:$J80, $B106, $L71:$L80)</f>
        <v>0</v>
      </c>
      <c r="G106" s="1926">
        <f>SUMIF($D87:$D96, $B106, $F87:$F96)+SUMIF($G87:$G96, $B106, $I87:$I96)+SUMIF($J87:$J96, $B106, $L87:$L96)</f>
        <v>0</v>
      </c>
      <c r="K106" s="1901"/>
    </row>
    <row r="107" spans="1:34" s="4" customFormat="1" x14ac:dyDescent="0.2">
      <c r="B107" s="1156" t="str">
        <f>'Data &amp; hypothesis Adults'!C39</f>
        <v>TDF+3TC/FTC+ABC</v>
      </c>
      <c r="C107" s="1926">
        <f>SUMIF($D23:$D32, $B107, $F23:$F32)+SUMIF($G23:$G32, $B107, $I23:$I32)+SUMIF($J23:$J32, $B107, $L23:$L32)</f>
        <v>0</v>
      </c>
      <c r="D107" s="1926">
        <f>SUMIF($D39:$D48, $B107, $F39:$F48)+SUMIF($G39:$G48, $B107, $I39:$I48)+SUMIF($J39:$J48, $B107, $L39:$L48)</f>
        <v>0</v>
      </c>
      <c r="E107" s="1926">
        <f>SUMIF($D55:$D64, $B107, $F55:$F64)+SUMIF($G55:$G64, $B107, $I55:$I64)+SUMIF($J55:$J64, $B107, $L55:$L64)</f>
        <v>0</v>
      </c>
      <c r="F107" s="1926">
        <f>SUMIF($D71:$D80, $B107, $F71:$F80)+SUMIF($G71:$G80, $B107, $I71:$I80)+SUMIF($J71:$J80, $B107, $L71:$L80)</f>
        <v>0</v>
      </c>
      <c r="G107" s="1926">
        <f>SUMIF($D87:$D96, $B107, $F87:$F96)+SUMIF($G87:$G96, $B107, $I87:$I96)+SUMIF($J87:$J96, $B107, $L87:$L96)</f>
        <v>0</v>
      </c>
      <c r="K107" s="1901"/>
    </row>
    <row r="108" spans="1:34" s="4" customFormat="1" x14ac:dyDescent="0.2">
      <c r="B108" s="36" t="str">
        <f>'Data &amp; hypothesis Adults'!C40</f>
        <v>AZT+3TC+LPV/r</v>
      </c>
      <c r="C108" s="1926">
        <f>SUMIF($D23:$D32, $B108, $F23:$F32)+SUMIF($G23:$G32, $B108, $I23:$I32)+SUMIF($J23:$J32, $B108, $L23:$L32)</f>
        <v>195.87603135967444</v>
      </c>
      <c r="D108" s="1926">
        <f>SUMIF($D39:$D48, $B108, $F39:$F48)+SUMIF($G39:$G48, $B108, $I39:$I48)+SUMIF($J39:$J48, $B108, $L39:$L48)</f>
        <v>0</v>
      </c>
      <c r="E108" s="1926">
        <f>SUMIF($D55:$D64, $B108, $F55:$F64)+SUMIF($G55:$G64, $B108, $I55:$I64)+SUMIF($J55:$J64, $B108, $L55:$L64)</f>
        <v>0</v>
      </c>
      <c r="F108" s="1926">
        <f>SUMIF($D71:$D80, $B108, $F71:$F80)+SUMIF($G71:$G80, $B108, $I71:$I80)+SUMIF($J71:$J80, $B108, $L71:$L80)</f>
        <v>0</v>
      </c>
      <c r="G108" s="1926">
        <f>SUMIF($D87:$D96, $B108, $F87:$F96)+SUMIF($G87:$G96, $B108, $I87:$I96)+SUMIF($J87:$J96, $B108, $L87:$L96)</f>
        <v>0</v>
      </c>
      <c r="K108" s="1901"/>
    </row>
    <row r="109" spans="1:34" s="4" customFormat="1" x14ac:dyDescent="0.2">
      <c r="B109" s="1156">
        <f>'Data &amp; hypothesis Adults'!C41</f>
        <v>0</v>
      </c>
      <c r="C109" s="1926">
        <f>SUMIF($D23:$D32, $B109, $F23:$F32)+SUMIF($G23:$G32, $B109, $I23:$I32)+SUMIF($J23:$J32, $B109, $L23:$L32)</f>
        <v>0</v>
      </c>
      <c r="D109" s="1926">
        <f>SUMIF($D39:$D48, $B109, $F39:$F48)+SUMIF($G39:$G48, $B109, $I39:$I48)+SUMIF($J39:$J48, $B109, $L39:$L48)</f>
        <v>0</v>
      </c>
      <c r="E109" s="1926">
        <f>SUMIF($D55:$D64, $B109, $F55:$F64)+SUMIF($G55:$G64, $B109, $I55:$I64)+SUMIF($J55:$J64, $B109, $L55:$L64)</f>
        <v>0</v>
      </c>
      <c r="F109" s="1926">
        <f>SUMIF($D71:$D80, $B109, $F71:$F80)+SUMIF($G71:$G80, $B109, $I71:$I80)+SUMIF($J71:$J80, $B109, $L71:$L80)</f>
        <v>0</v>
      </c>
      <c r="G109" s="1926">
        <f>SUMIF($D87:$D96, $B109, $F87:$F96)+SUMIF($G87:$G96, $B109, $I87:$I96)+SUMIF($J87:$J96, $B109, $L87:$L96)</f>
        <v>0</v>
      </c>
      <c r="K109" s="1901"/>
    </row>
    <row r="110" spans="1:34" s="4" customFormat="1" ht="13.5" thickBot="1" x14ac:dyDescent="0.25">
      <c r="B110" s="1908">
        <f>'Data &amp; hypothesis Adults'!C42</f>
        <v>0</v>
      </c>
      <c r="C110" s="1927">
        <f>SUMIF($D23:$D32, $B110, $F23:$F32)+SUMIF($G23:$G32, $B110, $I23:$I32)+SUMIF($J23:$J32, $B110, $L23:$L32)</f>
        <v>0</v>
      </c>
      <c r="D110" s="1927">
        <f>SUMIF($D39:$D48, $B110, $F39:$F48)+SUMIF($G39:$G48, $B110, $I39:$I48)+SUMIF($J39:$J48, $B110, $L39:$L48)</f>
        <v>0</v>
      </c>
      <c r="E110" s="1927">
        <f>SUMIF($D55:$D64, $B110, $F55:$F64)+SUMIF($G55:$G64, $B110, $I55:$I64)+SUMIF($J55:$J64, $B110, $L55:$L64)</f>
        <v>0</v>
      </c>
      <c r="F110" s="1927">
        <f>SUMIF($D71:$D80, $B110, $F71:$F80)+SUMIF($G71:$G80, $B110, $I71:$I80)+SUMIF($J71:$J80, $B110, $L71:$L80)</f>
        <v>0</v>
      </c>
      <c r="G110" s="1927">
        <f>SUMIF($D87:$D96, $B110, $F87:$F96)+SUMIF($G87:$G96, $B110, $I87:$I96)+SUMIF($J87:$J96, $B110, $L87:$L96)</f>
        <v>0</v>
      </c>
      <c r="K110" s="1901"/>
    </row>
    <row r="111" spans="1:34" s="4" customFormat="1" ht="14.25" thickTop="1" thickBot="1" x14ac:dyDescent="0.25">
      <c r="B111" s="247" t="s">
        <v>6</v>
      </c>
      <c r="C111" s="1893">
        <f>SUM(C104:C110)</f>
        <v>620.21789804255218</v>
      </c>
      <c r="D111" s="1893">
        <f>SUM(D104:D110)</f>
        <v>0</v>
      </c>
      <c r="E111" s="1893">
        <f t="shared" ref="E111:G111" si="22">SUM(E104:E110)</f>
        <v>0</v>
      </c>
      <c r="F111" s="1893">
        <f t="shared" si="22"/>
        <v>0</v>
      </c>
      <c r="G111" s="1893">
        <f t="shared" si="22"/>
        <v>0</v>
      </c>
      <c r="K111" s="1901"/>
    </row>
    <row r="112" spans="1:34" s="4" customFormat="1" x14ac:dyDescent="0.2">
      <c r="B112" s="34"/>
      <c r="C112" s="34"/>
      <c r="D112" s="35"/>
    </row>
  </sheetData>
  <sheetProtection password="D0E7" sheet="1" objects="1" scenarios="1"/>
  <mergeCells count="5">
    <mergeCell ref="K4:L4"/>
    <mergeCell ref="M4:N4"/>
    <mergeCell ref="O4:P4"/>
    <mergeCell ref="Q4:R4"/>
    <mergeCell ref="C101:G101"/>
  </mergeCells>
  <dataValidations count="2">
    <dataValidation type="list" allowBlank="1" showInputMessage="1" showErrorMessage="1" sqref="C7:C17">
      <formula1>$D$128:$D$137</formula1>
    </dataValidation>
    <dataValidation type="list" allowBlank="1" showInputMessage="1" showErrorMessage="1" sqref="G7:G17 E7:E17">
      <formula1>$K$18:$K$111</formula1>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26"/>
  <sheetViews>
    <sheetView topLeftCell="A32" zoomScale="74" zoomScaleNormal="74" zoomScalePageLayoutView="74" workbookViewId="0">
      <selection activeCell="F46" sqref="F46"/>
    </sheetView>
  </sheetViews>
  <sheetFormatPr baseColWidth="10" defaultColWidth="11.5" defaultRowHeight="15" x14ac:dyDescent="0.2"/>
  <cols>
    <col min="1" max="1" width="6" style="1614" customWidth="1"/>
    <col min="2" max="2" width="62.83203125" style="1689" customWidth="1"/>
    <col min="3" max="3" width="6.1640625" style="1614" customWidth="1"/>
    <col min="4" max="4" width="96.6640625" style="1614" customWidth="1"/>
    <col min="5" max="5" width="3.6640625" style="1614" customWidth="1"/>
    <col min="6" max="6" width="96.6640625" style="1614" customWidth="1"/>
    <col min="7" max="7" width="12" style="1614" customWidth="1"/>
    <col min="8" max="8" width="11.6640625" style="1614" customWidth="1"/>
    <col min="9" max="12" width="12" style="1614" customWidth="1"/>
    <col min="13" max="13" width="10.6640625" style="1614" customWidth="1"/>
    <col min="14" max="18" width="12" style="1614" customWidth="1"/>
    <col min="19" max="16384" width="11.5" style="1614"/>
  </cols>
  <sheetData>
    <row r="1" spans="1:18" x14ac:dyDescent="0.2">
      <c r="A1" s="1614" t="s">
        <v>826</v>
      </c>
      <c r="B1" s="1689" t="s">
        <v>827</v>
      </c>
      <c r="D1" s="1662" t="s">
        <v>754</v>
      </c>
      <c r="E1" s="1662"/>
      <c r="F1" s="1663" t="s">
        <v>753</v>
      </c>
    </row>
    <row r="2" spans="1:18" s="1623" customFormat="1" x14ac:dyDescent="0.2">
      <c r="B2" s="1631" t="str">
        <f>IF(Presentation!$D$2="Anglais",'TRAD-Data &amp; hypothesis Adults'!F2,IF(Presentation!$D$2="Français",'TRAD-Data &amp; hypothesis Adults'!D2,""))</f>
        <v>Etape 2 : Hypothèses &amp; Données ADULTES</v>
      </c>
      <c r="D2" s="1617" t="s">
        <v>1236</v>
      </c>
      <c r="E2" s="1617"/>
      <c r="F2" s="1617" t="s">
        <v>828</v>
      </c>
      <c r="G2" s="1755"/>
      <c r="H2" s="1755"/>
      <c r="I2" s="1755"/>
      <c r="J2" s="1755"/>
      <c r="K2" s="1755"/>
      <c r="L2" s="1755"/>
      <c r="M2" s="1755"/>
      <c r="N2" s="1755"/>
      <c r="O2" s="1755"/>
      <c r="P2" s="1755"/>
      <c r="Q2" s="1755"/>
      <c r="R2" s="1755"/>
    </row>
    <row r="3" spans="1:18" s="1623" customFormat="1" ht="30" x14ac:dyDescent="0.2">
      <c r="B3" s="1631" t="str">
        <f>IF(Presentation!$D$2="Anglais",'TRAD-Data &amp; hypothesis Adults'!F3,IF(Presentation!$D$2="Français",'TRAD-Data &amp; hypothesis Adults'!D3,""))</f>
        <v>Evolution du nombre de patients Adultes sous ARV au cours de la période</v>
      </c>
      <c r="D3" s="1617" t="s">
        <v>833</v>
      </c>
      <c r="E3" s="1617"/>
      <c r="F3" s="1617" t="s">
        <v>1441</v>
      </c>
      <c r="G3" s="1629"/>
      <c r="H3" s="1629"/>
      <c r="I3" s="1629"/>
      <c r="J3" s="1629"/>
      <c r="K3" s="1629"/>
      <c r="L3" s="1629"/>
      <c r="M3" s="1629"/>
      <c r="N3" s="1629"/>
      <c r="O3" s="1629"/>
      <c r="P3" s="1629"/>
      <c r="Q3" s="1629"/>
      <c r="R3" s="1629"/>
    </row>
    <row r="4" spans="1:18" s="1623" customFormat="1" x14ac:dyDescent="0.2">
      <c r="B4" s="1631" t="str">
        <f>IF(Presentation!$D$2="Anglais",'TRAD-Data &amp; hypothesis Adults'!F4,IF(Presentation!$D$2="Français",'TRAD-Data &amp; hypothesis Adults'!D4,""))</f>
        <v>Année</v>
      </c>
      <c r="D4" s="1617" t="s">
        <v>843</v>
      </c>
      <c r="E4" s="1617"/>
      <c r="F4" s="1617" t="s">
        <v>423</v>
      </c>
      <c r="G4" s="1629"/>
      <c r="H4" s="1629"/>
      <c r="I4" s="1629"/>
      <c r="J4" s="1629"/>
      <c r="K4" s="1629"/>
      <c r="L4" s="1629"/>
      <c r="M4" s="1629"/>
      <c r="N4" s="1629"/>
      <c r="O4" s="1629"/>
      <c r="P4" s="1629"/>
      <c r="Q4" s="1629"/>
      <c r="R4" s="1629"/>
    </row>
    <row r="5" spans="1:18" s="1623" customFormat="1" x14ac:dyDescent="0.2">
      <c r="B5" s="1631" t="str">
        <f>IF(Presentation!$D$2="Anglais",'TRAD-Data &amp; hypothesis Adults'!F5,IF(Presentation!$D$2="Français",'TRAD-Data &amp; hypothesis Adults'!D5,""))</f>
        <v>Adultes pris en charge dans l'estimation</v>
      </c>
      <c r="D5" s="1617" t="s">
        <v>834</v>
      </c>
      <c r="E5" s="1617"/>
      <c r="F5" s="1617" t="s">
        <v>1522</v>
      </c>
      <c r="G5" s="1629"/>
      <c r="H5" s="1629"/>
      <c r="I5" s="1629"/>
      <c r="J5" s="1629"/>
      <c r="K5" s="1629"/>
      <c r="L5" s="1629"/>
      <c r="M5" s="1629"/>
      <c r="N5" s="1629"/>
      <c r="O5" s="1629"/>
      <c r="P5" s="1629"/>
      <c r="Q5" s="1629"/>
      <c r="R5" s="1629"/>
    </row>
    <row r="6" spans="1:18" s="1623" customFormat="1" x14ac:dyDescent="0.2">
      <c r="B6" s="1631" t="str">
        <f>IF(Presentation!$D$2="Anglais",'TRAD-Data &amp; hypothesis Adults'!F6,IF(Presentation!$D$2="Français",'TRAD-Data &amp; hypothesis Adults'!D6,""))</f>
        <v>Nombre de patient en début d'année [1]</v>
      </c>
      <c r="D6" s="1617" t="s">
        <v>1237</v>
      </c>
      <c r="E6" s="1617"/>
      <c r="F6" s="1617" t="s">
        <v>829</v>
      </c>
      <c r="G6" s="1629"/>
      <c r="H6" s="1629"/>
      <c r="I6" s="1629"/>
      <c r="J6" s="1629"/>
      <c r="K6" s="1629"/>
      <c r="L6" s="1629"/>
      <c r="M6" s="1629"/>
      <c r="N6" s="1629"/>
      <c r="O6" s="1629"/>
      <c r="P6" s="1629"/>
      <c r="Q6" s="1629"/>
      <c r="R6" s="1629"/>
    </row>
    <row r="7" spans="1:18" s="1623" customFormat="1" x14ac:dyDescent="0.2">
      <c r="B7" s="1631" t="str">
        <f>IF(Presentation!$D$2="Anglais",'TRAD-Data &amp; hypothesis Adults'!F7,IF(Presentation!$D$2="Français",'TRAD-Data &amp; hypothesis Adults'!D7,""))</f>
        <v>Nb d'inclusion / mois</v>
      </c>
      <c r="D7" s="1617" t="s">
        <v>875</v>
      </c>
      <c r="E7" s="1617"/>
      <c r="F7" s="1617" t="s">
        <v>450</v>
      </c>
      <c r="G7" s="1629"/>
      <c r="H7" s="1629"/>
      <c r="I7" s="1629"/>
      <c r="J7" s="1629"/>
      <c r="K7" s="1629"/>
      <c r="L7" s="1629"/>
      <c r="M7" s="1629"/>
      <c r="N7" s="1629"/>
      <c r="O7" s="1629"/>
      <c r="P7" s="1629"/>
      <c r="Q7" s="1629"/>
      <c r="R7" s="1629"/>
    </row>
    <row r="8" spans="1:18" s="1623" customFormat="1" x14ac:dyDescent="0.2">
      <c r="B8" s="1631" t="str">
        <f>IF(Presentation!$D$2="Anglais",'TRAD-Data &amp; hypothesis Adults'!F8,IF(Presentation!$D$2="Français",'TRAD-Data &amp; hypothesis Adults'!D8,""))</f>
        <v>Nb d'inclusion / période</v>
      </c>
      <c r="D8" s="1617" t="s">
        <v>876</v>
      </c>
      <c r="E8" s="1617"/>
      <c r="F8" s="1617" t="s">
        <v>451</v>
      </c>
      <c r="G8" s="1629"/>
      <c r="H8" s="1756"/>
      <c r="I8" s="1756"/>
      <c r="J8" s="1757"/>
      <c r="K8" s="1757"/>
      <c r="L8" s="1629"/>
      <c r="M8" s="1629" t="str">
        <f>IF('General Data'!$E$21="X", CONCATENATE("pour une période de ", 'General Data'!J24, " ", 'General Data'!K24), "")</f>
        <v/>
      </c>
      <c r="N8" s="1629"/>
      <c r="O8" s="1657"/>
      <c r="P8" s="1629"/>
      <c r="Q8" s="1629"/>
      <c r="R8" s="1629"/>
    </row>
    <row r="9" spans="1:18" s="1623" customFormat="1" x14ac:dyDescent="0.2">
      <c r="B9" s="1631" t="str">
        <f>IF(Presentation!$D$2="Anglais",'TRAD-Data &amp; hypothesis Adults'!F9,IF(Presentation!$D$2="Français",'TRAD-Data &amp; hypothesis Adults'!D9,""))</f>
        <v>TOTAL à la fin de l'année</v>
      </c>
      <c r="D9" s="1617" t="s">
        <v>835</v>
      </c>
      <c r="E9" s="1617"/>
      <c r="F9" s="1617" t="s">
        <v>424</v>
      </c>
      <c r="G9" s="1629"/>
      <c r="H9" s="1756"/>
      <c r="I9" s="1756"/>
      <c r="J9" s="1757"/>
      <c r="K9" s="1757"/>
      <c r="L9" s="1629"/>
      <c r="M9" s="1629" t="str">
        <f>IF('General Data'!$E$21="X", CONCATENATE("pour une période de ", 'General Data'!J25, " ", 'General Data'!K25), "")</f>
        <v/>
      </c>
      <c r="N9" s="1629"/>
      <c r="O9" s="1629"/>
      <c r="P9" s="1629"/>
      <c r="Q9" s="1629"/>
      <c r="R9" s="1629"/>
    </row>
    <row r="10" spans="1:18" s="1623" customFormat="1" x14ac:dyDescent="0.2">
      <c r="B10" s="1631" t="str">
        <f>IF(Presentation!$D$2="Anglais",'TRAD-Data &amp; hypothesis Adults'!F10,IF(Presentation!$D$2="Français",'TRAD-Data &amp; hypothesis Adults'!D10,""))</f>
        <v>Période réelle de l'année si ajustement voulu [2]</v>
      </c>
      <c r="D10" s="1617" t="s">
        <v>836</v>
      </c>
      <c r="E10" s="1617"/>
      <c r="F10" s="1617" t="s">
        <v>425</v>
      </c>
      <c r="G10" s="1629"/>
      <c r="H10" s="1756"/>
      <c r="I10" s="1756"/>
      <c r="J10" s="1757"/>
      <c r="K10" s="1757"/>
      <c r="L10" s="1629"/>
      <c r="M10" s="1629" t="str">
        <f>IF('General Data'!$E$21="X", CONCATENATE("pour une période de ", 'General Data'!J26, " ", 'General Data'!K26), "")</f>
        <v/>
      </c>
      <c r="N10" s="1629"/>
      <c r="O10" s="1629"/>
      <c r="P10" s="1629"/>
      <c r="Q10" s="1629"/>
      <c r="R10" s="1629"/>
    </row>
    <row r="11" spans="1:18" s="1623" customFormat="1" x14ac:dyDescent="0.2">
      <c r="B11" s="1631" t="str">
        <f>IF(Presentation!$D$2="Anglais",'TRAD-Data &amp; hypothesis Adults'!F11,IF(Presentation!$D$2="Français",'TRAD-Data &amp; hypothesis Adults'!D11,""))</f>
        <v>Nombre total de patients  attendu à la fin de la période</v>
      </c>
      <c r="D11" s="1617" t="s">
        <v>873</v>
      </c>
      <c r="E11" s="1617"/>
      <c r="F11" s="1617" t="s">
        <v>454</v>
      </c>
      <c r="G11" s="1629"/>
      <c r="H11" s="1756"/>
      <c r="I11" s="1756"/>
      <c r="J11" s="1757"/>
      <c r="K11" s="1757"/>
      <c r="L11" s="1629"/>
      <c r="M11" s="1629" t="str">
        <f>IF('General Data'!$E$21="X", CONCATENATE("pour une période de ", 'General Data'!J27, " ", 'General Data'!K27), "")</f>
        <v/>
      </c>
      <c r="N11" s="1629"/>
      <c r="O11" s="1629"/>
      <c r="P11" s="1629"/>
      <c r="Q11" s="1629"/>
      <c r="R11" s="1629"/>
    </row>
    <row r="12" spans="1:18" s="1623" customFormat="1" x14ac:dyDescent="0.2">
      <c r="B12" s="1631" t="str">
        <f>IF(Presentation!$D$2="Anglais",'TRAD-Data &amp; hypothesis Adults'!F12,IF(Presentation!$D$2="Français",'TRAD-Data &amp; hypothesis Adults'!D12,""))</f>
        <v>Commentaires</v>
      </c>
      <c r="D12" s="1617" t="s">
        <v>242</v>
      </c>
      <c r="E12" s="1617"/>
      <c r="F12" s="1617" t="s">
        <v>413</v>
      </c>
      <c r="G12" s="1629"/>
      <c r="H12" s="1756"/>
      <c r="I12" s="1756"/>
      <c r="J12" s="1757"/>
      <c r="K12" s="1757"/>
      <c r="L12" s="1629"/>
      <c r="M12" s="1629" t="str">
        <f>IF('General Data'!$E$21="X", CONCATENATE("pour une période de ", 'General Data'!J28, " ", 'General Data'!K28), "")</f>
        <v/>
      </c>
      <c r="N12" s="1629"/>
      <c r="O12" s="1629"/>
      <c r="P12" s="1629"/>
      <c r="Q12" s="1629"/>
      <c r="R12" s="1629"/>
    </row>
    <row r="13" spans="1:18" s="1623" customFormat="1" x14ac:dyDescent="0.2">
      <c r="B13" s="1631" t="str">
        <f>IF(Presentation!$D$2="Anglais",'TRAD-Data &amp; hypothesis Adults'!F13,IF(Presentation!$D$2="Français",'TRAD-Data &amp; hypothesis Adults'!D13,""))</f>
        <v>en début d'année ou au début de la période quantifiée</v>
      </c>
      <c r="D13" s="1617" t="s">
        <v>837</v>
      </c>
      <c r="E13" s="1617"/>
      <c r="F13" s="1617" t="s">
        <v>452</v>
      </c>
      <c r="G13" s="1629"/>
      <c r="H13" s="1629"/>
      <c r="I13" s="1629"/>
      <c r="J13" s="1629"/>
      <c r="K13" s="1757"/>
      <c r="L13" s="1629"/>
      <c r="M13" s="1629"/>
      <c r="N13" s="1629"/>
      <c r="O13" s="1629"/>
      <c r="P13" s="1629"/>
      <c r="Q13" s="1629"/>
      <c r="R13" s="1629"/>
    </row>
    <row r="14" spans="1:18" s="1623" customFormat="1" ht="30" x14ac:dyDescent="0.2">
      <c r="B14" s="1631" t="str">
        <f>IF(Presentation!$D$2="Anglais",'TRAD-Data &amp; hypothesis Adults'!F14,IF(Presentation!$D$2="Français",'TRAD-Data &amp; hypothesis Adults'!D14,""))</f>
        <v>se reporter aux données saisies dans la feuille "Données générales"</v>
      </c>
      <c r="D14" s="1617" t="s">
        <v>838</v>
      </c>
      <c r="E14" s="1617"/>
      <c r="F14" s="1617" t="s">
        <v>493</v>
      </c>
      <c r="G14" s="1629"/>
      <c r="H14" s="1629"/>
      <c r="I14" s="1629"/>
      <c r="J14" s="1629"/>
      <c r="K14" s="1629"/>
      <c r="L14" s="1629"/>
      <c r="M14" s="1629"/>
      <c r="N14" s="1629"/>
      <c r="O14" s="1629"/>
      <c r="P14" s="1629"/>
      <c r="Q14" s="1629"/>
      <c r="R14" s="1629"/>
    </row>
    <row r="15" spans="1:18" s="1623" customFormat="1" ht="30" x14ac:dyDescent="0.2">
      <c r="B15" s="1631" t="str">
        <f>IF(Presentation!$D$2="Anglais",'TRAD-Data &amp; hypothesis Adults'!F15,IF(Presentation!$D$2="Français",'TRAD-Data &amp; hypothesis Adults'!D15,""))</f>
        <v>Répartition des adultes par schémas thérapeutiques au début de la période quantifiée</v>
      </c>
      <c r="D15" s="1617" t="s">
        <v>1238</v>
      </c>
      <c r="E15" s="1617"/>
      <c r="F15" s="1617" t="s">
        <v>453</v>
      </c>
      <c r="G15" s="1629"/>
      <c r="H15" s="1629"/>
      <c r="I15" s="1629"/>
      <c r="J15" s="1629"/>
      <c r="K15" s="1629"/>
      <c r="L15" s="1629"/>
      <c r="M15" s="1629"/>
      <c r="N15" s="1629"/>
      <c r="O15" s="1629"/>
      <c r="P15" s="1629"/>
      <c r="Q15" s="1629"/>
      <c r="R15" s="1629"/>
    </row>
    <row r="16" spans="1:18" s="1623" customFormat="1" ht="30" x14ac:dyDescent="0.2">
      <c r="B16" s="1631" t="str">
        <f>IF(Presentation!$D$2="Anglais",'TRAD-Data &amp; hypothesis Adults'!F16,IF(Presentation!$D$2="Français",'TRAD-Data &amp; hypothesis Adults'!D16,""))</f>
        <v>Préciser les schémas thérapeutiques utilisés. Ces schémas apparaitront ensuite ainsi dans l'ensemble du document</v>
      </c>
      <c r="D16" s="1617" t="s">
        <v>1579</v>
      </c>
      <c r="E16" s="1617"/>
      <c r="F16" s="1617" t="s">
        <v>1580</v>
      </c>
      <c r="G16" s="1629"/>
      <c r="H16" s="1629"/>
      <c r="I16" s="1629"/>
      <c r="J16" s="1629"/>
      <c r="K16" s="1629"/>
      <c r="L16" s="1629"/>
      <c r="M16" s="1629"/>
      <c r="N16" s="1629"/>
      <c r="O16" s="1629"/>
      <c r="P16" s="1629"/>
      <c r="Q16" s="1629"/>
      <c r="R16" s="1629"/>
    </row>
    <row r="17" spans="2:18" s="1623" customFormat="1" ht="60" x14ac:dyDescent="0.2">
      <c r="B17" s="1631" t="str">
        <f>IF(Presentation!$D$2="Anglais",'TRAD-Data &amp; hypothesis Adults'!F17,IF(Presentation!$D$2="Français",'TRAD-Data &amp; hypothesis Adults'!D17,""))</f>
        <v>Préciser la proportion d'adultes dans chaque schéma thérapeutique. Le nombre de patients est calculé automatiquement à partir du nombre total de patients en début d'année (cellule D9)</v>
      </c>
      <c r="D17" s="1617" t="s">
        <v>839</v>
      </c>
      <c r="E17" s="1617"/>
      <c r="F17" s="1617" t="s">
        <v>562</v>
      </c>
      <c r="G17" s="1758"/>
      <c r="H17" s="1758"/>
      <c r="I17" s="1758"/>
      <c r="J17" s="1758"/>
      <c r="K17" s="1758"/>
      <c r="L17" s="1758"/>
      <c r="M17" s="1758"/>
      <c r="N17" s="1758"/>
      <c r="O17" s="1758"/>
      <c r="P17" s="1758"/>
      <c r="Q17" s="1629"/>
      <c r="R17" s="1629"/>
    </row>
    <row r="18" spans="2:18" s="1623" customFormat="1" x14ac:dyDescent="0.2">
      <c r="B18" s="1631" t="str">
        <f>IF(Presentation!$D$2="Anglais",'TRAD-Data &amp; hypothesis Adults'!F18,IF(Presentation!$D$2="Français",'TRAD-Data &amp; hypothesis Adults'!D18,""))</f>
        <v>Schémas thérapeutiques</v>
      </c>
      <c r="D18" s="1617" t="s">
        <v>840</v>
      </c>
      <c r="E18" s="1617"/>
      <c r="F18" s="1617" t="s">
        <v>456</v>
      </c>
      <c r="G18" s="1629"/>
      <c r="H18" s="1629"/>
      <c r="I18" s="1629"/>
      <c r="J18" s="1629"/>
      <c r="K18" s="1629"/>
      <c r="L18" s="1629"/>
      <c r="M18" s="1629"/>
      <c r="N18" s="1629"/>
      <c r="O18" s="1629"/>
      <c r="P18" s="1629"/>
      <c r="Q18" s="1629"/>
      <c r="R18" s="1629"/>
    </row>
    <row r="19" spans="2:18" s="1623" customFormat="1" x14ac:dyDescent="0.2">
      <c r="B19" s="1631" t="str">
        <f>IF(Presentation!$D$2="Anglais",'TRAD-Data &amp; hypothesis Adults'!F19,IF(Presentation!$D$2="Français",'TRAD-Data &amp; hypothesis Adults'!D19,""))</f>
        <v>Proportion (%)</v>
      </c>
      <c r="D19" s="1617" t="s">
        <v>874</v>
      </c>
      <c r="E19" s="1617"/>
      <c r="F19" s="1617" t="s">
        <v>457</v>
      </c>
      <c r="G19" s="1629"/>
      <c r="H19" s="1629"/>
      <c r="I19" s="1629"/>
      <c r="J19" s="1629"/>
      <c r="K19" s="1629"/>
      <c r="L19" s="1629"/>
      <c r="M19" s="1629"/>
      <c r="N19" s="1629"/>
      <c r="O19" s="1629"/>
      <c r="P19" s="1629"/>
      <c r="Q19" s="1629"/>
      <c r="R19" s="1629"/>
    </row>
    <row r="20" spans="2:18" s="1623" customFormat="1" x14ac:dyDescent="0.2">
      <c r="B20" s="1631" t="str">
        <f>IF(Presentation!$D$2="Anglais",'TRAD-Data &amp; hypothesis Adults'!F20,IF(Presentation!$D$2="Français",'TRAD-Data &amp; hypothesis Adults'!D20,""))</f>
        <v>Nb de patients prévus au début de la période quantifiée</v>
      </c>
      <c r="D20" s="1617" t="s">
        <v>841</v>
      </c>
      <c r="E20" s="1617"/>
      <c r="F20" s="1617" t="s">
        <v>455</v>
      </c>
      <c r="G20" s="1629"/>
      <c r="H20" s="1629"/>
      <c r="I20" s="1629"/>
      <c r="J20" s="1629"/>
      <c r="K20" s="1629"/>
      <c r="L20" s="1629"/>
      <c r="M20" s="1629"/>
      <c r="N20" s="1629"/>
      <c r="O20" s="1629"/>
      <c r="P20" s="1629"/>
      <c r="Q20" s="1629"/>
      <c r="R20" s="1629"/>
    </row>
    <row r="21" spans="2:18" s="1623" customFormat="1" x14ac:dyDescent="0.2">
      <c r="B21" s="1631" t="str">
        <f>IF(Presentation!$D$2="Anglais",'TRAD-Data &amp; hypothesis Adults'!F21,IF(Presentation!$D$2="Français",'TRAD-Data &amp; hypothesis Adults'!D21,""))</f>
        <v>1ères lignes</v>
      </c>
      <c r="D21" s="1617" t="s">
        <v>134</v>
      </c>
      <c r="E21" s="1617"/>
      <c r="F21" s="1617" t="s">
        <v>426</v>
      </c>
      <c r="G21" s="1629"/>
      <c r="H21" s="1629"/>
      <c r="I21" s="1629"/>
      <c r="J21" s="1629"/>
      <c r="K21" s="1629"/>
      <c r="L21" s="1629"/>
      <c r="M21" s="1629"/>
      <c r="N21" s="1629"/>
      <c r="O21" s="1629"/>
      <c r="P21" s="1629"/>
      <c r="Q21" s="1629"/>
      <c r="R21" s="1629"/>
    </row>
    <row r="22" spans="2:18" s="1623" customFormat="1" x14ac:dyDescent="0.2">
      <c r="B22" s="1631" t="str">
        <f>IF(Presentation!$D$2="Anglais",'TRAD-Data &amp; hypothesis Adults'!F22,IF(Presentation!$D$2="Français",'TRAD-Data &amp; hypothesis Adults'!D22,""))</f>
        <v>2èmes lignes</v>
      </c>
      <c r="D22" s="1617" t="s">
        <v>64</v>
      </c>
      <c r="E22" s="1617"/>
      <c r="F22" s="1617" t="s">
        <v>427</v>
      </c>
      <c r="G22" s="1629"/>
      <c r="H22" s="1629"/>
      <c r="I22" s="1629"/>
      <c r="J22" s="1629"/>
      <c r="K22" s="1629"/>
      <c r="L22" s="1629"/>
      <c r="M22" s="1629"/>
      <c r="N22" s="1629"/>
      <c r="O22" s="1629"/>
      <c r="P22" s="1629"/>
      <c r="Q22" s="1629"/>
      <c r="R22" s="1629"/>
    </row>
    <row r="23" spans="2:18" s="1623" customFormat="1" x14ac:dyDescent="0.2">
      <c r="B23" s="1631" t="str">
        <f>IF(Presentation!$D$2="Anglais",'TRAD-Data &amp; hypothesis Adults'!F23,IF(Presentation!$D$2="Français",'TRAD-Data &amp; hypothesis Adults'!D23,""))</f>
        <v>3èmes lignes</v>
      </c>
      <c r="D23" s="1617" t="s">
        <v>187</v>
      </c>
      <c r="E23" s="1617"/>
      <c r="F23" s="1617" t="s">
        <v>428</v>
      </c>
      <c r="G23" s="1629"/>
      <c r="H23" s="1629"/>
      <c r="I23" s="1629"/>
      <c r="J23" s="1629"/>
      <c r="K23" s="1629"/>
      <c r="L23" s="1629"/>
      <c r="M23" s="1629"/>
      <c r="N23" s="1629"/>
      <c r="O23" s="1629"/>
      <c r="P23" s="1629"/>
      <c r="Q23" s="1629"/>
      <c r="R23" s="1629"/>
    </row>
    <row r="24" spans="2:18" s="1623" customFormat="1" x14ac:dyDescent="0.2">
      <c r="B24" s="1631" t="str">
        <f>IF(Presentation!$D$2="Anglais",'TRAD-Data &amp; hypothesis Adults'!F24,IF(Presentation!$D$2="Français",'TRAD-Data &amp; hypothesis Adults'!D24,""))</f>
        <v>nb de patient total 3èmes lignes</v>
      </c>
      <c r="D24" s="1617" t="s">
        <v>195</v>
      </c>
      <c r="E24" s="1617"/>
      <c r="F24" s="1617" t="s">
        <v>458</v>
      </c>
      <c r="G24" s="1629"/>
      <c r="H24" s="1629"/>
      <c r="I24" s="1629"/>
      <c r="J24" s="1629"/>
      <c r="K24" s="1629"/>
      <c r="L24" s="1629"/>
      <c r="M24" s="1629"/>
      <c r="N24" s="1629"/>
      <c r="O24" s="1629"/>
      <c r="P24" s="1629"/>
      <c r="Q24" s="1629"/>
      <c r="R24" s="1629"/>
    </row>
    <row r="25" spans="2:18" s="1623" customFormat="1" x14ac:dyDescent="0.2">
      <c r="B25" s="1631" t="str">
        <f>IF(Presentation!$D$2="Anglais",'TRAD-Data &amp; hypothesis Adults'!F25,IF(Presentation!$D$2="Français",'TRAD-Data &amp; hypothesis Adults'!D25,""))</f>
        <v>Répartition des Initiations en 1ère lignes</v>
      </c>
      <c r="D25" s="1617" t="s">
        <v>842</v>
      </c>
      <c r="E25" s="1617"/>
      <c r="F25" s="1617" t="s">
        <v>459</v>
      </c>
      <c r="G25" s="1629"/>
      <c r="H25" s="1759"/>
      <c r="I25" s="1760"/>
      <c r="J25" s="1629"/>
      <c r="K25" s="1629"/>
      <c r="L25" s="1629"/>
      <c r="M25" s="1629"/>
      <c r="N25" s="1629"/>
      <c r="O25" s="1629"/>
      <c r="P25" s="1629"/>
      <c r="Q25" s="1629"/>
      <c r="R25" s="1629"/>
    </row>
    <row r="26" spans="2:18" s="1623" customFormat="1" x14ac:dyDescent="0.2">
      <c r="B26" s="1631" t="str">
        <f>IF(Presentation!$D$2="Anglais",'TRAD-Data &amp; hypothesis Adults'!F26,IF(Presentation!$D$2="Français",'TRAD-Data &amp; hypothesis Adults'!D26,""))</f>
        <v>Initiations</v>
      </c>
      <c r="D26" s="1617" t="s">
        <v>286</v>
      </c>
      <c r="E26" s="1617"/>
      <c r="F26" s="1617" t="s">
        <v>286</v>
      </c>
      <c r="G26" s="1629"/>
      <c r="H26" s="1759"/>
      <c r="I26" s="1760"/>
      <c r="J26" s="1629"/>
      <c r="K26" s="1629"/>
      <c r="L26" s="1629"/>
      <c r="M26" s="1629"/>
      <c r="N26" s="1629"/>
      <c r="O26" s="1629"/>
      <c r="P26" s="1629"/>
      <c r="Q26" s="1629"/>
      <c r="R26" s="1629"/>
    </row>
    <row r="27" spans="2:18" s="1623" customFormat="1" x14ac:dyDescent="0.2">
      <c r="B27" s="1631" t="str">
        <f>IF(Presentation!$D$2="Anglais",'TRAD-Data &amp; hypothesis Adults'!F27,IF(Presentation!$D$2="Français",'TRAD-Data &amp; hypothesis Adults'!D27,""))</f>
        <v>Répartition</v>
      </c>
      <c r="D27" s="1617" t="s">
        <v>899</v>
      </c>
      <c r="E27" s="1617"/>
      <c r="F27" s="1617" t="s">
        <v>460</v>
      </c>
      <c r="G27" s="1629"/>
      <c r="H27" s="1759"/>
      <c r="I27" s="1760"/>
      <c r="J27" s="1629"/>
      <c r="K27" s="1629"/>
      <c r="L27" s="1629"/>
      <c r="M27" s="1629"/>
      <c r="N27" s="1629"/>
      <c r="O27" s="1629"/>
      <c r="P27" s="1629"/>
      <c r="Q27" s="1629"/>
      <c r="R27" s="1629"/>
    </row>
    <row r="28" spans="2:18" s="1623" customFormat="1" x14ac:dyDescent="0.2">
      <c r="B28" s="1631" t="str">
        <f>IF(Presentation!$D$2="Anglais",'TRAD-Data &amp; hypothesis Adults'!F28,IF(Presentation!$D$2="Français",'TRAD-Data &amp; hypothesis Adults'!D28,""))</f>
        <v>Critère</v>
      </c>
      <c r="D28" s="1617" t="s">
        <v>1581</v>
      </c>
      <c r="E28" s="1617"/>
      <c r="F28" s="1617" t="s">
        <v>1582</v>
      </c>
      <c r="G28" s="1629"/>
      <c r="H28" s="1759"/>
      <c r="I28" s="1760"/>
      <c r="J28" s="1629"/>
      <c r="K28" s="1629"/>
      <c r="L28" s="1629"/>
      <c r="M28" s="1629"/>
      <c r="N28" s="1629"/>
      <c r="O28" s="1629"/>
      <c r="P28" s="1629"/>
      <c r="Q28" s="1629"/>
      <c r="R28" s="1629"/>
    </row>
    <row r="29" spans="2:18" s="1623" customFormat="1" x14ac:dyDescent="0.2">
      <c r="B29" s="1631" t="str">
        <f>IF(Presentation!$D$2="Anglais",'TRAD-Data &amp; hypothesis Adults'!F29,IF(Presentation!$D$2="Français",'TRAD-Data &amp; hypothesis Adults'!D29,""))</f>
        <v>TOTAL</v>
      </c>
      <c r="D29" s="1617" t="s">
        <v>6</v>
      </c>
      <c r="E29" s="1617"/>
      <c r="F29" s="1617" t="s">
        <v>6</v>
      </c>
      <c r="G29" s="1629"/>
      <c r="H29" s="1759"/>
      <c r="I29" s="1760"/>
      <c r="J29" s="1629"/>
      <c r="K29" s="1629"/>
      <c r="L29" s="1629"/>
      <c r="M29" s="1629"/>
      <c r="N29" s="1629"/>
      <c r="O29" s="1629"/>
      <c r="P29" s="1629"/>
      <c r="Q29" s="1629"/>
      <c r="R29" s="1629"/>
    </row>
    <row r="30" spans="2:18" s="1623" customFormat="1" x14ac:dyDescent="0.2">
      <c r="B30" s="1631" t="str">
        <f>IF(Presentation!$D$2="Anglais",'TRAD-Data &amp; hypothesis Adults'!F30,IF(Presentation!$D$2="Français",'TRAD-Data &amp; hypothesis Adults'!D30,""))</f>
        <v>TB &amp; NNRTI effets secondaires</v>
      </c>
      <c r="D30" s="1617" t="s">
        <v>894</v>
      </c>
      <c r="E30" s="1617"/>
      <c r="F30" s="1617" t="s">
        <v>429</v>
      </c>
      <c r="G30" s="1629"/>
      <c r="H30" s="1759"/>
      <c r="I30" s="1760"/>
      <c r="J30" s="1629"/>
      <c r="K30" s="1629"/>
      <c r="L30" s="1629"/>
      <c r="M30" s="1629"/>
      <c r="N30" s="1629"/>
      <c r="O30" s="1629"/>
      <c r="P30" s="1629"/>
      <c r="Q30" s="1629"/>
      <c r="R30" s="1629"/>
    </row>
    <row r="31" spans="2:18" s="1623" customFormat="1" x14ac:dyDescent="0.2">
      <c r="B31" s="1631" t="str">
        <f>IF(Presentation!$D$2="Anglais",'TRAD-Data &amp; hypothesis Adults'!F31,IF(Presentation!$D$2="Français",'TRAD-Data &amp; hypothesis Adults'!D31,""))</f>
        <v xml:space="preserve">HIV 2, TB &amp; NNRTI effets secondaires </v>
      </c>
      <c r="D31" s="1617" t="s">
        <v>895</v>
      </c>
      <c r="E31" s="1617"/>
      <c r="F31" s="1617" t="s">
        <v>430</v>
      </c>
      <c r="G31" s="1629"/>
      <c r="H31" s="1759"/>
      <c r="I31" s="1760"/>
      <c r="J31" s="1629"/>
      <c r="K31" s="1629"/>
      <c r="L31" s="1629"/>
      <c r="M31" s="1629"/>
      <c r="N31" s="1629"/>
      <c r="O31" s="1629"/>
      <c r="P31" s="1629"/>
      <c r="Q31" s="1629"/>
      <c r="R31" s="1629"/>
    </row>
    <row r="32" spans="2:18" s="1623" customFormat="1" x14ac:dyDescent="0.2">
      <c r="B32" s="1631" t="str">
        <f>IF(Presentation!$D$2="Anglais",'TRAD-Data &amp; hypothesis Adults'!F32,IF(Presentation!$D$2="Français",'TRAD-Data &amp; hypothesis Adults'!D32,""))</f>
        <v>caps</v>
      </c>
      <c r="D32" s="1617" t="s">
        <v>1481</v>
      </c>
      <c r="E32" s="1617"/>
      <c r="F32" s="1617" t="s">
        <v>1483</v>
      </c>
      <c r="G32" s="1629"/>
      <c r="H32" s="1759"/>
      <c r="I32" s="1760"/>
      <c r="J32" s="1629"/>
      <c r="K32" s="1629"/>
      <c r="L32" s="1629"/>
      <c r="M32" s="1629"/>
      <c r="N32" s="1629"/>
      <c r="O32" s="1629"/>
      <c r="P32" s="1629"/>
      <c r="Q32" s="1629"/>
      <c r="R32" s="1629"/>
    </row>
    <row r="33" spans="2:18" s="1623" customFormat="1" x14ac:dyDescent="0.2">
      <c r="B33" s="1631" t="str">
        <f>IF(Presentation!$D$2="Anglais",'TRAD-Data &amp; hypothesis Adults'!F33,IF(Presentation!$D$2="Français",'TRAD-Data &amp; hypothesis Adults'!D33,""))</f>
        <v>TB &amp; AZT effets secondaires</v>
      </c>
      <c r="D33" s="1617" t="s">
        <v>896</v>
      </c>
      <c r="E33" s="1617"/>
      <c r="F33" s="1617" t="s">
        <v>745</v>
      </c>
      <c r="G33" s="1629"/>
      <c r="H33" s="1759"/>
      <c r="I33" s="1760"/>
      <c r="J33" s="1629"/>
      <c r="K33" s="1629"/>
      <c r="L33" s="1629"/>
      <c r="M33" s="1629"/>
      <c r="N33" s="1629"/>
      <c r="O33" s="1629"/>
      <c r="P33" s="1629"/>
      <c r="Q33" s="1629"/>
      <c r="R33" s="1629"/>
    </row>
    <row r="34" spans="2:18" s="1623" customFormat="1" x14ac:dyDescent="0.2">
      <c r="B34" s="1631" t="str">
        <f>IF(Presentation!$D$2="Anglais",'TRAD-Data &amp; hypothesis Adults'!F34,IF(Presentation!$D$2="Français",'TRAD-Data &amp; hypothesis Adults'!D34,""))</f>
        <v>TB &amp; Anémie</v>
      </c>
      <c r="D34" s="1617" t="s">
        <v>893</v>
      </c>
      <c r="E34" s="1617"/>
      <c r="F34" s="1617" t="s">
        <v>432</v>
      </c>
      <c r="G34" s="1629"/>
      <c r="H34" s="1759"/>
      <c r="I34" s="1760"/>
      <c r="J34" s="1629"/>
      <c r="K34" s="1629"/>
      <c r="L34" s="1629"/>
      <c r="M34" s="1629"/>
      <c r="N34" s="1629"/>
      <c r="O34" s="1629"/>
      <c r="P34" s="1629"/>
      <c r="Q34" s="1629"/>
      <c r="R34" s="1629"/>
    </row>
    <row r="35" spans="2:18" s="1623" customFormat="1" x14ac:dyDescent="0.2">
      <c r="B35" s="1631" t="str">
        <f>IF(Presentation!$D$2="Anglais",'TRAD-Data &amp; hypothesis Adults'!F35,IF(Presentation!$D$2="Français",'TRAD-Data &amp; hypothesis Adults'!D35,""))</f>
        <v>VHB &amp; AZT effets secondaires</v>
      </c>
      <c r="D35" s="1617" t="s">
        <v>897</v>
      </c>
      <c r="E35" s="1617"/>
      <c r="F35" s="1617" t="s">
        <v>746</v>
      </c>
      <c r="G35" s="1629"/>
      <c r="H35" s="1759"/>
      <c r="I35" s="1760"/>
      <c r="J35" s="1629"/>
      <c r="K35" s="1629"/>
      <c r="L35" s="1629"/>
      <c r="M35" s="1629"/>
      <c r="N35" s="1629"/>
      <c r="O35" s="1629"/>
      <c r="P35" s="1629"/>
      <c r="Q35" s="1629"/>
      <c r="R35" s="1629"/>
    </row>
    <row r="36" spans="2:18" s="1623" customFormat="1" x14ac:dyDescent="0.2">
      <c r="B36" s="1631" t="str">
        <f>IF(Presentation!$D$2="Anglais",'TRAD-Data &amp; hypothesis Adults'!F36,IF(Presentation!$D$2="Français",'TRAD-Data &amp; hypothesis Adults'!D36,""))</f>
        <v>Proportion</v>
      </c>
      <c r="D36" s="1617" t="s">
        <v>51</v>
      </c>
      <c r="E36" s="1617"/>
      <c r="F36" s="1617" t="s">
        <v>460</v>
      </c>
      <c r="G36" s="1755"/>
      <c r="H36" s="1755"/>
      <c r="I36" s="1755"/>
      <c r="J36" s="1755"/>
      <c r="K36" s="1629"/>
      <c r="L36" s="1629"/>
      <c r="M36" s="1629"/>
      <c r="N36" s="1629"/>
      <c r="O36" s="1629"/>
      <c r="P36" s="1629"/>
      <c r="Q36" s="1629"/>
      <c r="R36" s="1629"/>
    </row>
    <row r="37" spans="2:18" s="1623" customFormat="1" x14ac:dyDescent="0.2">
      <c r="B37" s="1631" t="str">
        <f>IF(Presentation!$D$2="Anglais",'TRAD-Data &amp; hypothesis Adults'!F37,IF(Presentation!$D$2="Français",'TRAD-Data &amp; hypothesis Adults'!D37,""))</f>
        <v>Initiations</v>
      </c>
      <c r="D37" s="1617" t="s">
        <v>286</v>
      </c>
      <c r="E37" s="1617"/>
      <c r="F37" s="1617" t="s">
        <v>286</v>
      </c>
      <c r="G37" s="1629"/>
      <c r="H37" s="1759"/>
      <c r="I37" s="1760"/>
      <c r="J37" s="1629"/>
      <c r="K37" s="1629"/>
      <c r="L37" s="1629"/>
      <c r="M37" s="1629"/>
      <c r="N37" s="1629"/>
      <c r="O37" s="1629"/>
      <c r="P37" s="1629"/>
      <c r="Q37" s="1629"/>
      <c r="R37" s="1629"/>
    </row>
    <row r="38" spans="2:18" s="1623" customFormat="1" x14ac:dyDescent="0.2">
      <c r="B38" s="1631" t="str">
        <f>IF(Presentation!$D$2="Anglais",'TRAD-Data &amp; hypothesis Adults'!F38,IF(Presentation!$D$2="Français",'TRAD-Data &amp; hypothesis Adults'!D38,""))</f>
        <v>Proportion de patients en 2ème lignes</v>
      </c>
      <c r="D38" s="1617" t="s">
        <v>1239</v>
      </c>
      <c r="E38" s="1617"/>
      <c r="F38" s="1617" t="s">
        <v>830</v>
      </c>
      <c r="G38" s="1656"/>
      <c r="H38" s="1656"/>
      <c r="I38" s="1656"/>
      <c r="J38" s="1656"/>
      <c r="K38" s="1629"/>
      <c r="L38" s="1629"/>
      <c r="M38" s="1629"/>
      <c r="N38" s="1629"/>
      <c r="O38" s="1629"/>
      <c r="P38" s="1629"/>
      <c r="Q38" s="1629"/>
      <c r="R38" s="1629"/>
    </row>
    <row r="39" spans="2:18" s="1623" customFormat="1" x14ac:dyDescent="0.2">
      <c r="B39" s="1631" t="str">
        <f>IF(Presentation!$D$2="Anglais",'TRAD-Data &amp; hypothesis Adults'!F39,IF(Presentation!$D$2="Français",'TRAD-Data &amp; hypothesis Adults'!D39,""))</f>
        <v>Année</v>
      </c>
      <c r="D39" s="1617" t="s">
        <v>843</v>
      </c>
      <c r="E39" s="1617"/>
      <c r="F39" s="1617" t="s">
        <v>431</v>
      </c>
      <c r="G39" s="1629"/>
      <c r="H39" s="1759"/>
      <c r="I39" s="1760"/>
      <c r="J39" s="1629"/>
      <c r="K39" s="1629"/>
      <c r="L39" s="1629"/>
      <c r="M39" s="1629"/>
      <c r="N39" s="1629"/>
      <c r="O39" s="1629"/>
      <c r="P39" s="1629"/>
      <c r="Q39" s="1629"/>
      <c r="R39" s="1629"/>
    </row>
    <row r="40" spans="2:18" s="1623" customFormat="1" x14ac:dyDescent="0.2">
      <c r="B40" s="1631" t="str">
        <f>IF(Presentation!$D$2="Anglais",'TRAD-Data &amp; hypothesis Adults'!F40,IF(Presentation!$D$2="Français",'TRAD-Data &amp; hypothesis Adults'!D40,""))</f>
        <v>Année</v>
      </c>
      <c r="D40" s="1617" t="s">
        <v>843</v>
      </c>
      <c r="E40" s="1617"/>
      <c r="F40" s="1617" t="s">
        <v>423</v>
      </c>
      <c r="G40" s="1629"/>
      <c r="H40" s="1759"/>
      <c r="I40" s="1760"/>
      <c r="J40" s="1629"/>
      <c r="K40" s="1629"/>
      <c r="L40" s="1629"/>
      <c r="M40" s="1629"/>
      <c r="N40" s="1629"/>
      <c r="O40" s="1629"/>
      <c r="P40" s="1629"/>
      <c r="Q40" s="1629"/>
      <c r="R40" s="1629"/>
    </row>
    <row r="41" spans="2:18" s="1623" customFormat="1" ht="45" x14ac:dyDescent="0.2">
      <c r="B41" s="1631" t="str">
        <f>IF(Presentation!$D$2="Anglais",'TRAD-Data &amp; hypothesis Adults'!F41,IF(Presentation!$D$2="Français",'TRAD-Data &amp; hypothesis Adults'!D41,""))</f>
        <v>Proportion de patients en échappement thérapeutique en 1ère ligne entrainant un passage en 2ème ligne (à la fin de la période)</v>
      </c>
      <c r="D41" s="1617" t="s">
        <v>1578</v>
      </c>
      <c r="E41" s="1617"/>
      <c r="F41" s="1617" t="s">
        <v>1577</v>
      </c>
      <c r="G41" s="1629"/>
      <c r="H41" s="1759"/>
      <c r="I41" s="1760"/>
      <c r="J41" s="1629"/>
      <c r="K41" s="1629"/>
      <c r="L41" s="1629"/>
      <c r="M41" s="1629"/>
      <c r="N41" s="1629"/>
      <c r="O41" s="1629"/>
      <c r="P41" s="1629"/>
      <c r="Q41" s="1629"/>
      <c r="R41" s="1629"/>
    </row>
    <row r="42" spans="2:18" s="1623" customFormat="1" ht="30" x14ac:dyDescent="0.2">
      <c r="B42" s="1631" t="str">
        <f>IF(Presentation!$D$2="Anglais",'TRAD-Data &amp; hypothesis Adults'!F42,IF(Presentation!$D$2="Français",'TRAD-Data &amp; hypothesis Adults'!D42,""))</f>
        <v>Nb de patients prévus en 2ème lignes à la fin de la période quantifiée</v>
      </c>
      <c r="D42" s="1617" t="s">
        <v>844</v>
      </c>
      <c r="E42" s="1617"/>
      <c r="F42" s="1617" t="s">
        <v>433</v>
      </c>
      <c r="G42" s="1629"/>
      <c r="H42" s="1759"/>
      <c r="I42" s="1760"/>
      <c r="J42" s="1629"/>
      <c r="K42" s="1629"/>
      <c r="L42" s="1629"/>
      <c r="M42" s="1629"/>
      <c r="N42" s="1629"/>
      <c r="O42" s="1629"/>
      <c r="P42" s="1629"/>
      <c r="Q42" s="1629"/>
      <c r="R42" s="1629"/>
    </row>
    <row r="43" spans="2:18" s="1623" customFormat="1" x14ac:dyDescent="0.2">
      <c r="B43" s="1631" t="str">
        <f>IF(Presentation!$D$2="Anglais",'TRAD-Data &amp; hypothesis Adults'!F43,IF(Presentation!$D$2="Français",'TRAD-Data &amp; hypothesis Adults'!D43,""))</f>
        <v>Nb total de patients suivis à la fin de l'année</v>
      </c>
      <c r="D43" s="1617" t="s">
        <v>845</v>
      </c>
      <c r="E43" s="1617"/>
      <c r="F43" s="1617" t="s">
        <v>434</v>
      </c>
      <c r="G43" s="1629"/>
      <c r="H43" s="1759"/>
      <c r="I43" s="1760"/>
      <c r="J43" s="1629"/>
      <c r="K43" s="1629"/>
      <c r="L43" s="1629"/>
      <c r="M43" s="1629"/>
      <c r="N43" s="1629"/>
      <c r="O43" s="1629"/>
      <c r="P43" s="1629"/>
      <c r="Q43" s="1629"/>
      <c r="R43" s="1629"/>
    </row>
    <row r="44" spans="2:18" s="1623" customFormat="1" x14ac:dyDescent="0.2">
      <c r="B44" s="1631" t="str">
        <f>IF(Presentation!$D$2="Anglais",'TRAD-Data &amp; hypothesis Adults'!F44,IF(Presentation!$D$2="Français",'TRAD-Data &amp; hypothesis Adults'!D44,""))</f>
        <v xml:space="preserve">Passage de 1ère à 2ème ligne </v>
      </c>
      <c r="D44" s="1626" t="s">
        <v>1734</v>
      </c>
      <c r="E44" s="1626"/>
      <c r="F44" s="1626" t="s">
        <v>461</v>
      </c>
      <c r="G44" s="1627"/>
      <c r="H44" s="1627"/>
      <c r="I44" s="1627"/>
      <c r="J44" s="1629"/>
      <c r="K44" s="1629"/>
      <c r="L44" s="1629"/>
      <c r="M44" s="1629"/>
      <c r="N44" s="1629"/>
      <c r="O44" s="1629"/>
      <c r="P44" s="1629"/>
      <c r="Q44" s="1629"/>
      <c r="R44" s="1629"/>
    </row>
    <row r="45" spans="2:18" s="1623" customFormat="1" ht="30" x14ac:dyDescent="0.2">
      <c r="B45" s="1631" t="str">
        <f>IF(Presentation!$D$2="Anglais",'TRAD-Data &amp; hypothesis Adults'!F45,IF(Presentation!$D$2="Français",'TRAD-Data &amp; hypothesis Adults'!D45,""))</f>
        <v>N'inclus pas les patients sur ces schémas au début des périodes</v>
      </c>
      <c r="D45" s="1626" t="s">
        <v>1736</v>
      </c>
      <c r="E45" s="1626"/>
      <c r="F45" s="1626" t="s">
        <v>1737</v>
      </c>
      <c r="G45" s="1627"/>
      <c r="H45" s="1627"/>
      <c r="I45" s="1627"/>
      <c r="J45" s="1629"/>
      <c r="K45" s="1629"/>
      <c r="L45" s="1629"/>
      <c r="M45" s="1629"/>
      <c r="N45" s="1629"/>
      <c r="O45" s="1629"/>
      <c r="P45" s="1629"/>
      <c r="Q45" s="1629"/>
      <c r="R45" s="1629"/>
    </row>
    <row r="46" spans="2:18" s="1623" customFormat="1" ht="45" x14ac:dyDescent="0.2">
      <c r="B46" s="1631" t="str">
        <f>IF(Presentation!$D$2="Anglais",'TRAD-Data &amp; hypothesis Adults'!F46,IF(Presentation!$D$2="Français",'TRAD-Data &amp; hypothesis Adults'!D46,""))</f>
        <v>Pour chaque schéma de première ligne, précisez le(s) schéma(s) de 2ème ligne souhaité(s) à l'aide des menus déroulants</v>
      </c>
      <c r="D46" s="1626" t="s">
        <v>1551</v>
      </c>
      <c r="E46" s="1626"/>
      <c r="F46" s="1627" t="s">
        <v>1552</v>
      </c>
      <c r="G46" s="1627"/>
      <c r="H46" s="1627"/>
      <c r="I46" s="1627"/>
      <c r="J46" s="1629"/>
      <c r="K46" s="1629"/>
      <c r="L46" s="1629"/>
      <c r="M46" s="1629"/>
      <c r="N46" s="1629"/>
      <c r="O46" s="1629"/>
      <c r="P46" s="1629"/>
      <c r="Q46" s="1629"/>
      <c r="R46" s="1629"/>
    </row>
    <row r="47" spans="2:18" s="1623" customFormat="1" ht="30" x14ac:dyDescent="0.2">
      <c r="B47" s="1631" t="str">
        <f>IF(Presentation!$D$2="Anglais",'TRAD-Data &amp; hypothesis Adults'!F47,IF(Presentation!$D$2="Français",'TRAD-Data &amp; hypothesis Adults'!D47,""))</f>
        <v>Ensuite, pour chacun des schémas sélectionnés, précisez ensuite les proportions attendues</v>
      </c>
      <c r="D47" s="1626" t="s">
        <v>1553</v>
      </c>
      <c r="E47" s="1626"/>
      <c r="F47" s="1627" t="s">
        <v>1554</v>
      </c>
      <c r="G47" s="1627"/>
      <c r="H47" s="1627"/>
      <c r="I47" s="1627"/>
      <c r="J47" s="1629"/>
      <c r="K47" s="1629"/>
      <c r="L47" s="1629"/>
      <c r="M47" s="1629"/>
      <c r="N47" s="1629"/>
      <c r="O47" s="1629"/>
      <c r="P47" s="1629"/>
      <c r="Q47" s="1629"/>
      <c r="R47" s="1629"/>
    </row>
    <row r="48" spans="2:18" s="1623" customFormat="1" ht="45" x14ac:dyDescent="0.2">
      <c r="B48" s="1631" t="str">
        <f>IF(Presentation!$D$2="Anglais",'TRAD-Data &amp; hypothesis Adults'!F48,IF(Presentation!$D$2="Français",'TRAD-Data &amp; hypothesis Adults'!D48,""))</f>
        <v>Si vous changez le détail des schémas dans le tableau 1 tout en haut de cette feuille, vous devez actualiser la sélection des schémas dans ce tableau</v>
      </c>
      <c r="D48" s="1626" t="s">
        <v>1555</v>
      </c>
      <c r="E48" s="1626"/>
      <c r="F48" s="1627" t="s">
        <v>1556</v>
      </c>
      <c r="G48" s="1627"/>
      <c r="H48" s="1627"/>
      <c r="I48" s="1627"/>
      <c r="J48" s="1629"/>
      <c r="K48" s="1629"/>
      <c r="L48" s="1629"/>
      <c r="M48" s="1629"/>
      <c r="N48" s="1629"/>
      <c r="O48" s="1629"/>
      <c r="P48" s="1629"/>
      <c r="Q48" s="1629"/>
      <c r="R48" s="1629"/>
    </row>
    <row r="49" spans="2:18" s="1623" customFormat="1" ht="30" x14ac:dyDescent="0.2">
      <c r="B49" s="1631" t="str">
        <f>IF(Presentation!$D$2="Anglais",'TRAD-Data &amp; hypothesis Adults'!F49,IF(Presentation!$D$2="Français",'TRAD-Data &amp; hypothesis Adults'!D49,""))</f>
        <v>Les paramètres renseignés ici sont les mêmes pour toute la période quantifiée</v>
      </c>
      <c r="D49" s="1626" t="s">
        <v>1569</v>
      </c>
      <c r="E49" s="1626"/>
      <c r="F49" s="1627" t="s">
        <v>1570</v>
      </c>
      <c r="G49" s="1627"/>
      <c r="H49" s="1627"/>
      <c r="I49" s="1627"/>
      <c r="J49" s="1629"/>
      <c r="K49" s="1629"/>
      <c r="L49" s="1629"/>
      <c r="M49" s="1629"/>
      <c r="N49" s="1629"/>
      <c r="O49" s="1629"/>
      <c r="P49" s="1629"/>
      <c r="Q49" s="1629"/>
      <c r="R49" s="1629"/>
    </row>
    <row r="50" spans="2:18" s="1623" customFormat="1" x14ac:dyDescent="0.2">
      <c r="B50" s="1631" t="str">
        <f>IF(Presentation!$D$2="Anglais",'TRAD-Data &amp; hypothesis Adults'!F50,IF(Presentation!$D$2="Français",'TRAD-Data &amp; hypothesis Adults'!D50,""))</f>
        <v>Consigne d'utilisation</v>
      </c>
      <c r="D50" s="1841" t="s">
        <v>1559</v>
      </c>
      <c r="E50" s="1841"/>
      <c r="F50" s="1841" t="s">
        <v>1560</v>
      </c>
      <c r="G50" s="1627"/>
      <c r="H50" s="1627"/>
      <c r="I50" s="1627"/>
      <c r="J50" s="1629"/>
      <c r="K50" s="1629"/>
      <c r="L50" s="1629"/>
      <c r="M50" s="1629"/>
      <c r="N50" s="1629"/>
      <c r="O50" s="1629"/>
      <c r="P50" s="1629"/>
      <c r="Q50" s="1629"/>
      <c r="R50" s="1629"/>
    </row>
    <row r="51" spans="2:18" s="1623" customFormat="1" x14ac:dyDescent="0.2">
      <c r="B51" s="1631" t="str">
        <f>IF(Presentation!$D$2="Anglais",'TRAD-Data &amp; hypothesis Adults'!F51,IF(Presentation!$D$2="Français",'TRAD-Data &amp; hypothesis Adults'!D51,""))</f>
        <v>Attention</v>
      </c>
      <c r="D51" s="1626" t="s">
        <v>1557</v>
      </c>
      <c r="E51" s="1626"/>
      <c r="F51" s="1626" t="s">
        <v>1558</v>
      </c>
      <c r="G51" s="1627"/>
      <c r="H51" s="1627"/>
      <c r="I51" s="1627"/>
      <c r="J51" s="1629"/>
      <c r="K51" s="1629"/>
      <c r="L51" s="1629"/>
      <c r="M51" s="1629"/>
      <c r="N51" s="1629"/>
      <c r="O51" s="1629"/>
      <c r="P51" s="1629"/>
      <c r="Q51" s="1629"/>
      <c r="R51" s="1629"/>
    </row>
    <row r="52" spans="2:18" s="1623" customFormat="1" x14ac:dyDescent="0.2">
      <c r="B52" s="1631" t="str">
        <f>IF(Presentation!$D$2="Anglais",'TRAD-Data &amp; hypothesis Adults'!F52,IF(Presentation!$D$2="Français",'TRAD-Data &amp; hypothesis Adults'!D52,""))</f>
        <v>Premières lignes</v>
      </c>
      <c r="C52" s="1841"/>
      <c r="D52" s="1877" t="s">
        <v>655</v>
      </c>
      <c r="E52" s="1841"/>
      <c r="F52" s="1841" t="s">
        <v>1156</v>
      </c>
      <c r="G52" s="1627"/>
      <c r="H52" s="1627"/>
      <c r="I52" s="1627"/>
      <c r="J52" s="1629"/>
      <c r="K52" s="1629"/>
      <c r="L52" s="1629"/>
      <c r="M52" s="1629"/>
      <c r="N52" s="1629"/>
      <c r="O52" s="1629"/>
      <c r="P52" s="1629"/>
      <c r="Q52" s="1629"/>
      <c r="R52" s="1629"/>
    </row>
    <row r="53" spans="2:18" s="1623" customFormat="1" ht="30" x14ac:dyDescent="0.2">
      <c r="B53" s="1631" t="str">
        <f>IF(Presentation!$D$2="Anglais",'TRAD-Data &amp; hypothesis Adults'!F53,IF(Presentation!$D$2="Français",'TRAD-Data &amp; hypothesis Adults'!D53,""))</f>
        <v>Nombre total de patients en première ligne (actuel + initiation du mois)</v>
      </c>
      <c r="D53" s="1841" t="s">
        <v>1561</v>
      </c>
      <c r="E53" s="1841"/>
      <c r="F53" s="1841" t="s">
        <v>1562</v>
      </c>
      <c r="G53" s="1627"/>
      <c r="H53" s="1627"/>
      <c r="I53" s="1627"/>
      <c r="J53" s="1629"/>
      <c r="K53" s="1629"/>
      <c r="L53" s="1629"/>
      <c r="M53" s="1629"/>
      <c r="N53" s="1629"/>
      <c r="O53" s="1629"/>
      <c r="P53" s="1629"/>
      <c r="Q53" s="1629"/>
      <c r="R53" s="1629"/>
    </row>
    <row r="54" spans="2:18" s="1623" customFormat="1" ht="30" x14ac:dyDescent="0.2">
      <c r="B54" s="1631" t="str">
        <f>IF(Presentation!$D$2="Anglais",'TRAD-Data &amp; hypothesis Adults'!F54,IF(Presentation!$D$2="Français",'TRAD-Data &amp; hypothesis Adults'!D54,""))</f>
        <v>Nombre de nouveaux patients attendus en 2ème ligne par mois</v>
      </c>
      <c r="D54" s="1841" t="s">
        <v>1563</v>
      </c>
      <c r="E54" s="1841"/>
      <c r="F54" s="1841" t="s">
        <v>1564</v>
      </c>
      <c r="G54" s="1627"/>
      <c r="H54" s="1627"/>
      <c r="I54" s="1627"/>
      <c r="J54" s="1629"/>
      <c r="K54" s="1629"/>
      <c r="L54" s="1629"/>
      <c r="M54" s="1629"/>
      <c r="N54" s="1629"/>
      <c r="O54" s="1629"/>
      <c r="P54" s="1629"/>
      <c r="Q54" s="1629"/>
      <c r="R54" s="1629"/>
    </row>
    <row r="55" spans="2:18" s="1623" customFormat="1" x14ac:dyDescent="0.2">
      <c r="B55" s="1631" t="str">
        <f>IF(Presentation!$D$2="Anglais",'TRAD-Data &amp; hypothesis Adults'!F55,IF(Presentation!$D$2="Français",'TRAD-Data &amp; hypothesis Adults'!D55,""))</f>
        <v>Schéma thérapeutique</v>
      </c>
      <c r="D55" s="1841" t="s">
        <v>180</v>
      </c>
      <c r="E55" s="1843"/>
      <c r="F55" s="1843" t="s">
        <v>1565</v>
      </c>
      <c r="G55" s="1627"/>
      <c r="H55" s="1627"/>
      <c r="I55" s="1627"/>
      <c r="J55" s="1629"/>
      <c r="K55" s="1629"/>
      <c r="L55" s="1629"/>
      <c r="M55" s="1629"/>
      <c r="N55" s="1629"/>
      <c r="O55" s="1629"/>
      <c r="P55" s="1629"/>
      <c r="Q55" s="1629"/>
      <c r="R55" s="1629"/>
    </row>
    <row r="56" spans="2:18" s="1623" customFormat="1" x14ac:dyDescent="0.2">
      <c r="B56" s="1631" t="str">
        <f>IF(Presentation!$D$2="Anglais",'TRAD-Data &amp; hypothesis Adults'!F56,IF(Presentation!$D$2="Français",'TRAD-Data &amp; hypothesis Adults'!D56,""))</f>
        <v>Proportion %</v>
      </c>
      <c r="D56" s="1878" t="s">
        <v>1566</v>
      </c>
      <c r="E56" s="1841"/>
      <c r="F56" s="1841" t="s">
        <v>1566</v>
      </c>
      <c r="G56" s="1627"/>
      <c r="H56" s="1627"/>
      <c r="I56" s="1627"/>
      <c r="J56" s="1629"/>
      <c r="K56" s="1629"/>
      <c r="L56" s="1629"/>
      <c r="M56" s="1629"/>
      <c r="N56" s="1629"/>
      <c r="O56" s="1629"/>
      <c r="P56" s="1629"/>
      <c r="Q56" s="1629"/>
      <c r="R56" s="1629"/>
    </row>
    <row r="57" spans="2:18" s="1623" customFormat="1" x14ac:dyDescent="0.2">
      <c r="B57" s="1631" t="str">
        <f>IF(Presentation!$D$2="Anglais",'TRAD-Data &amp; hypothesis Adults'!F57,IF(Presentation!$D$2="Français",'TRAD-Data &amp; hypothesis Adults'!D57,""))</f>
        <v xml:space="preserve">Nombre de patients </v>
      </c>
      <c r="D57" s="1841" t="s">
        <v>1567</v>
      </c>
      <c r="E57" s="1841"/>
      <c r="F57" s="1841" t="s">
        <v>1568</v>
      </c>
      <c r="G57" s="1627"/>
      <c r="H57" s="1627"/>
      <c r="I57" s="1627"/>
      <c r="J57" s="1629"/>
      <c r="K57" s="1629"/>
      <c r="L57" s="1629"/>
      <c r="M57" s="1629"/>
      <c r="N57" s="1629"/>
      <c r="O57" s="1629"/>
      <c r="P57" s="1629"/>
      <c r="Q57" s="1629"/>
      <c r="R57" s="1629"/>
    </row>
    <row r="58" spans="2:18" s="1623" customFormat="1" x14ac:dyDescent="0.2">
      <c r="B58" s="1631" t="str">
        <f>IF(Presentation!$D$2="Anglais",'TRAD-Data &amp; hypothesis Adults'!F58,IF(Presentation!$D$2="Français",'TRAD-Data &amp; hypothesis Adults'!D58,""))</f>
        <v>Nombre de patients 1ère ligne à la fin de l'année</v>
      </c>
      <c r="D58" s="1841" t="s">
        <v>1571</v>
      </c>
      <c r="E58" s="1841"/>
      <c r="F58" s="1841" t="s">
        <v>1572</v>
      </c>
      <c r="G58" s="1627"/>
      <c r="H58" s="1627"/>
      <c r="I58" s="1627"/>
      <c r="J58" s="1629"/>
      <c r="K58" s="1629"/>
      <c r="L58" s="1629"/>
      <c r="M58" s="1629"/>
      <c r="N58" s="1629"/>
      <c r="O58" s="1629"/>
      <c r="P58" s="1629"/>
      <c r="Q58" s="1629"/>
      <c r="R58" s="1629"/>
    </row>
    <row r="59" spans="2:18" s="1623" customFormat="1" x14ac:dyDescent="0.2">
      <c r="B59" s="1631" t="str">
        <f>IF(Presentation!$D$2="Anglais",'TRAD-Data &amp; hypothesis Adults'!F59,IF(Presentation!$D$2="Français",'TRAD-Data &amp; hypothesis Adults'!D59,""))</f>
        <v>Nombre de patients 2ème ligne à la fin de l'année</v>
      </c>
      <c r="D59" s="1841" t="s">
        <v>1573</v>
      </c>
      <c r="E59" s="1841"/>
      <c r="F59" s="1841" t="s">
        <v>1574</v>
      </c>
      <c r="G59" s="1627"/>
      <c r="H59" s="1627"/>
      <c r="I59" s="1627"/>
      <c r="J59" s="1629"/>
      <c r="K59" s="1629"/>
      <c r="L59" s="1629"/>
      <c r="M59" s="1629"/>
      <c r="N59" s="1629"/>
      <c r="O59" s="1629"/>
      <c r="P59" s="1629"/>
      <c r="Q59" s="1629"/>
      <c r="R59" s="1629"/>
    </row>
    <row r="60" spans="2:18" s="1623" customFormat="1" ht="30" x14ac:dyDescent="0.2">
      <c r="B60" s="1631" t="str">
        <f>IF(Presentation!$D$2="Anglais",'TRAD-Data &amp; hypothesis Adults'!F60,IF(Presentation!$D$2="Français",'TRAD-Data &amp; hypothesis Adults'!D60,""))</f>
        <v>Défalcation des patients passés en deuxièmes lignes sur les premières lignes</v>
      </c>
      <c r="D60" s="1626" t="s">
        <v>846</v>
      </c>
      <c r="E60" s="1626"/>
      <c r="F60" s="1626" t="s">
        <v>563</v>
      </c>
      <c r="G60" s="1627"/>
      <c r="H60" s="1627"/>
      <c r="I60" s="1627"/>
      <c r="J60" s="1629"/>
      <c r="K60" s="1629"/>
      <c r="L60" s="1629"/>
      <c r="M60" s="1629"/>
      <c r="N60" s="1629"/>
      <c r="O60" s="1629"/>
      <c r="P60" s="1629"/>
      <c r="Q60" s="1629"/>
      <c r="R60" s="1629"/>
    </row>
    <row r="61" spans="2:18" s="1623" customFormat="1" ht="60" x14ac:dyDescent="0.2">
      <c r="B61" s="1631" t="str">
        <f>IF(Presentation!$D$2="Anglais",'TRAD-Data &amp; hypothesis Adults'!F61,IF(Presentation!$D$2="Français",'TRAD-Data &amp; hypothesis Adults'!D61,""))</f>
        <v>Pour être plus réalistes dans les calculs des nombres de patients, les patients passant en 2ème lignes sortent des premières lignes proportionnellement au nombre de patients sur chaque schéma</v>
      </c>
      <c r="D61" s="1626" t="s">
        <v>1712</v>
      </c>
      <c r="E61" s="1626"/>
      <c r="F61" s="1626" t="s">
        <v>1720</v>
      </c>
      <c r="G61" s="1627"/>
      <c r="H61" s="1627"/>
      <c r="I61" s="1627"/>
      <c r="J61" s="1627"/>
      <c r="K61" s="1627"/>
      <c r="L61" s="1627"/>
      <c r="M61" s="1627"/>
      <c r="N61" s="1627"/>
      <c r="O61" s="1629"/>
      <c r="P61" s="1629"/>
      <c r="Q61" s="1629"/>
      <c r="R61" s="1629"/>
    </row>
    <row r="62" spans="2:18" s="1623" customFormat="1" ht="60" x14ac:dyDescent="0.2">
      <c r="B62" s="1631" t="str">
        <f>IF(Presentation!$D$2="Anglais",'TRAD-Data &amp; hypothesis Adults'!F62,IF(Presentation!$D$2="Français",'TRAD-Data &amp; hypothesis Adults'!D62,""))</f>
        <v>Toutefois, pour ne pas sous estimer les quantités d'ARV de première ligne, il est possible de limiter la défalcation des besoins sur la première ligne en mentionnant un pourcentage de défalcation</v>
      </c>
      <c r="D62" s="1626" t="s">
        <v>1713</v>
      </c>
      <c r="E62" s="1626"/>
      <c r="F62" s="1626" t="s">
        <v>1714</v>
      </c>
      <c r="G62" s="1627"/>
      <c r="H62" s="1627"/>
      <c r="I62" s="1627"/>
      <c r="J62" s="1627"/>
      <c r="K62" s="1627"/>
      <c r="L62" s="1627"/>
      <c r="M62" s="1627"/>
      <c r="N62" s="1627"/>
      <c r="O62" s="1629"/>
      <c r="P62" s="1629"/>
      <c r="Q62" s="1629"/>
      <c r="R62" s="1629"/>
    </row>
    <row r="63" spans="2:18" s="1623" customFormat="1" x14ac:dyDescent="0.2">
      <c r="B63" s="1631" t="str">
        <f>IF(Presentation!$D$2="Anglais",'TRAD-Data &amp; hypothesis Adults'!F63,IF(Presentation!$D$2="Français",'TRAD-Data &amp; hypothesis Adults'!D63,""))</f>
        <v>Diminuer les quantités de premières lignes ?</v>
      </c>
      <c r="D63" s="1626" t="s">
        <v>847</v>
      </c>
      <c r="E63" s="1626"/>
      <c r="F63" s="1626" t="s">
        <v>437</v>
      </c>
      <c r="G63" s="1627"/>
      <c r="H63" s="1627"/>
      <c r="I63" s="1629"/>
      <c r="J63" s="1629"/>
      <c r="K63" s="1629"/>
      <c r="L63" s="1629"/>
      <c r="M63" s="1629"/>
      <c r="N63" s="1629"/>
      <c r="O63" s="1629"/>
      <c r="P63" s="1629"/>
      <c r="Q63" s="1629"/>
      <c r="R63" s="1629"/>
    </row>
    <row r="64" spans="2:18" s="1623" customFormat="1" ht="30" x14ac:dyDescent="0.2">
      <c r="B64" s="1631" t="str">
        <f>IF(Presentation!$D$2="Anglais",'TRAD-Data &amp; hypothesis Adults'!F64,IF(Presentation!$D$2="Français",'TRAD-Data &amp; hypothesis Adults'!D64,""))</f>
        <v>Mettre un X majuscule dans la case sélection pour l'option retenue</v>
      </c>
      <c r="D64" s="1617" t="s">
        <v>1520</v>
      </c>
      <c r="E64" s="1617"/>
      <c r="F64" s="1617" t="s">
        <v>1521</v>
      </c>
      <c r="G64" s="1627"/>
      <c r="H64" s="1627"/>
      <c r="I64" s="1629"/>
      <c r="J64" s="1629"/>
      <c r="K64" s="1629"/>
      <c r="L64" s="1629"/>
      <c r="M64" s="1629"/>
      <c r="N64" s="1629"/>
      <c r="O64" s="1629"/>
      <c r="P64" s="1629"/>
      <c r="Q64" s="1629"/>
      <c r="R64" s="1629"/>
    </row>
    <row r="65" spans="2:18" s="1623" customFormat="1" ht="30" x14ac:dyDescent="0.2">
      <c r="B65" s="1631" t="str">
        <f>IF(Presentation!$D$2="Anglais",'TRAD-Data &amp; hypothesis Adults'!F65,IF(Presentation!$D$2="Français",'TRAD-Data &amp; hypothesis Adults'!D65,""))</f>
        <v>Proportion des besoins (nb de cdt) défalquée des 1ères lignes en % ?</v>
      </c>
      <c r="D65" s="1626" t="s">
        <v>1715</v>
      </c>
      <c r="E65" s="1626"/>
      <c r="F65" s="1626" t="s">
        <v>1716</v>
      </c>
      <c r="G65" s="1627"/>
      <c r="H65" s="1627"/>
      <c r="I65" s="1629"/>
      <c r="J65" s="1629"/>
      <c r="K65" s="1629"/>
      <c r="L65" s="1629"/>
      <c r="M65" s="1629"/>
      <c r="N65" s="1629"/>
      <c r="O65" s="1629"/>
      <c r="P65" s="1629"/>
      <c r="Q65" s="1629"/>
      <c r="R65" s="1629"/>
    </row>
    <row r="66" spans="2:18" s="1623" customFormat="1" ht="30" x14ac:dyDescent="0.2">
      <c r="B66" s="1631" t="str">
        <f>IF(Presentation!$D$2="Anglais",'TRAD-Data &amp; hypothesis Adults'!F66,IF(Presentation!$D$2="Français",'TRAD-Data &amp; hypothesis Adults'!D66,""))</f>
        <v>cela signifie que seuls 10% des patients supposés passant en 2ème ligne ont encore  besoin de la 1ère ligne</v>
      </c>
      <c r="D66" s="1617" t="s">
        <v>877</v>
      </c>
      <c r="E66" s="1617"/>
      <c r="F66" s="1617" t="s">
        <v>544</v>
      </c>
      <c r="G66" s="1629"/>
      <c r="H66" s="1629"/>
      <c r="I66" s="1629"/>
      <c r="J66" s="1628">
        <v>0.95</v>
      </c>
      <c r="K66" s="1629"/>
      <c r="L66" s="1629"/>
      <c r="M66" s="1629"/>
      <c r="N66" s="1629"/>
      <c r="O66" s="1629"/>
      <c r="P66" s="1629"/>
      <c r="Q66" s="1629"/>
      <c r="R66" s="1629"/>
    </row>
    <row r="67" spans="2:18" s="1623" customFormat="1" x14ac:dyDescent="0.2">
      <c r="B67" s="1631" t="str">
        <f>IF(Presentation!$D$2="Anglais",'TRAD-Data &amp; hypothesis Adults'!F67,IF(Presentation!$D$2="Français",'TRAD-Data &amp; hypothesis Adults'!D67,""))</f>
        <v>Proportion de patients en 3ème lignes</v>
      </c>
      <c r="D67" s="1617" t="s">
        <v>1240</v>
      </c>
      <c r="E67" s="1617"/>
      <c r="F67" s="1617" t="s">
        <v>831</v>
      </c>
      <c r="G67" s="1629"/>
      <c r="H67" s="1629"/>
      <c r="I67" s="1629"/>
      <c r="J67" s="1629"/>
      <c r="K67" s="1629"/>
      <c r="L67" s="1629"/>
      <c r="M67" s="1629"/>
      <c r="N67" s="1629"/>
      <c r="O67" s="1629"/>
      <c r="P67" s="1629"/>
      <c r="Q67" s="1629"/>
      <c r="R67" s="1629"/>
    </row>
    <row r="68" spans="2:18" s="1623" customFormat="1" x14ac:dyDescent="0.2">
      <c r="B68" s="1631" t="str">
        <f>IF(Presentation!$D$2="Anglais",'TRAD-Data &amp; hypothesis Adults'!F68,IF(Presentation!$D$2="Français",'TRAD-Data &amp; hypothesis Adults'!D68,""))</f>
        <v>OUI</v>
      </c>
      <c r="D68" s="1617" t="s">
        <v>848</v>
      </c>
      <c r="E68" s="1617"/>
      <c r="F68" s="1761" t="s">
        <v>436</v>
      </c>
      <c r="G68" s="1629"/>
      <c r="H68" s="1629"/>
      <c r="I68" s="1629"/>
      <c r="J68" s="1629"/>
      <c r="K68" s="1629"/>
      <c r="L68" s="1629"/>
      <c r="M68" s="1629"/>
      <c r="N68" s="1629"/>
      <c r="O68" s="1629"/>
      <c r="P68" s="1629"/>
      <c r="Q68" s="1629"/>
      <c r="R68" s="1629"/>
    </row>
    <row r="69" spans="2:18" s="1623" customFormat="1" x14ac:dyDescent="0.2">
      <c r="B69" s="1631" t="str">
        <f>IF(Presentation!$D$2="Anglais",'TRAD-Data &amp; hypothesis Adults'!F69,IF(Presentation!$D$2="Français",'TRAD-Data &amp; hypothesis Adults'!D69,""))</f>
        <v>NON</v>
      </c>
      <c r="D69" s="1617" t="s">
        <v>1518</v>
      </c>
      <c r="E69" s="1617"/>
      <c r="F69" s="1761" t="s">
        <v>1519</v>
      </c>
      <c r="G69" s="1629"/>
      <c r="H69" s="1629"/>
      <c r="I69" s="1629"/>
      <c r="J69" s="1629"/>
      <c r="K69" s="1629"/>
      <c r="L69" s="1629"/>
      <c r="M69" s="1629"/>
      <c r="N69" s="1629"/>
      <c r="O69" s="1629"/>
      <c r="P69" s="1629"/>
      <c r="Q69" s="1629"/>
      <c r="R69" s="1629"/>
    </row>
    <row r="70" spans="2:18" s="1623" customFormat="1" x14ac:dyDescent="0.2">
      <c r="B70" s="1631" t="str">
        <f>IF(Presentation!$D$2="Anglais",'TRAD-Data &amp; hypothesis Adults'!F70,IF(Presentation!$D$2="Français",'TRAD-Data &amp; hypothesis Adults'!D70,""))</f>
        <v>Année</v>
      </c>
      <c r="D70" s="1617" t="s">
        <v>843</v>
      </c>
      <c r="E70" s="1617"/>
      <c r="F70" s="1617" t="s">
        <v>423</v>
      </c>
      <c r="G70" s="1629"/>
      <c r="H70" s="1629"/>
      <c r="I70" s="1629"/>
      <c r="J70" s="1629"/>
      <c r="K70" s="1629"/>
      <c r="L70" s="1629"/>
      <c r="M70" s="1629"/>
      <c r="N70" s="1629"/>
      <c r="O70" s="1629"/>
      <c r="P70" s="1629"/>
      <c r="Q70" s="1629"/>
      <c r="R70" s="1629"/>
    </row>
    <row r="71" spans="2:18" s="1623" customFormat="1" ht="30" x14ac:dyDescent="0.2">
      <c r="B71" s="1631" t="str">
        <f>IF(Presentation!$D$2="Anglais",'TRAD-Data &amp; hypothesis Adults'!F71,IF(Presentation!$D$2="Français",'TRAD-Data &amp; hypothesis Adults'!D71,""))</f>
        <v>Proportion de patients en 3ème ligne sur les patients en 2ème lignes</v>
      </c>
      <c r="D71" s="1762" t="s">
        <v>1241</v>
      </c>
      <c r="E71" s="1762"/>
      <c r="F71" s="1762" t="s">
        <v>832</v>
      </c>
      <c r="G71" s="1629"/>
      <c r="H71" s="1629"/>
      <c r="I71" s="1629"/>
      <c r="J71" s="1629"/>
      <c r="K71" s="1629"/>
      <c r="L71" s="1629"/>
      <c r="M71" s="1629"/>
      <c r="N71" s="1629"/>
      <c r="O71" s="1629"/>
      <c r="P71" s="1629"/>
      <c r="Q71" s="1629"/>
      <c r="R71" s="1629"/>
    </row>
    <row r="72" spans="2:18" s="1623" customFormat="1" ht="30" x14ac:dyDescent="0.2">
      <c r="B72" s="1631" t="str">
        <f>IF(Presentation!$D$2="Anglais",'TRAD-Data &amp; hypothesis Adults'!F72,IF(Presentation!$D$2="Français",'TRAD-Data &amp; hypothesis Adults'!D72,""))</f>
        <v>Proportion des patients en 3ème ligne sur l'ensemble des patients</v>
      </c>
      <c r="D72" s="1617" t="s">
        <v>849</v>
      </c>
      <c r="E72" s="1617"/>
      <c r="F72" s="1617" t="s">
        <v>462</v>
      </c>
      <c r="G72" s="1629"/>
      <c r="H72" s="1629"/>
      <c r="I72" s="1629"/>
      <c r="J72" s="1629"/>
      <c r="K72" s="1629"/>
      <c r="L72" s="1629"/>
      <c r="M72" s="1629"/>
      <c r="N72" s="1629"/>
      <c r="O72" s="1629"/>
      <c r="P72" s="1629"/>
      <c r="Q72" s="1629"/>
      <c r="R72" s="1629"/>
    </row>
    <row r="73" spans="2:18" s="1623" customFormat="1" ht="30" x14ac:dyDescent="0.2">
      <c r="B73" s="1631" t="str">
        <f>IF(Presentation!$D$2="Anglais",'TRAD-Data &amp; hypothesis Adults'!F73,IF(Presentation!$D$2="Français",'TRAD-Data &amp; hypothesis Adults'!D73,""))</f>
        <v>Nombre de patients prévus en 3ème ligne à la fin de l'année</v>
      </c>
      <c r="D73" s="1617" t="s">
        <v>850</v>
      </c>
      <c r="E73" s="1617"/>
      <c r="F73" s="1617" t="s">
        <v>438</v>
      </c>
      <c r="G73" s="1657"/>
      <c r="H73" s="1628"/>
      <c r="I73" s="1658"/>
      <c r="J73" s="1657"/>
      <c r="K73" s="1657"/>
      <c r="L73" s="1629"/>
      <c r="M73" s="1629"/>
      <c r="N73" s="1629"/>
      <c r="O73" s="1629"/>
      <c r="P73" s="1629"/>
      <c r="Q73" s="1629"/>
      <c r="R73" s="1629"/>
    </row>
    <row r="74" spans="2:18" s="1623" customFormat="1" ht="30" x14ac:dyDescent="0.2">
      <c r="B74" s="1631" t="str">
        <f>IF(Presentation!$D$2="Anglais",'TRAD-Data &amp; hypothesis Adults'!F74,IF(Presentation!$D$2="Français",'TRAD-Data &amp; hypothesis Adults'!D74,""))</f>
        <v>Nombre total de patients suivis à la fin de la période quantifiée</v>
      </c>
      <c r="D74" s="1659" t="s">
        <v>878</v>
      </c>
      <c r="E74" s="1659"/>
      <c r="F74" s="1617" t="s">
        <v>434</v>
      </c>
      <c r="G74" s="1657"/>
      <c r="H74" s="1628"/>
      <c r="I74" s="1658"/>
      <c r="J74" s="1657"/>
      <c r="K74" s="1657"/>
      <c r="L74" s="1629"/>
      <c r="M74" s="1629"/>
      <c r="N74" s="1629"/>
      <c r="O74" s="1629"/>
      <c r="P74" s="1629"/>
      <c r="Q74" s="1629"/>
      <c r="R74" s="1629"/>
    </row>
    <row r="75" spans="2:18" s="1623" customFormat="1" x14ac:dyDescent="0.2">
      <c r="B75" s="1631" t="str">
        <f>IF(Presentation!$D$2="Anglais",'TRAD-Data &amp; hypothesis Adults'!F75,IF(Presentation!$D$2="Français",'TRAD-Data &amp; hypothesis Adults'!D75,""))</f>
        <v>Répartition selon les molécules de troisièmes lignes</v>
      </c>
      <c r="D75" s="1626" t="s">
        <v>898</v>
      </c>
      <c r="E75" s="1626"/>
      <c r="F75" s="1626" t="s">
        <v>463</v>
      </c>
      <c r="G75" s="1627"/>
      <c r="H75" s="1627"/>
      <c r="I75" s="1627"/>
      <c r="J75" s="1657"/>
      <c r="K75" s="1657"/>
      <c r="L75" s="1629"/>
      <c r="M75" s="1629"/>
      <c r="N75" s="1629"/>
      <c r="O75" s="1629"/>
      <c r="P75" s="1629"/>
      <c r="Q75" s="1629"/>
      <c r="R75" s="1629"/>
    </row>
    <row r="76" spans="2:18" s="1623" customFormat="1" x14ac:dyDescent="0.2">
      <c r="B76" s="1631" t="str">
        <f>IF(Presentation!$D$2="Anglais",'TRAD-Data &amp; hypothesis Adults'!F76,IF(Presentation!$D$2="Français",'TRAD-Data &amp; hypothesis Adults'!D76,""))</f>
        <v>Répartition</v>
      </c>
      <c r="D76" s="1626" t="s">
        <v>899</v>
      </c>
      <c r="E76" s="1626"/>
      <c r="F76" s="1626" t="s">
        <v>460</v>
      </c>
      <c r="G76" s="1627"/>
      <c r="H76" s="1627"/>
      <c r="I76" s="1627"/>
      <c r="J76" s="1657"/>
      <c r="K76" s="1657"/>
      <c r="L76" s="1629"/>
      <c r="M76" s="1629"/>
      <c r="N76" s="1629"/>
      <c r="O76" s="1629"/>
      <c r="P76" s="1629"/>
      <c r="Q76" s="1629"/>
      <c r="R76" s="1629"/>
    </row>
    <row r="77" spans="2:18" s="1623" customFormat="1" x14ac:dyDescent="0.2">
      <c r="B77" s="1631" t="str">
        <f>IF(Presentation!$D$2="Anglais",'TRAD-Data &amp; hypothesis Adults'!F77,IF(Presentation!$D$2="Français",'TRAD-Data &amp; hypothesis Adults'!D77,""))</f>
        <v>3èmes lignes</v>
      </c>
      <c r="D77" s="1617" t="s">
        <v>187</v>
      </c>
      <c r="E77" s="1617"/>
      <c r="F77" s="1617" t="s">
        <v>428</v>
      </c>
      <c r="G77" s="1657"/>
      <c r="H77" s="1628"/>
      <c r="I77" s="1658"/>
      <c r="J77" s="1657"/>
      <c r="K77" s="1657"/>
      <c r="L77" s="1629"/>
      <c r="M77" s="1629"/>
      <c r="N77" s="1629"/>
      <c r="O77" s="1629"/>
      <c r="P77" s="1629"/>
      <c r="Q77" s="1629"/>
      <c r="R77" s="1629"/>
    </row>
    <row r="78" spans="2:18" s="1623" customFormat="1" x14ac:dyDescent="0.2">
      <c r="B78" s="1631" t="str">
        <f>IF(Presentation!$D$2="Anglais",'TRAD-Data &amp; hypothesis Adults'!F78,IF(Presentation!$D$2="Français",'TRAD-Data &amp; hypothesis Adults'!D78,""))</f>
        <v>Commentaires</v>
      </c>
      <c r="D78" s="1617" t="s">
        <v>242</v>
      </c>
      <c r="E78" s="1617"/>
      <c r="F78" s="1617" t="s">
        <v>440</v>
      </c>
      <c r="G78" s="1629"/>
      <c r="H78" s="1629"/>
      <c r="I78" s="1629"/>
      <c r="J78" s="1629"/>
      <c r="K78" s="1629"/>
      <c r="L78" s="1629"/>
      <c r="M78" s="1629"/>
      <c r="N78" s="1629"/>
      <c r="O78" s="1629"/>
      <c r="P78" s="1629"/>
      <c r="Q78" s="1629"/>
      <c r="R78" s="1629"/>
    </row>
    <row r="79" spans="2:18" s="1623" customFormat="1" ht="30" x14ac:dyDescent="0.2">
      <c r="B79" s="1631" t="str">
        <f>IF(Presentation!$D$2="Anglais",'TRAD-Data &amp; hypothesis Adults'!F79,IF(Presentation!$D$2="Français",'TRAD-Data &amp; hypothesis Adults'!D79,""))</f>
        <v>les quantités de RTV sont calculées en fonction du boost défini ci-dessous</v>
      </c>
      <c r="D79" s="1617" t="s">
        <v>851</v>
      </c>
      <c r="E79" s="1617"/>
      <c r="F79" s="1617" t="s">
        <v>441</v>
      </c>
      <c r="G79" s="1629"/>
      <c r="H79" s="1629"/>
      <c r="I79" s="1629"/>
      <c r="J79" s="1629"/>
      <c r="K79" s="1629"/>
      <c r="L79" s="1629"/>
      <c r="M79" s="1629"/>
      <c r="N79" s="1629"/>
      <c r="O79" s="1629"/>
      <c r="P79" s="1629"/>
      <c r="Q79" s="1629"/>
      <c r="R79" s="1629"/>
    </row>
    <row r="80" spans="2:18" s="1623" customFormat="1" ht="60" x14ac:dyDescent="0.2">
      <c r="B80" s="1631" t="str">
        <f>IF(Presentation!$D$2="Anglais",'TRAD-Data &amp; hypothesis Adults'!F80,IF(Presentation!$D$2="Français",'TRAD-Data &amp; hypothesis Adults'!D80,""))</f>
        <v>Attention à l'utilisation du pourcentage total. Pour couvrir les besoins d'une trithérapie, il faut donc un total de 200 / 300 % en fonction des produits voulus. Une marge peut être prise en compte.</v>
      </c>
      <c r="D80" s="1617" t="s">
        <v>852</v>
      </c>
      <c r="E80" s="1617"/>
      <c r="F80" s="1617" t="s">
        <v>564</v>
      </c>
      <c r="G80" s="1629"/>
      <c r="H80" s="1629"/>
      <c r="I80" s="1629"/>
      <c r="J80" s="1629"/>
      <c r="K80" s="1629"/>
      <c r="L80" s="1629"/>
      <c r="M80" s="1629"/>
      <c r="N80" s="1629"/>
      <c r="O80" s="1629"/>
      <c r="P80" s="1629"/>
      <c r="Q80" s="1629"/>
      <c r="R80" s="1629"/>
    </row>
    <row r="81" spans="2:18" s="1623" customFormat="1" x14ac:dyDescent="0.2">
      <c r="B81" s="1631" t="str">
        <f>IF(Presentation!$D$2="Anglais",'TRAD-Data &amp; hypothesis Adults'!F81,IF(Presentation!$D$2="Français",'TRAD-Data &amp; hypothesis Adults'!D81,""))</f>
        <v>Le boost par RTV a été considéré ainsi :</v>
      </c>
      <c r="D81" s="1617" t="s">
        <v>853</v>
      </c>
      <c r="E81" s="1617"/>
      <c r="F81" s="1617" t="s">
        <v>442</v>
      </c>
      <c r="G81" s="1629"/>
      <c r="H81" s="1629"/>
      <c r="I81" s="1629"/>
      <c r="J81" s="1629"/>
      <c r="K81" s="1629"/>
      <c r="L81" s="1629"/>
      <c r="M81" s="1629"/>
      <c r="N81" s="1629"/>
      <c r="O81" s="1629"/>
      <c r="P81" s="1629"/>
      <c r="Q81" s="1629"/>
      <c r="R81" s="1629"/>
    </row>
    <row r="82" spans="2:18" s="1623" customFormat="1" x14ac:dyDescent="0.2">
      <c r="B82" s="1631" t="str">
        <f>IF(Presentation!$D$2="Anglais",'TRAD-Data &amp; hypothesis Adults'!F82,IF(Presentation!$D$2="Français",'TRAD-Data &amp; hypothesis Adults'!D82,""))</f>
        <v>2 caps RTV / j</v>
      </c>
      <c r="D82" s="1617" t="s">
        <v>854</v>
      </c>
      <c r="E82" s="1617"/>
      <c r="F82" s="1617" t="s">
        <v>465</v>
      </c>
      <c r="G82" s="1629"/>
      <c r="H82" s="1629"/>
      <c r="I82" s="1629"/>
      <c r="J82" s="1629"/>
      <c r="K82" s="1629"/>
      <c r="L82" s="1629"/>
      <c r="M82" s="1629"/>
      <c r="N82" s="1629"/>
      <c r="O82" s="1629"/>
      <c r="P82" s="1629"/>
      <c r="Q82" s="1629"/>
      <c r="R82" s="1629"/>
    </row>
    <row r="83" spans="2:18" s="1623" customFormat="1" x14ac:dyDescent="0.2">
      <c r="B83" s="1631" t="str">
        <f>IF(Presentation!$D$2="Anglais",'TRAD-Data &amp; hypothesis Adults'!F83,IF(Presentation!$D$2="Français",'TRAD-Data &amp; hypothesis Adults'!D83,""))</f>
        <v>Proportion DDI 250 mg vs 400 mg</v>
      </c>
      <c r="D83" s="1626" t="s">
        <v>900</v>
      </c>
      <c r="E83" s="1626"/>
      <c r="F83" s="1626" t="s">
        <v>443</v>
      </c>
      <c r="G83" s="1627"/>
      <c r="H83" s="1627"/>
      <c r="I83" s="1627"/>
      <c r="J83" s="1629"/>
      <c r="K83" s="1629"/>
      <c r="L83" s="1629"/>
      <c r="M83" s="1629"/>
      <c r="N83" s="1629"/>
      <c r="O83" s="1629"/>
      <c r="P83" s="1629"/>
      <c r="Q83" s="1629"/>
      <c r="R83" s="1629"/>
    </row>
    <row r="84" spans="2:18" s="1623" customFormat="1" x14ac:dyDescent="0.2">
      <c r="B84" s="1631" t="str">
        <f>IF(Presentation!$D$2="Anglais",'TRAD-Data &amp; hypothesis Adults'!F84,IF(Presentation!$D$2="Français",'TRAD-Data &amp; hypothesis Adults'!D84,""))</f>
        <v>Proportion de patients ayant un poids &lt; 60 kg</v>
      </c>
      <c r="D84" s="1617" t="s">
        <v>855</v>
      </c>
      <c r="E84" s="1617"/>
      <c r="F84" s="1617" t="s">
        <v>494</v>
      </c>
      <c r="G84" s="1629"/>
      <c r="H84" s="1629"/>
      <c r="I84" s="1629"/>
      <c r="J84" s="1629"/>
      <c r="K84" s="1629"/>
      <c r="L84" s="1629"/>
      <c r="M84" s="1629"/>
      <c r="N84" s="1629"/>
      <c r="O84" s="1629"/>
      <c r="P84" s="1629"/>
      <c r="Q84" s="1629"/>
      <c r="R84" s="1629"/>
    </row>
    <row r="85" spans="2:18" s="1623" customFormat="1" x14ac:dyDescent="0.2">
      <c r="B85" s="1631" t="str">
        <f>IF(Presentation!$D$2="Anglais",'TRAD-Data &amp; hypothesis Adults'!F85,IF(Presentation!$D$2="Français",'TRAD-Data &amp; hypothesis Adults'!D85,""))</f>
        <v>Proportion de patients ayant un poids &gt; 60 kg</v>
      </c>
      <c r="D85" s="1617" t="s">
        <v>857</v>
      </c>
      <c r="E85" s="1617"/>
      <c r="F85" s="1617" t="s">
        <v>495</v>
      </c>
      <c r="G85" s="1629"/>
      <c r="H85" s="1628"/>
      <c r="I85" s="1763"/>
      <c r="J85" s="1629"/>
      <c r="K85" s="1763"/>
      <c r="L85" s="1629"/>
      <c r="M85" s="1629"/>
      <c r="N85" s="1629"/>
      <c r="O85" s="1629"/>
      <c r="P85" s="1629"/>
      <c r="Q85" s="1629"/>
      <c r="R85" s="1629"/>
    </row>
    <row r="86" spans="2:18" s="1623" customFormat="1" x14ac:dyDescent="0.2">
      <c r="B86" s="1631" t="str">
        <f>IF(Presentation!$D$2="Anglais",'TRAD-Data &amp; hypothesis Adults'!F86,IF(Presentation!$D$2="Français",'TRAD-Data &amp; hypothesis Adults'!D86,""))</f>
        <v>Valeurs courantes</v>
      </c>
      <c r="D86" s="1764" t="s">
        <v>856</v>
      </c>
      <c r="E86" s="1764"/>
      <c r="F86" s="1764" t="s">
        <v>444</v>
      </c>
      <c r="G86" s="1629"/>
      <c r="H86" s="1628"/>
      <c r="I86" s="1763"/>
      <c r="J86" s="1763"/>
      <c r="K86" s="1763"/>
      <c r="L86" s="1629"/>
      <c r="M86" s="1629"/>
      <c r="N86" s="1629"/>
      <c r="O86" s="1629"/>
      <c r="P86" s="1629"/>
      <c r="Q86" s="1629"/>
      <c r="R86" s="1629"/>
    </row>
    <row r="87" spans="2:18" s="1623" customFormat="1" x14ac:dyDescent="0.2">
      <c r="B87" s="1631" t="str">
        <f>IF(Presentation!$D$2="Anglais",'TRAD-Data &amp; hypothesis Adults'!F87,IF(Presentation!$D$2="Français",'TRAD-Data &amp; hypothesis Adults'!D87,""))</f>
        <v>Commentaires</v>
      </c>
      <c r="D87" s="1617" t="s">
        <v>242</v>
      </c>
      <c r="E87" s="1617"/>
      <c r="F87" s="1617" t="s">
        <v>440</v>
      </c>
      <c r="G87" s="1629"/>
      <c r="H87" s="1629"/>
      <c r="I87" s="1629"/>
      <c r="J87" s="1629"/>
      <c r="K87" s="1629"/>
      <c r="L87" s="1629"/>
      <c r="M87" s="1629"/>
      <c r="N87" s="1629"/>
      <c r="O87" s="1629"/>
      <c r="P87" s="1629"/>
      <c r="Q87" s="1629"/>
      <c r="R87" s="1629"/>
    </row>
    <row r="88" spans="2:18" s="1623" customFormat="1" ht="30" x14ac:dyDescent="0.2">
      <c r="B88" s="1631" t="str">
        <f>IF(Presentation!$D$2="Anglais",'TRAD-Data &amp; hypothesis Adults'!F88,IF(Presentation!$D$2="Français",'TRAD-Data &amp; hypothesis Adults'!D88,""))</f>
        <v>le total des 2 peut être supérieur à 100% afin de garantir une marge</v>
      </c>
      <c r="D88" s="1617" t="s">
        <v>858</v>
      </c>
      <c r="E88" s="1617"/>
      <c r="F88" s="1617" t="s">
        <v>565</v>
      </c>
      <c r="G88" s="1629"/>
      <c r="H88" s="1629"/>
      <c r="I88" s="1629"/>
      <c r="J88" s="1629"/>
      <c r="K88" s="1629"/>
      <c r="L88" s="1629"/>
      <c r="M88" s="1629"/>
      <c r="N88" s="1629"/>
      <c r="O88" s="1629"/>
      <c r="P88" s="1629"/>
      <c r="Q88" s="1629"/>
      <c r="R88" s="1629"/>
    </row>
    <row r="89" spans="2:18" s="1623" customFormat="1" ht="30" x14ac:dyDescent="0.2">
      <c r="B89" s="1631" t="str">
        <f>IF(Presentation!$D$2="Anglais",'TRAD-Data &amp; hypothesis Adults'!F89,IF(Presentation!$D$2="Français",'TRAD-Data &amp; hypothesis Adults'!D89,""))</f>
        <v>Sélection des schémas thérapeutiques et formes galéniques souhaitées</v>
      </c>
      <c r="D89" s="1617" t="s">
        <v>879</v>
      </c>
      <c r="E89" s="1617"/>
      <c r="F89" s="1617" t="s">
        <v>496</v>
      </c>
      <c r="G89" s="1629"/>
      <c r="H89" s="1629"/>
      <c r="I89" s="1629"/>
      <c r="J89" s="1629"/>
      <c r="K89" s="1629"/>
      <c r="L89" s="1629"/>
      <c r="M89" s="1629"/>
      <c r="N89" s="1629"/>
      <c r="O89" s="1629"/>
      <c r="P89" s="1629"/>
      <c r="Q89" s="1629"/>
      <c r="R89" s="1629"/>
    </row>
    <row r="90" spans="2:18" s="1623" customFormat="1" ht="30" x14ac:dyDescent="0.2">
      <c r="B90" s="1631" t="str">
        <f>IF(Presentation!$D$2="Anglais",'TRAD-Data &amp; hypothesis Adults'!F90,IF(Presentation!$D$2="Français",'TRAD-Data &amp; hypothesis Adults'!D90,""))</f>
        <v>Choisir le schéma thérapeutique qui sera le plus utilisé, au regard des besoins</v>
      </c>
      <c r="D90" s="1617" t="s">
        <v>901</v>
      </c>
      <c r="E90" s="1617"/>
      <c r="F90" s="1617" t="s">
        <v>567</v>
      </c>
      <c r="G90" s="1617"/>
      <c r="H90" s="1617"/>
      <c r="I90" s="1617"/>
      <c r="J90" s="1617"/>
      <c r="K90" s="1617"/>
      <c r="L90" s="1617"/>
      <c r="M90" s="1617"/>
      <c r="N90" s="1617"/>
      <c r="O90" s="1617"/>
      <c r="P90" s="1617"/>
      <c r="Q90" s="1629"/>
      <c r="R90" s="1629"/>
    </row>
    <row r="91" spans="2:18" s="1623" customFormat="1" ht="30" x14ac:dyDescent="0.2">
      <c r="B91" s="1631" t="str">
        <f>IF(Presentation!$D$2="Anglais",'TRAD-Data &amp; hypothesis Adults'!F91,IF(Presentation!$D$2="Français",'TRAD-Data &amp; hypothesis Adults'!D91,""))</f>
        <v>Ne choisir qu'un seul schéma thérapeutique et une forme galénique</v>
      </c>
      <c r="D91" s="1617" t="s">
        <v>880</v>
      </c>
      <c r="E91" s="1617"/>
      <c r="F91" s="1617" t="s">
        <v>1454</v>
      </c>
      <c r="G91" s="1629"/>
      <c r="H91" s="1629"/>
      <c r="I91" s="1629"/>
      <c r="J91" s="1629"/>
      <c r="K91" s="1629"/>
      <c r="L91" s="1629"/>
      <c r="M91" s="1629"/>
      <c r="N91" s="1629"/>
      <c r="O91" s="1629"/>
      <c r="P91" s="1629"/>
      <c r="Q91" s="1629"/>
      <c r="R91" s="1629"/>
    </row>
    <row r="92" spans="2:18" s="1623" customFormat="1" x14ac:dyDescent="0.2">
      <c r="B92" s="1631" t="str">
        <f>IF(Presentation!$D$2="Anglais",'TRAD-Data &amp; hypothesis Adults'!F92,IF(Presentation!$D$2="Français",'TRAD-Data &amp; hypothesis Adults'!D92,""))</f>
        <v>Initiation du schéma NVP</v>
      </c>
      <c r="D92" s="1626" t="s">
        <v>881</v>
      </c>
      <c r="E92" s="1626"/>
      <c r="F92" s="1626" t="s">
        <v>631</v>
      </c>
      <c r="G92" s="1627"/>
      <c r="H92" s="1627"/>
      <c r="I92" s="1627"/>
      <c r="J92" s="1629"/>
      <c r="K92" s="1660"/>
      <c r="L92" s="1660"/>
      <c r="M92" s="1660"/>
      <c r="N92" s="1660"/>
      <c r="O92" s="1660"/>
      <c r="P92" s="1660"/>
      <c r="Q92" s="1660"/>
      <c r="R92" s="1660"/>
    </row>
    <row r="93" spans="2:18" s="1623" customFormat="1" x14ac:dyDescent="0.2">
      <c r="B93" s="1631" t="str">
        <f>IF(Presentation!$D$2="Anglais",'TRAD-Data &amp; hypothesis Adults'!F93,IF(Presentation!$D$2="Français",'TRAD-Data &amp; hypothesis Adults'!D93,""))</f>
        <v>Schéma thérapeutique</v>
      </c>
      <c r="D93" s="1617" t="s">
        <v>180</v>
      </c>
      <c r="E93" s="1617"/>
      <c r="F93" s="1617" t="s">
        <v>445</v>
      </c>
      <c r="G93" s="1629"/>
      <c r="H93" s="1629"/>
      <c r="I93" s="1629"/>
      <c r="J93" s="1629"/>
      <c r="K93" s="1629"/>
      <c r="L93" s="1629"/>
      <c r="M93" s="1629"/>
      <c r="N93" s="1629"/>
      <c r="O93" s="1629"/>
      <c r="P93" s="1629"/>
      <c r="Q93" s="1629"/>
      <c r="R93" s="1629"/>
    </row>
    <row r="94" spans="2:18" s="1623" customFormat="1" x14ac:dyDescent="0.2">
      <c r="B94" s="1631" t="str">
        <f>IF(Presentation!$D$2="Anglais",'TRAD-Data &amp; hypothesis Adults'!F94,IF(Presentation!$D$2="Français",'TRAD-Data &amp; hypothesis Adults'!D94,""))</f>
        <v>Option choisie</v>
      </c>
      <c r="D94" s="1617" t="s">
        <v>860</v>
      </c>
      <c r="E94" s="1617"/>
      <c r="F94" s="1617" t="s">
        <v>446</v>
      </c>
      <c r="G94" s="1629"/>
      <c r="H94" s="1629"/>
      <c r="I94" s="1629"/>
      <c r="J94" s="1629"/>
      <c r="K94" s="1629"/>
      <c r="L94" s="1629"/>
      <c r="M94" s="1629"/>
      <c r="N94" s="1629"/>
      <c r="O94" s="1629"/>
      <c r="P94" s="1629"/>
      <c r="Q94" s="1629"/>
      <c r="R94" s="1629"/>
    </row>
    <row r="95" spans="2:18" s="1623" customFormat="1" x14ac:dyDescent="0.2">
      <c r="B95" s="1631" t="str">
        <f>IF(Presentation!$D$2="Anglais",'TRAD-Data &amp; hypothesis Adults'!F95,IF(Presentation!$D$2="Français",'TRAD-Data &amp; hypothesis Adults'!D95,""))</f>
        <v>Médicament 1</v>
      </c>
      <c r="D95" s="1617" t="s">
        <v>861</v>
      </c>
      <c r="E95" s="1617"/>
      <c r="F95" s="1617" t="s">
        <v>497</v>
      </c>
      <c r="G95" s="1629"/>
      <c r="H95" s="1629"/>
      <c r="I95" s="1629"/>
      <c r="J95" s="1629"/>
      <c r="K95" s="1629"/>
      <c r="L95" s="1629"/>
      <c r="M95" s="1629"/>
      <c r="N95" s="1629"/>
      <c r="O95" s="1629"/>
      <c r="P95" s="1629"/>
      <c r="Q95" s="1629"/>
      <c r="R95" s="1629"/>
    </row>
    <row r="96" spans="2:18" s="1623" customFormat="1" x14ac:dyDescent="0.2">
      <c r="B96" s="1631" t="str">
        <f>IF(Presentation!$D$2="Anglais",'TRAD-Data &amp; hypothesis Adults'!F96,IF(Presentation!$D$2="Français",'TRAD-Data &amp; hypothesis Adults'!D96,""))</f>
        <v>Médicament 2</v>
      </c>
      <c r="D96" s="1617" t="s">
        <v>862</v>
      </c>
      <c r="E96" s="1617"/>
      <c r="F96" s="1617" t="s">
        <v>498</v>
      </c>
      <c r="G96" s="1629"/>
      <c r="H96" s="1629"/>
      <c r="I96" s="1629"/>
      <c r="J96" s="1629"/>
      <c r="K96" s="1629"/>
      <c r="L96" s="1629"/>
      <c r="M96" s="1629"/>
      <c r="N96" s="1629"/>
      <c r="O96" s="1629"/>
      <c r="P96" s="1629"/>
      <c r="Q96" s="1629"/>
      <c r="R96" s="1629"/>
    </row>
    <row r="97" spans="2:18" s="1623" customFormat="1" x14ac:dyDescent="0.2">
      <c r="B97" s="1631" t="str">
        <f>IF(Presentation!$D$2="Anglais",'TRAD-Data &amp; hypothesis Adults'!F97,IF(Presentation!$D$2="Français",'TRAD-Data &amp; hypothesis Adults'!D97,""))</f>
        <v>Médicament</v>
      </c>
      <c r="D97" s="1617" t="s">
        <v>882</v>
      </c>
      <c r="E97" s="1617"/>
      <c r="F97" s="1617" t="s">
        <v>499</v>
      </c>
      <c r="G97" s="1629"/>
      <c r="H97" s="1629"/>
      <c r="I97" s="1629"/>
      <c r="J97" s="1629"/>
      <c r="K97" s="1629"/>
      <c r="L97" s="1629"/>
      <c r="M97" s="1629"/>
      <c r="N97" s="1629"/>
      <c r="O97" s="1629"/>
      <c r="P97" s="1629"/>
      <c r="Q97" s="1629"/>
      <c r="R97" s="1629"/>
    </row>
    <row r="98" spans="2:18" s="1623" customFormat="1" x14ac:dyDescent="0.2">
      <c r="B98" s="1631" t="str">
        <f>IF(Presentation!$D$2="Anglais",'TRAD-Data &amp; hypothesis Adults'!F98,IF(Presentation!$D$2="Français",'TRAD-Data &amp; hypothesis Adults'!D98,""))</f>
        <v>Commentaires</v>
      </c>
      <c r="D98" s="1617" t="s">
        <v>242</v>
      </c>
      <c r="E98" s="1617"/>
      <c r="F98" s="1617" t="s">
        <v>413</v>
      </c>
      <c r="G98" s="1629"/>
      <c r="H98" s="1629"/>
      <c r="I98" s="1629"/>
      <c r="J98" s="1629"/>
      <c r="K98" s="1629"/>
      <c r="L98" s="1629"/>
      <c r="M98" s="1629"/>
      <c r="N98" s="1629"/>
      <c r="O98" s="1629"/>
      <c r="P98" s="1629"/>
      <c r="Q98" s="1629"/>
      <c r="R98" s="1629"/>
    </row>
    <row r="99" spans="2:18" s="1623" customFormat="1" x14ac:dyDescent="0.2">
      <c r="B99" s="1631" t="str">
        <f>IF(Presentation!$D$2="Anglais",'TRAD-Data &amp; hypothesis Adults'!F99,IF(Presentation!$D$2="Français",'TRAD-Data &amp; hypothesis Adults'!D99,""))</f>
        <v>AZT+3TC 1cp/j</v>
      </c>
      <c r="D99" s="1617" t="s">
        <v>863</v>
      </c>
      <c r="E99" s="1617"/>
      <c r="F99" s="1617" t="s">
        <v>500</v>
      </c>
      <c r="G99" s="1629"/>
      <c r="H99" s="1756"/>
      <c r="I99" s="1629"/>
      <c r="J99" s="1629"/>
      <c r="K99" s="1629"/>
      <c r="L99" s="1629"/>
      <c r="M99" s="1629"/>
      <c r="N99" s="1629"/>
      <c r="O99" s="1629"/>
      <c r="P99" s="1660"/>
      <c r="Q99" s="1660"/>
      <c r="R99" s="1660"/>
    </row>
    <row r="100" spans="2:18" s="1623" customFormat="1" x14ac:dyDescent="0.2">
      <c r="B100" s="1631" t="str">
        <f>IF(Presentation!$D$2="Anglais",'TRAD-Data &amp; hypothesis Adults'!F100,IF(Presentation!$D$2="Français",'TRAD-Data &amp; hypothesis Adults'!D100,""))</f>
        <v>AZT+3TC 2cp/j</v>
      </c>
      <c r="D100" s="1617" t="s">
        <v>866</v>
      </c>
      <c r="E100" s="1617"/>
      <c r="F100" s="1617" t="s">
        <v>502</v>
      </c>
      <c r="G100" s="1660"/>
      <c r="H100" s="1756"/>
      <c r="I100" s="1629"/>
      <c r="J100" s="1629"/>
      <c r="K100" s="1629"/>
      <c r="L100" s="1629"/>
      <c r="M100" s="1629"/>
      <c r="N100" s="1629"/>
      <c r="O100" s="1629"/>
      <c r="P100" s="1660"/>
      <c r="Q100" s="1660"/>
      <c r="R100" s="1660"/>
    </row>
    <row r="101" spans="2:18" s="1623" customFormat="1" x14ac:dyDescent="0.2">
      <c r="B101" s="1631" t="str">
        <f>IF(Presentation!$D$2="Anglais",'TRAD-Data &amp; hypothesis Adults'!F101,IF(Presentation!$D$2="Français",'TRAD-Data &amp; hypothesis Adults'!D101,""))</f>
        <v>D4T+3TC 1cp/j</v>
      </c>
      <c r="D101" s="1617" t="s">
        <v>868</v>
      </c>
      <c r="E101" s="1617"/>
      <c r="F101" s="1617" t="s">
        <v>504</v>
      </c>
      <c r="G101" s="1629"/>
      <c r="H101" s="1756"/>
      <c r="I101" s="1629"/>
      <c r="J101" s="1629"/>
      <c r="K101" s="1629"/>
      <c r="L101" s="1629"/>
      <c r="M101" s="1629"/>
      <c r="N101" s="1629"/>
      <c r="O101" s="1629"/>
      <c r="P101" s="1660"/>
      <c r="Q101" s="1660"/>
      <c r="R101" s="1660"/>
    </row>
    <row r="102" spans="2:18" s="1623" customFormat="1" x14ac:dyDescent="0.2">
      <c r="B102" s="1631" t="str">
        <f>IF(Presentation!$D$2="Anglais",'TRAD-Data &amp; hypothesis Adults'!F102,IF(Presentation!$D$2="Français",'TRAD-Data &amp; hypothesis Adults'!D102,""))</f>
        <v>D4T+3TC 2cp/j</v>
      </c>
      <c r="D102" s="1617" t="s">
        <v>871</v>
      </c>
      <c r="E102" s="1617"/>
      <c r="F102" s="1617" t="s">
        <v>506</v>
      </c>
      <c r="G102" s="1660"/>
      <c r="H102" s="1756"/>
      <c r="I102" s="1629"/>
      <c r="J102" s="1629"/>
      <c r="K102" s="1629"/>
      <c r="L102" s="1629"/>
      <c r="M102" s="1629"/>
      <c r="N102" s="1629"/>
      <c r="O102" s="1629"/>
      <c r="P102" s="1660"/>
      <c r="Q102" s="1660"/>
      <c r="R102" s="1660"/>
    </row>
    <row r="103" spans="2:18" s="1623" customFormat="1" x14ac:dyDescent="0.2">
      <c r="B103" s="1631" t="str">
        <f>IF(Presentation!$D$2="Anglais",'TRAD-Data &amp; hypothesis Adults'!F103,IF(Presentation!$D$2="Français",'TRAD-Data &amp; hypothesis Adults'!D103,""))</f>
        <v>Selection</v>
      </c>
      <c r="D103" s="1626" t="s">
        <v>633</v>
      </c>
      <c r="E103" s="1626"/>
      <c r="F103" s="1626" t="s">
        <v>633</v>
      </c>
      <c r="G103" s="1627"/>
      <c r="H103" s="1627"/>
      <c r="I103" s="1627"/>
      <c r="J103" s="1660"/>
      <c r="K103" s="1660"/>
      <c r="L103" s="1660"/>
      <c r="M103" s="1660"/>
      <c r="N103" s="1660"/>
      <c r="O103" s="1660"/>
      <c r="P103" s="1660"/>
      <c r="Q103" s="1660"/>
      <c r="R103" s="1660"/>
    </row>
    <row r="104" spans="2:18" s="1623" customFormat="1" x14ac:dyDescent="0.2">
      <c r="B104" s="1631" t="str">
        <f>IF(Presentation!$D$2="Anglais",'TRAD-Data &amp; hypothesis Adults'!F104,IF(Presentation!$D$2="Français",'TRAD-Data &amp; hypothesis Adults'!D104,""))</f>
        <v>AZT+3TC+NVP 1cp/j</v>
      </c>
      <c r="D104" s="1617" t="s">
        <v>864</v>
      </c>
      <c r="E104" s="1617"/>
      <c r="F104" s="1617" t="s">
        <v>501</v>
      </c>
      <c r="G104" s="1629"/>
      <c r="H104" s="1629"/>
      <c r="I104" s="1629"/>
      <c r="J104" s="1629"/>
      <c r="K104" s="1629"/>
      <c r="L104" s="1629"/>
      <c r="M104" s="1629"/>
      <c r="N104" s="1629"/>
      <c r="O104" s="1629"/>
      <c r="P104" s="1629"/>
      <c r="Q104" s="1629"/>
      <c r="R104" s="1629"/>
    </row>
    <row r="105" spans="2:18" s="1623" customFormat="1" x14ac:dyDescent="0.2">
      <c r="B105" s="1631" t="str">
        <f>IF(Presentation!$D$2="Anglais",'TRAD-Data &amp; hypothesis Adults'!F105,IF(Presentation!$D$2="Français",'TRAD-Data &amp; hypothesis Adults'!D105,""))</f>
        <v>NVP 1cp/j</v>
      </c>
      <c r="D105" s="1617" t="s">
        <v>867</v>
      </c>
      <c r="E105" s="1617"/>
      <c r="F105" s="1617" t="s">
        <v>503</v>
      </c>
      <c r="G105" s="1629"/>
      <c r="H105" s="1629"/>
      <c r="I105" s="1629"/>
      <c r="J105" s="1629"/>
      <c r="K105" s="1629"/>
      <c r="L105" s="1629"/>
      <c r="M105" s="1629"/>
      <c r="N105" s="1629"/>
      <c r="O105" s="1629"/>
      <c r="P105" s="1629"/>
      <c r="Q105" s="1629"/>
      <c r="R105" s="1629"/>
    </row>
    <row r="106" spans="2:18" s="1623" customFormat="1" x14ac:dyDescent="0.2">
      <c r="B106" s="1631" t="str">
        <f>IF(Presentation!$D$2="Anglais",'TRAD-Data &amp; hypothesis Adults'!F106,IF(Presentation!$D$2="Français",'TRAD-Data &amp; hypothesis Adults'!D106,""))</f>
        <v>D4T+3TC+NVP 1cp/j</v>
      </c>
      <c r="D106" s="1617" t="s">
        <v>869</v>
      </c>
      <c r="E106" s="1617"/>
      <c r="F106" s="1617" t="s">
        <v>505</v>
      </c>
      <c r="G106" s="1629"/>
      <c r="H106" s="1629"/>
      <c r="I106" s="1629"/>
      <c r="J106" s="1629"/>
      <c r="K106" s="1629"/>
      <c r="L106" s="1629"/>
      <c r="M106" s="1629"/>
      <c r="N106" s="1629"/>
      <c r="O106" s="1629"/>
      <c r="P106" s="1629"/>
      <c r="Q106" s="1629"/>
      <c r="R106" s="1629"/>
    </row>
    <row r="107" spans="2:18" s="1623" customFormat="1" x14ac:dyDescent="0.2">
      <c r="B107" s="1631" t="str">
        <f>IF(Presentation!$D$2="Anglais",'TRAD-Data &amp; hypothesis Adults'!F107,IF(Presentation!$D$2="Français",'TRAD-Data &amp; hypothesis Adults'!D107,""))</f>
        <v>NVP 1cp/j</v>
      </c>
      <c r="D107" s="1617" t="s">
        <v>867</v>
      </c>
      <c r="E107" s="1617"/>
      <c r="F107" s="1617" t="s">
        <v>503</v>
      </c>
      <c r="G107" s="1629"/>
      <c r="H107" s="1629"/>
      <c r="I107" s="1629"/>
      <c r="J107" s="1629"/>
      <c r="K107" s="1629"/>
      <c r="L107" s="1629"/>
      <c r="M107" s="1629"/>
      <c r="N107" s="1629"/>
      <c r="O107" s="1629"/>
      <c r="P107" s="1629"/>
      <c r="Q107" s="1629"/>
      <c r="R107" s="1629"/>
    </row>
    <row r="108" spans="2:18" s="1623" customFormat="1" ht="30" x14ac:dyDescent="0.2">
      <c r="B108" s="1631" t="str">
        <f>IF(Presentation!$D$2="Anglais",'TRAD-Data &amp; hypothesis Adults'!F108,IF(Presentation!$D$2="Français",'TRAD-Data &amp; hypothesis Adults'!D108,""))</f>
        <v>Dans ce cas on considère 1 boite et 15 cp de AZT+3TC+NVP le premier mois</v>
      </c>
      <c r="D108" s="1617" t="s">
        <v>865</v>
      </c>
      <c r="E108" s="1617"/>
      <c r="F108" s="1617" t="s">
        <v>1455</v>
      </c>
      <c r="G108" s="1617"/>
      <c r="H108" s="1617"/>
      <c r="I108" s="1617"/>
      <c r="J108" s="1629"/>
      <c r="K108" s="1629"/>
      <c r="L108" s="1629"/>
      <c r="M108" s="1629"/>
      <c r="N108" s="1629"/>
      <c r="O108" s="1629"/>
      <c r="P108" s="1629"/>
      <c r="Q108" s="1629"/>
      <c r="R108" s="1629"/>
    </row>
    <row r="109" spans="2:18" s="1623" customFormat="1" ht="30" x14ac:dyDescent="0.2">
      <c r="B109" s="1631" t="str">
        <f>IF(Presentation!$D$2="Anglais",'TRAD-Data &amp; hypothesis Adults'!F109,IF(Presentation!$D$2="Français",'TRAD-Data &amp; hypothesis Adults'!D109,""))</f>
        <v>Dans ce cas, on considère pour le premier mois 30 cp d'AZT+3TC et 15 cp de NVP puis 1 boite de AZT+3TC+NVP</v>
      </c>
      <c r="D109" s="1617" t="s">
        <v>892</v>
      </c>
      <c r="E109" s="1617"/>
      <c r="F109" s="1617" t="s">
        <v>515</v>
      </c>
      <c r="G109" s="1617"/>
      <c r="H109" s="1617"/>
      <c r="I109" s="1617"/>
      <c r="J109" s="1629"/>
      <c r="K109" s="1629"/>
      <c r="L109" s="1629"/>
      <c r="M109" s="1629"/>
      <c r="N109" s="1629"/>
      <c r="O109" s="1629"/>
      <c r="P109" s="1629"/>
      <c r="Q109" s="1629"/>
      <c r="R109" s="1629"/>
    </row>
    <row r="110" spans="2:18" s="1623" customFormat="1" ht="30" x14ac:dyDescent="0.2">
      <c r="B110" s="1631" t="str">
        <f>IF(Presentation!$D$2="Anglais",'TRAD-Data &amp; hypothesis Adults'!F110,IF(Presentation!$D$2="Français",'TRAD-Data &amp; hypothesis Adults'!D110,""))</f>
        <v>Dans ce cas on considère 1 boite et 15 cp de D4T+3TC+NVP le premier mois</v>
      </c>
      <c r="D110" s="1617" t="s">
        <v>870</v>
      </c>
      <c r="E110" s="1617"/>
      <c r="F110" s="1617" t="s">
        <v>516</v>
      </c>
      <c r="G110" s="1617"/>
      <c r="H110" s="1617"/>
      <c r="I110" s="1617"/>
      <c r="J110" s="1629"/>
      <c r="K110" s="1629"/>
      <c r="L110" s="1629"/>
      <c r="M110" s="1629"/>
      <c r="N110" s="1629"/>
      <c r="O110" s="1629"/>
      <c r="P110" s="1629"/>
      <c r="Q110" s="1629"/>
      <c r="R110" s="1629"/>
    </row>
    <row r="111" spans="2:18" s="1623" customFormat="1" ht="30" x14ac:dyDescent="0.2">
      <c r="B111" s="1631" t="str">
        <f>IF(Presentation!$D$2="Anglais",'TRAD-Data &amp; hypothesis Adults'!F111,IF(Presentation!$D$2="Français",'TRAD-Data &amp; hypothesis Adults'!D111,""))</f>
        <v>Dans ce cas, on considère pour le premier mois 30 cp d'D4T+3TC et 15 cp de NVP puis 1 boite de D4T+3TC+NVP</v>
      </c>
      <c r="D111" s="1617" t="s">
        <v>872</v>
      </c>
      <c r="E111" s="1617"/>
      <c r="F111" s="1617" t="s">
        <v>517</v>
      </c>
      <c r="G111" s="1617"/>
      <c r="H111" s="1617"/>
      <c r="I111" s="1617"/>
      <c r="J111" s="1661"/>
      <c r="K111" s="1661"/>
      <c r="L111" s="1661"/>
      <c r="M111" s="1661"/>
      <c r="N111" s="1661"/>
      <c r="O111" s="1661"/>
      <c r="P111" s="1661"/>
      <c r="Q111" s="1661"/>
      <c r="R111" s="1661"/>
    </row>
    <row r="112" spans="2:18" s="1623" customFormat="1" ht="30" x14ac:dyDescent="0.2">
      <c r="B112" s="1631" t="str">
        <f>IF(Presentation!$D$2="Anglais",'TRAD-Data &amp; hypothesis Adults'!F112,IF(Presentation!$D$2="Français",'TRAD-Data &amp; hypothesis Adults'!D112,""))</f>
        <v>Pour chaque schéma thérapeutique, mettre un X majuscule dans la case sélection pour l'option retenue</v>
      </c>
      <c r="D112" s="1617" t="s">
        <v>859</v>
      </c>
      <c r="E112" s="1617"/>
      <c r="F112" s="1617" t="s">
        <v>717</v>
      </c>
      <c r="G112" s="1617"/>
      <c r="H112" s="1617"/>
      <c r="I112" s="1617"/>
      <c r="J112" s="1617"/>
      <c r="K112" s="1617"/>
      <c r="L112" s="1617"/>
      <c r="M112" s="1617"/>
      <c r="N112" s="1617"/>
      <c r="O112" s="1617"/>
      <c r="P112" s="1617"/>
      <c r="Q112" s="1661"/>
      <c r="R112" s="1661"/>
    </row>
    <row r="113" spans="2:18" s="1623" customFormat="1" ht="30" x14ac:dyDescent="0.2">
      <c r="B113" s="1631" t="str">
        <f>IF(Presentation!$D$2="Anglais",'TRAD-Data &amp; hypothesis Adults'!F113,IF(Presentation!$D$2="Français",'TRAD-Data &amp; hypothesis Adults'!D113,""))</f>
        <v>En cas d' ajustement du à une dose (comme pour DDI), mettre un A dans la case sélection pour l'option retenue</v>
      </c>
      <c r="D113" s="1617" t="s">
        <v>884</v>
      </c>
      <c r="E113" s="1617"/>
      <c r="F113" s="1617" t="s">
        <v>719</v>
      </c>
      <c r="G113" s="1661"/>
      <c r="H113" s="1629"/>
      <c r="I113" s="1629"/>
      <c r="J113" s="1661"/>
      <c r="K113" s="1629"/>
      <c r="L113" s="1661"/>
      <c r="M113" s="1661"/>
      <c r="N113" s="1661"/>
      <c r="O113" s="1661"/>
      <c r="P113" s="1661"/>
      <c r="Q113" s="1661"/>
      <c r="R113" s="1661"/>
    </row>
    <row r="114" spans="2:18" s="1623" customFormat="1" x14ac:dyDescent="0.2">
      <c r="B114" s="1631" t="str">
        <f>IF(Presentation!$D$2="Anglais",'TRAD-Data &amp; hypothesis Adults'!F114,IF(Presentation!$D$2="Français",'TRAD-Data &amp; hypothesis Adults'!D114,""))</f>
        <v>Forme galénique</v>
      </c>
      <c r="D114" s="1617" t="s">
        <v>1</v>
      </c>
      <c r="E114" s="1617"/>
      <c r="F114" s="1619" t="s">
        <v>511</v>
      </c>
      <c r="G114" s="1661"/>
      <c r="H114" s="1629"/>
      <c r="I114" s="1661"/>
      <c r="J114" s="1661"/>
      <c r="K114" s="1661"/>
      <c r="L114" s="1661"/>
      <c r="M114" s="1661"/>
      <c r="N114" s="1661"/>
      <c r="O114" s="1661"/>
      <c r="P114" s="1661"/>
      <c r="Q114" s="1661"/>
      <c r="R114" s="1661"/>
    </row>
    <row r="115" spans="2:18" s="1623" customFormat="1" x14ac:dyDescent="0.2">
      <c r="B115" s="1631" t="str">
        <f>IF(Presentation!$D$2="Anglais",'TRAD-Data &amp; hypothesis Adults'!F115,IF(Presentation!$D$2="Français",'TRAD-Data &amp; hypothesis Adults'!D115,""))</f>
        <v>Dose</v>
      </c>
      <c r="D115" s="1617" t="s">
        <v>885</v>
      </c>
      <c r="E115" s="1617"/>
      <c r="F115" s="1619" t="s">
        <v>2</v>
      </c>
      <c r="G115" s="1629"/>
      <c r="H115" s="1661"/>
      <c r="I115" s="1765"/>
      <c r="J115" s="1765"/>
      <c r="K115" s="1765"/>
      <c r="L115" s="1765"/>
      <c r="M115" s="1765"/>
      <c r="N115" s="1765"/>
      <c r="O115" s="1765"/>
      <c r="P115" s="1765"/>
      <c r="Q115" s="1765"/>
      <c r="R115" s="1765"/>
    </row>
    <row r="116" spans="2:18" s="1623" customFormat="1" x14ac:dyDescent="0.2">
      <c r="B116" s="1631" t="str">
        <f>IF(Presentation!$D$2="Anglais",'TRAD-Data &amp; hypothesis Adults'!F116,IF(Presentation!$D$2="Français",'TRAD-Data &amp; hypothesis Adults'!D116,""))</f>
        <v>1ères lignes</v>
      </c>
      <c r="D116" s="1617" t="s">
        <v>134</v>
      </c>
      <c r="E116" s="1617"/>
      <c r="F116" s="1619" t="s">
        <v>134</v>
      </c>
      <c r="G116" s="1661"/>
      <c r="H116" s="1661"/>
      <c r="I116" s="1765"/>
      <c r="J116" s="1765"/>
      <c r="K116" s="1765"/>
      <c r="L116" s="1765"/>
      <c r="M116" s="1765"/>
      <c r="N116" s="1765"/>
      <c r="O116" s="1765"/>
      <c r="P116" s="1765"/>
      <c r="Q116" s="1765"/>
      <c r="R116" s="1765"/>
    </row>
    <row r="117" spans="2:18" s="1623" customFormat="1" x14ac:dyDescent="0.2">
      <c r="B117" s="1631" t="str">
        <f>IF(Presentation!$D$2="Anglais",'TRAD-Data &amp; hypothesis Adults'!F117,IF(Presentation!$D$2="Français",'TRAD-Data &amp; hypothesis Adults'!D117,""))</f>
        <v>2èmes lignes</v>
      </c>
      <c r="D117" s="1617" t="s">
        <v>64</v>
      </c>
      <c r="E117" s="1617"/>
      <c r="F117" s="1619" t="s">
        <v>64</v>
      </c>
      <c r="G117" s="1661"/>
      <c r="H117" s="1661"/>
      <c r="I117" s="1765"/>
      <c r="J117" s="1765"/>
      <c r="K117" s="1765"/>
      <c r="L117" s="1765"/>
      <c r="M117" s="1765"/>
      <c r="N117" s="1765"/>
      <c r="O117" s="1765"/>
      <c r="P117" s="1765"/>
      <c r="Q117" s="1765"/>
      <c r="R117" s="1765"/>
    </row>
    <row r="118" spans="2:18" s="1623" customFormat="1" x14ac:dyDescent="0.2">
      <c r="B118" s="1631" t="str">
        <f>IF(Presentation!$D$2="Anglais",'TRAD-Data &amp; hypothesis Adults'!F118,IF(Presentation!$D$2="Français",'TRAD-Data &amp; hypothesis Adults'!D118,""))</f>
        <v># Produits choisis pour chaque schéma thérapeutique</v>
      </c>
      <c r="D118" s="1617" t="s">
        <v>1235</v>
      </c>
      <c r="E118" s="1617"/>
      <c r="F118" s="1617" t="s">
        <v>718</v>
      </c>
      <c r="G118" s="1661"/>
      <c r="H118" s="1661"/>
      <c r="I118" s="1765"/>
      <c r="J118" s="1765"/>
      <c r="K118" s="1765"/>
      <c r="L118" s="1765"/>
      <c r="M118" s="1765"/>
      <c r="N118" s="1765"/>
      <c r="O118" s="1765"/>
      <c r="P118" s="1765"/>
      <c r="Q118" s="1765"/>
      <c r="R118" s="1765"/>
    </row>
    <row r="119" spans="2:18" s="1623" customFormat="1" x14ac:dyDescent="0.2">
      <c r="B119" s="1631" t="str">
        <f>IF(Presentation!$D$2="Anglais",'TRAD-Data &amp; hypothesis Adults'!F119,IF(Presentation!$D$2="Français",'TRAD-Data &amp; hypothesis Adults'!D119,""))</f>
        <v>tablettes</v>
      </c>
      <c r="D119" s="1617" t="s">
        <v>883</v>
      </c>
      <c r="E119" s="1617"/>
      <c r="F119" s="1619" t="s">
        <v>521</v>
      </c>
      <c r="G119" s="1661"/>
      <c r="H119" s="1661"/>
      <c r="I119" s="1765"/>
      <c r="J119" s="1765"/>
      <c r="K119" s="1765"/>
      <c r="L119" s="1765"/>
      <c r="M119" s="1765"/>
      <c r="N119" s="1765"/>
      <c r="O119" s="1765"/>
      <c r="P119" s="1765"/>
      <c r="Q119" s="1765"/>
      <c r="R119" s="1765"/>
    </row>
    <row r="120" spans="2:18" s="1623" customFormat="1" x14ac:dyDescent="0.2">
      <c r="B120" s="1631" t="str">
        <f>IF(Presentation!$D$2="Anglais",'TRAD-Data &amp; hypothesis Adults'!F120,IF(Presentation!$D$2="Français",'TRAD-Data &amp; hypothesis Adults'!D120,""))</f>
        <v>tablettes/blister</v>
      </c>
      <c r="D120" s="1617" t="s">
        <v>886</v>
      </c>
      <c r="E120" s="1617"/>
      <c r="F120" s="1619" t="s">
        <v>729</v>
      </c>
      <c r="G120" s="1661"/>
      <c r="H120" s="1661"/>
      <c r="I120" s="1765"/>
      <c r="J120" s="1765"/>
      <c r="K120" s="1765"/>
      <c r="L120" s="1765"/>
      <c r="M120" s="1765"/>
      <c r="N120" s="1765"/>
      <c r="O120" s="1765"/>
      <c r="P120" s="1765"/>
      <c r="Q120" s="1765"/>
      <c r="R120" s="1765"/>
    </row>
    <row r="121" spans="2:18" s="1623" customFormat="1" x14ac:dyDescent="0.2">
      <c r="B121" s="1631" t="str">
        <f>IF(Presentation!$D$2="Anglais",'TRAD-Data &amp; hypothesis Adults'!F121,IF(Presentation!$D$2="Français",'TRAD-Data &amp; hypothesis Adults'!D121,""))</f>
        <v>choix FTC/3TC</v>
      </c>
      <c r="D121" s="1626" t="s">
        <v>887</v>
      </c>
      <c r="E121" s="1626"/>
      <c r="F121" s="1626" t="s">
        <v>632</v>
      </c>
      <c r="G121" s="1627"/>
      <c r="H121" s="1627"/>
      <c r="I121" s="1627"/>
      <c r="J121" s="1765"/>
      <c r="K121" s="1765"/>
      <c r="L121" s="1765"/>
      <c r="M121" s="1765"/>
      <c r="N121" s="1765"/>
      <c r="O121" s="1765"/>
      <c r="P121" s="1765"/>
      <c r="Q121" s="1765"/>
      <c r="R121" s="1765"/>
    </row>
    <row r="122" spans="2:18" s="1623" customFormat="1" x14ac:dyDescent="0.2">
      <c r="B122" s="1631" t="str">
        <f>IF(Presentation!$D$2="Anglais",'TRAD-Data &amp; hypothesis Adults'!F122,IF(Presentation!$D$2="Français",'TRAD-Data &amp; hypothesis Adults'!D122,""))</f>
        <v>posologie pour chaque produit</v>
      </c>
      <c r="D122" s="1626" t="s">
        <v>888</v>
      </c>
      <c r="E122" s="1626"/>
      <c r="F122" s="1626" t="s">
        <v>634</v>
      </c>
      <c r="G122" s="1627"/>
      <c r="H122" s="1627"/>
      <c r="I122" s="1627"/>
      <c r="J122" s="1765"/>
      <c r="K122" s="1765"/>
      <c r="L122" s="1765"/>
      <c r="M122" s="1765"/>
      <c r="N122" s="1765"/>
      <c r="O122" s="1765"/>
      <c r="P122" s="1765"/>
      <c r="Q122" s="1765"/>
      <c r="R122" s="1765"/>
    </row>
    <row r="123" spans="2:18" s="1623" customFormat="1" x14ac:dyDescent="0.2">
      <c r="B123" s="1631" t="str">
        <f>IF(Presentation!$D$2="Anglais",'TRAD-Data &amp; hypothesis Adults'!F123,IF(Presentation!$D$2="Français",'TRAD-Data &amp; hypothesis Adults'!D123,""))</f>
        <v>Produit</v>
      </c>
      <c r="D123" s="1617" t="s">
        <v>889</v>
      </c>
      <c r="E123" s="1617"/>
      <c r="F123" s="1619" t="s">
        <v>513</v>
      </c>
      <c r="G123" s="1661"/>
      <c r="H123" s="1661"/>
      <c r="I123" s="1765"/>
      <c r="J123" s="1765"/>
      <c r="K123" s="1765"/>
      <c r="L123" s="1765"/>
      <c r="M123" s="1765"/>
      <c r="N123" s="1765"/>
      <c r="O123" s="1765"/>
      <c r="P123" s="1765"/>
      <c r="Q123" s="1765"/>
      <c r="R123" s="1765"/>
    </row>
    <row r="124" spans="2:18" s="1623" customFormat="1" x14ac:dyDescent="0.2">
      <c r="B124" s="1631" t="str">
        <f>IF(Presentation!$D$2="Anglais",'TRAD-Data &amp; hypothesis Adults'!F124,IF(Presentation!$D$2="Français",'TRAD-Data &amp; hypothesis Adults'!D124,""))</f>
        <v>Nom de spécialité</v>
      </c>
      <c r="D124" s="1617" t="s">
        <v>3</v>
      </c>
      <c r="E124" s="1617"/>
      <c r="F124" s="1619" t="s">
        <v>469</v>
      </c>
      <c r="G124" s="1629"/>
      <c r="H124" s="1661"/>
      <c r="I124" s="1765"/>
      <c r="J124" s="1765"/>
      <c r="K124" s="1765"/>
      <c r="L124" s="1765"/>
      <c r="M124" s="1765"/>
      <c r="N124" s="1765"/>
      <c r="O124" s="1765"/>
      <c r="P124" s="1765"/>
      <c r="Q124" s="1765"/>
      <c r="R124" s="1765"/>
    </row>
    <row r="125" spans="2:18" s="1623" customFormat="1" x14ac:dyDescent="0.2">
      <c r="B125" s="1631" t="str">
        <f>IF(Presentation!$D$2="Anglais",'TRAD-Data &amp; hypothesis Adults'!F125,IF(Presentation!$D$2="Français",'TRAD-Data &amp; hypothesis Adults'!D125,""))</f>
        <v>Forme galénique</v>
      </c>
      <c r="D125" s="1617" t="s">
        <v>1</v>
      </c>
      <c r="E125" s="1617"/>
      <c r="F125" s="1619" t="s">
        <v>511</v>
      </c>
      <c r="G125" s="1661"/>
      <c r="H125" s="1661"/>
      <c r="I125" s="1765"/>
      <c r="J125" s="1765"/>
      <c r="K125" s="1765"/>
      <c r="L125" s="1765"/>
      <c r="M125" s="1765"/>
      <c r="N125" s="1765"/>
      <c r="O125" s="1765"/>
      <c r="P125" s="1765"/>
      <c r="Q125" s="1765"/>
      <c r="R125" s="1765"/>
    </row>
    <row r="126" spans="2:18" s="1623" customFormat="1" x14ac:dyDescent="0.2">
      <c r="B126" s="1631" t="str">
        <f>IF(Presentation!$D$2="Anglais",'TRAD-Data &amp; hypothesis Adults'!F126,IF(Presentation!$D$2="Français",'TRAD-Data &amp; hypothesis Adults'!D126,""))</f>
        <v>Dose</v>
      </c>
      <c r="D126" s="1617" t="s">
        <v>885</v>
      </c>
      <c r="E126" s="1617"/>
      <c r="F126" s="1619" t="s">
        <v>512</v>
      </c>
      <c r="G126" s="1661"/>
      <c r="H126" s="1661"/>
      <c r="I126" s="1765"/>
      <c r="J126" s="1765"/>
      <c r="K126" s="1765"/>
      <c r="L126" s="1765"/>
      <c r="M126" s="1765"/>
      <c r="N126" s="1765"/>
      <c r="O126" s="1765"/>
      <c r="P126" s="1765"/>
      <c r="Q126" s="1765"/>
      <c r="R126" s="1765"/>
    </row>
    <row r="127" spans="2:18" s="1623" customFormat="1" x14ac:dyDescent="0.2">
      <c r="B127" s="1631" t="str">
        <f>IF(Presentation!$D$2="Anglais",'TRAD-Data &amp; hypothesis Adults'!F127,IF(Presentation!$D$2="Français",'TRAD-Data &amp; hypothesis Adults'!D127,""))</f>
        <v>Unité de mesure</v>
      </c>
      <c r="D127" s="1617" t="s">
        <v>890</v>
      </c>
      <c r="E127" s="1617"/>
      <c r="F127" s="1619" t="s">
        <v>514</v>
      </c>
      <c r="G127" s="1661"/>
      <c r="H127" s="1661"/>
      <c r="I127" s="1765"/>
      <c r="J127" s="1765"/>
      <c r="K127" s="1765"/>
      <c r="L127" s="1765"/>
      <c r="M127" s="1765"/>
      <c r="N127" s="1765"/>
      <c r="O127" s="1765"/>
      <c r="P127" s="1765"/>
      <c r="Q127" s="1765"/>
      <c r="R127" s="1765"/>
    </row>
    <row r="128" spans="2:18" s="1623" customFormat="1" x14ac:dyDescent="0.2">
      <c r="B128" s="1631" t="str">
        <f>IF(Presentation!$D$2="Anglais",'TRAD-Data &amp; hypothesis Adults'!F128,IF(Presentation!$D$2="Français",'TRAD-Data &amp; hypothesis Adults'!D128,""))</f>
        <v># tab/cap/jr</v>
      </c>
      <c r="D128" s="1617" t="s">
        <v>1442</v>
      </c>
      <c r="E128" s="1617"/>
      <c r="F128" s="1619" t="s">
        <v>617</v>
      </c>
      <c r="G128" s="1629"/>
      <c r="H128" s="1629"/>
      <c r="I128" s="1629"/>
      <c r="J128" s="1629"/>
      <c r="K128" s="1629"/>
      <c r="L128" s="1629"/>
      <c r="M128" s="1629"/>
      <c r="N128" s="1629"/>
      <c r="O128" s="1629"/>
      <c r="P128" s="1629"/>
      <c r="Q128" s="1629"/>
      <c r="R128" s="1629"/>
    </row>
    <row r="129" spans="2:18" s="1623" customFormat="1" x14ac:dyDescent="0.2">
      <c r="B129" s="1631" t="str">
        <f>IF(Presentation!$D$2="Anglais",'TRAD-Data &amp; hypothesis Adults'!F129,IF(Presentation!$D$2="Français",'TRAD-Data &amp; hypothesis Adults'!D129,""))</f>
        <v># tab/cap/mois</v>
      </c>
      <c r="D129" s="1617" t="s">
        <v>1443</v>
      </c>
      <c r="E129" s="1617"/>
      <c r="F129" s="1619" t="s">
        <v>618</v>
      </c>
      <c r="G129" s="1629"/>
      <c r="H129" s="1629"/>
      <c r="I129" s="1629"/>
      <c r="J129" s="1629"/>
      <c r="K129" s="1629"/>
      <c r="L129" s="1629"/>
      <c r="M129" s="1629"/>
      <c r="N129" s="1629"/>
      <c r="O129" s="1629"/>
      <c r="P129" s="1629"/>
      <c r="Q129" s="1629"/>
      <c r="R129" s="1629"/>
    </row>
    <row r="130" spans="2:18" s="1623" customFormat="1" x14ac:dyDescent="0.2">
      <c r="B130" s="1631" t="str">
        <f>IF(Presentation!$D$2="Anglais",'TRAD-Data &amp; hypothesis Adults'!F130,IF(Presentation!$D$2="Français",'TRAD-Data &amp; hypothesis Adults'!D130,""))</f>
        <v># unité de mesure/mois</v>
      </c>
      <c r="D130" s="1617" t="s">
        <v>1444</v>
      </c>
      <c r="E130" s="1617"/>
      <c r="F130" s="1619" t="s">
        <v>629</v>
      </c>
      <c r="G130" s="1629"/>
      <c r="H130" s="1629"/>
      <c r="I130" s="1629"/>
      <c r="J130" s="1629"/>
      <c r="K130" s="1629"/>
      <c r="L130" s="1629"/>
      <c r="M130" s="1629"/>
      <c r="N130" s="1629"/>
      <c r="O130" s="1629"/>
      <c r="P130" s="1629"/>
      <c r="Q130" s="1629"/>
      <c r="R130" s="1629"/>
    </row>
    <row r="131" spans="2:18" s="1623" customFormat="1" x14ac:dyDescent="0.2">
      <c r="B131" s="1631" t="str">
        <f>IF(Presentation!$D$2="Anglais",'TRAD-Data &amp; hypothesis Adults'!F131,IF(Presentation!$D$2="Français",'TRAD-Data &amp; hypothesis Adults'!D131,""))</f>
        <v>tab/blister</v>
      </c>
      <c r="D131" s="1634" t="s">
        <v>891</v>
      </c>
      <c r="E131" s="1634"/>
      <c r="F131" s="1619" t="s">
        <v>732</v>
      </c>
      <c r="G131" s="1629"/>
      <c r="H131" s="1756"/>
      <c r="I131" s="1629"/>
      <c r="J131" s="1629"/>
      <c r="K131" s="1629"/>
      <c r="L131" s="1629"/>
      <c r="M131" s="1629"/>
      <c r="N131" s="1629"/>
      <c r="O131" s="1629"/>
      <c r="P131" s="1660"/>
      <c r="Q131" s="1660"/>
      <c r="R131" s="1660"/>
    </row>
    <row r="132" spans="2:18" s="1623" customFormat="1" ht="30" x14ac:dyDescent="0.2">
      <c r="B132" s="1631" t="str">
        <f>IF(Presentation!$D$2="Anglais",'TRAD-Data &amp; hypothesis Adults'!F132,IF(Presentation!$D$2="Français",'TRAD-Data &amp; hypothesis Adults'!D132,""))</f>
        <v>Tous les produits inclus dans les outils sont préqualifiés selon la Politique d'Assurance qualité du Fonds Mondiale</v>
      </c>
      <c r="D132" s="1617" t="s">
        <v>902</v>
      </c>
      <c r="E132" s="1617"/>
      <c r="F132" s="1617" t="s">
        <v>751</v>
      </c>
      <c r="G132" s="1617"/>
      <c r="H132" s="1617"/>
      <c r="I132" s="1617"/>
      <c r="J132" s="1617"/>
      <c r="K132" s="1617"/>
      <c r="L132" s="1617"/>
      <c r="M132" s="1617"/>
      <c r="N132" s="1617"/>
      <c r="O132" s="1617"/>
      <c r="P132" s="1617"/>
      <c r="Q132" s="1617"/>
      <c r="R132" s="1617"/>
    </row>
    <row r="133" spans="2:18" s="1623" customFormat="1" x14ac:dyDescent="0.2">
      <c r="B133" s="1631" t="str">
        <f>IF(Presentation!$D$2="Anglais",'TRAD-Data &amp; hypothesis Adults'!F133,IF(Presentation!$D$2="Français",'TRAD-Data &amp; hypothesis Adults'!D133,""))</f>
        <v xml:space="preserve">TDF+FTC, TDF+FTC/3TC+EFV et FTC </v>
      </c>
      <c r="D133" s="1617" t="s">
        <v>903</v>
      </c>
      <c r="E133" s="1617"/>
      <c r="F133" s="1617" t="s">
        <v>447</v>
      </c>
      <c r="G133" s="1617"/>
      <c r="H133" s="1617"/>
      <c r="I133" s="1617"/>
      <c r="J133" s="1617"/>
      <c r="K133" s="1617"/>
      <c r="L133" s="1617"/>
      <c r="M133" s="1617"/>
      <c r="N133" s="1617"/>
      <c r="O133" s="1617"/>
      <c r="P133" s="1617"/>
      <c r="Q133" s="1617"/>
      <c r="R133" s="1617"/>
    </row>
    <row r="134" spans="2:18" s="1623" customFormat="1" x14ac:dyDescent="0.2">
      <c r="B134" s="1631" t="str">
        <f>IF(Presentation!$D$2="Anglais",'TRAD-Data &amp; hypothesis Adults'!F134,IF(Presentation!$D$2="Français",'TRAD-Data &amp; hypothesis Adults'!D134,""))</f>
        <v xml:space="preserve">TDF+3TC, TDF+3TC+EFV et 3TC </v>
      </c>
      <c r="D134" s="1617" t="s">
        <v>904</v>
      </c>
      <c r="E134" s="1617"/>
      <c r="F134" s="1617" t="s">
        <v>448</v>
      </c>
      <c r="G134" s="1617"/>
      <c r="H134" s="1617"/>
      <c r="I134" s="1617"/>
      <c r="J134" s="1617"/>
      <c r="K134" s="1617"/>
      <c r="L134" s="1617"/>
      <c r="M134" s="1617"/>
      <c r="N134" s="1617"/>
      <c r="O134" s="1617"/>
      <c r="P134" s="1617"/>
      <c r="Q134" s="1617"/>
      <c r="R134" s="1617"/>
    </row>
    <row r="135" spans="2:18" s="1623" customFormat="1" x14ac:dyDescent="0.2">
      <c r="B135" s="1631" t="str">
        <f>IF(Presentation!$D$2="Anglais",'TRAD-Data &amp; hypothesis Adults'!F135,IF(Presentation!$D$2="Français",'TRAD-Data &amp; hypothesis Adults'!D135,""))</f>
        <v>Récapitulatif</v>
      </c>
      <c r="D135" s="1623" t="s">
        <v>664</v>
      </c>
      <c r="F135" s="1623" t="s">
        <v>1134</v>
      </c>
    </row>
    <row r="136" spans="2:18" s="1623" customFormat="1" x14ac:dyDescent="0.2">
      <c r="B136" s="1631" t="str">
        <f>IF(Presentation!$D$2="Anglais",'TRAD-Data &amp; hypothesis Adults'!F136,IF(Presentation!$D$2="Français",'TRAD-Data &amp; hypothesis Adults'!D136,""))</f>
        <v>Passage en 2ème ligne - spécifications par schémas</v>
      </c>
      <c r="D136" s="1623" t="s">
        <v>1575</v>
      </c>
      <c r="F136" s="1623" t="s">
        <v>1576</v>
      </c>
    </row>
    <row r="137" spans="2:18" s="1623" customFormat="1" x14ac:dyDescent="0.2">
      <c r="B137" s="1631"/>
    </row>
    <row r="138" spans="2:18" s="1623" customFormat="1" x14ac:dyDescent="0.2">
      <c r="B138" s="1631"/>
    </row>
    <row r="139" spans="2:18" s="1623" customFormat="1" x14ac:dyDescent="0.2">
      <c r="B139" s="1631"/>
    </row>
    <row r="140" spans="2:18" s="1623" customFormat="1" x14ac:dyDescent="0.2">
      <c r="B140" s="1631"/>
    </row>
    <row r="141" spans="2:18" s="1623" customFormat="1" x14ac:dyDescent="0.2">
      <c r="B141" s="1631"/>
    </row>
    <row r="142" spans="2:18" s="1623" customFormat="1" x14ac:dyDescent="0.2">
      <c r="B142" s="1631"/>
    </row>
    <row r="143" spans="2:18" s="1623" customFormat="1" x14ac:dyDescent="0.2">
      <c r="B143" s="1631"/>
    </row>
    <row r="144" spans="2:18" s="1623" customFormat="1" x14ac:dyDescent="0.2">
      <c r="B144" s="1631"/>
    </row>
    <row r="145" spans="2:2" s="1623" customFormat="1" x14ac:dyDescent="0.2">
      <c r="B145" s="1631"/>
    </row>
    <row r="146" spans="2:2" s="1623" customFormat="1" x14ac:dyDescent="0.2">
      <c r="B146" s="1631"/>
    </row>
    <row r="147" spans="2:2" s="1623" customFormat="1" x14ac:dyDescent="0.2">
      <c r="B147" s="1631"/>
    </row>
    <row r="148" spans="2:2" s="1623" customFormat="1" x14ac:dyDescent="0.2">
      <c r="B148" s="1631"/>
    </row>
    <row r="149" spans="2:2" s="1623" customFormat="1" x14ac:dyDescent="0.2">
      <c r="B149" s="1631"/>
    </row>
    <row r="150" spans="2:2" s="1623" customFormat="1" x14ac:dyDescent="0.2">
      <c r="B150" s="1631"/>
    </row>
    <row r="151" spans="2:2" s="1623" customFormat="1" x14ac:dyDescent="0.2">
      <c r="B151" s="1631"/>
    </row>
    <row r="152" spans="2:2" s="1623" customFormat="1" x14ac:dyDescent="0.2">
      <c r="B152" s="1631"/>
    </row>
    <row r="153" spans="2:2" s="1623" customFormat="1" x14ac:dyDescent="0.2">
      <c r="B153" s="1631"/>
    </row>
    <row r="154" spans="2:2" s="1623" customFormat="1" x14ac:dyDescent="0.2">
      <c r="B154" s="1631"/>
    </row>
    <row r="155" spans="2:2" s="1623" customFormat="1" x14ac:dyDescent="0.2">
      <c r="B155" s="1631"/>
    </row>
    <row r="156" spans="2:2" s="1623" customFormat="1" x14ac:dyDescent="0.2">
      <c r="B156" s="1631"/>
    </row>
    <row r="157" spans="2:2" s="1623" customFormat="1" x14ac:dyDescent="0.2">
      <c r="B157" s="1631"/>
    </row>
    <row r="158" spans="2:2" s="1623" customFormat="1" x14ac:dyDescent="0.2">
      <c r="B158" s="1631"/>
    </row>
    <row r="159" spans="2:2" s="1623" customFormat="1" x14ac:dyDescent="0.2">
      <c r="B159" s="1631"/>
    </row>
    <row r="160" spans="2:2" s="1623" customFormat="1" x14ac:dyDescent="0.2">
      <c r="B160" s="1631"/>
    </row>
    <row r="161" spans="2:2" s="1623" customFormat="1" x14ac:dyDescent="0.2">
      <c r="B161" s="1631"/>
    </row>
    <row r="162" spans="2:2" s="1623" customFormat="1" x14ac:dyDescent="0.2">
      <c r="B162" s="1631"/>
    </row>
    <row r="163" spans="2:2" s="1623" customFormat="1" x14ac:dyDescent="0.2">
      <c r="B163" s="1631"/>
    </row>
    <row r="164" spans="2:2" s="1623" customFormat="1" x14ac:dyDescent="0.2">
      <c r="B164" s="1631"/>
    </row>
    <row r="165" spans="2:2" s="1623" customFormat="1" x14ac:dyDescent="0.2">
      <c r="B165" s="1631"/>
    </row>
    <row r="166" spans="2:2" s="1623" customFormat="1" x14ac:dyDescent="0.2">
      <c r="B166" s="1631"/>
    </row>
    <row r="167" spans="2:2" s="1623" customFormat="1" x14ac:dyDescent="0.2">
      <c r="B167" s="1631"/>
    </row>
    <row r="168" spans="2:2" s="1623" customFormat="1" x14ac:dyDescent="0.2">
      <c r="B168" s="1631"/>
    </row>
    <row r="169" spans="2:2" s="1623" customFormat="1" x14ac:dyDescent="0.2">
      <c r="B169" s="1631"/>
    </row>
    <row r="170" spans="2:2" s="1623" customFormat="1" x14ac:dyDescent="0.2">
      <c r="B170" s="1631"/>
    </row>
    <row r="171" spans="2:2" s="1623" customFormat="1" x14ac:dyDescent="0.2">
      <c r="B171" s="1631"/>
    </row>
    <row r="172" spans="2:2" s="1623" customFormat="1" x14ac:dyDescent="0.2">
      <c r="B172" s="1631"/>
    </row>
    <row r="173" spans="2:2" s="1623" customFormat="1" x14ac:dyDescent="0.2">
      <c r="B173" s="1631"/>
    </row>
    <row r="174" spans="2:2" s="1623" customFormat="1" x14ac:dyDescent="0.2">
      <c r="B174" s="1631"/>
    </row>
    <row r="175" spans="2:2" s="1623" customFormat="1" x14ac:dyDescent="0.2">
      <c r="B175" s="1631"/>
    </row>
    <row r="176" spans="2:2" s="1623" customFormat="1" x14ac:dyDescent="0.2">
      <c r="B176" s="1631"/>
    </row>
    <row r="177" spans="2:2" s="1623" customFormat="1" x14ac:dyDescent="0.2">
      <c r="B177" s="1631"/>
    </row>
    <row r="178" spans="2:2" s="1623" customFormat="1" x14ac:dyDescent="0.2">
      <c r="B178" s="1631"/>
    </row>
    <row r="179" spans="2:2" s="1623" customFormat="1" x14ac:dyDescent="0.2">
      <c r="B179" s="1631"/>
    </row>
    <row r="180" spans="2:2" s="1623" customFormat="1" x14ac:dyDescent="0.2">
      <c r="B180" s="1631"/>
    </row>
    <row r="181" spans="2:2" s="1623" customFormat="1" x14ac:dyDescent="0.2">
      <c r="B181" s="1631"/>
    </row>
    <row r="182" spans="2:2" s="1623" customFormat="1" x14ac:dyDescent="0.2">
      <c r="B182" s="1631"/>
    </row>
    <row r="183" spans="2:2" s="1623" customFormat="1" x14ac:dyDescent="0.2">
      <c r="B183" s="1631"/>
    </row>
    <row r="184" spans="2:2" s="1623" customFormat="1" x14ac:dyDescent="0.2">
      <c r="B184" s="1631"/>
    </row>
    <row r="185" spans="2:2" s="1623" customFormat="1" x14ac:dyDescent="0.2">
      <c r="B185" s="1631"/>
    </row>
    <row r="186" spans="2:2" s="1623" customFormat="1" x14ac:dyDescent="0.2">
      <c r="B186" s="1631"/>
    </row>
    <row r="187" spans="2:2" s="1623" customFormat="1" x14ac:dyDescent="0.2">
      <c r="B187" s="1631"/>
    </row>
    <row r="188" spans="2:2" s="1623" customFormat="1" x14ac:dyDescent="0.2">
      <c r="B188" s="1631"/>
    </row>
    <row r="189" spans="2:2" s="1623" customFormat="1" x14ac:dyDescent="0.2">
      <c r="B189" s="1631"/>
    </row>
    <row r="190" spans="2:2" s="1623" customFormat="1" x14ac:dyDescent="0.2">
      <c r="B190" s="1631"/>
    </row>
    <row r="191" spans="2:2" s="1623" customFormat="1" x14ac:dyDescent="0.2">
      <c r="B191" s="1631"/>
    </row>
    <row r="192" spans="2:2" s="1623" customFormat="1" x14ac:dyDescent="0.2">
      <c r="B192" s="1631"/>
    </row>
    <row r="193" spans="2:2" s="1623" customFormat="1" x14ac:dyDescent="0.2">
      <c r="B193" s="1631"/>
    </row>
    <row r="194" spans="2:2" s="1623" customFormat="1" x14ac:dyDescent="0.2">
      <c r="B194" s="1631"/>
    </row>
    <row r="195" spans="2:2" s="1623" customFormat="1" x14ac:dyDescent="0.2">
      <c r="B195" s="1631"/>
    </row>
    <row r="196" spans="2:2" s="1623" customFormat="1" x14ac:dyDescent="0.2">
      <c r="B196" s="1631"/>
    </row>
    <row r="197" spans="2:2" s="1623" customFormat="1" x14ac:dyDescent="0.2">
      <c r="B197" s="1631"/>
    </row>
    <row r="198" spans="2:2" s="1623" customFormat="1" x14ac:dyDescent="0.2">
      <c r="B198" s="1631"/>
    </row>
    <row r="199" spans="2:2" s="1623" customFormat="1" x14ac:dyDescent="0.2">
      <c r="B199" s="1631"/>
    </row>
    <row r="200" spans="2:2" s="1623" customFormat="1" x14ac:dyDescent="0.2">
      <c r="B200" s="1631"/>
    </row>
    <row r="201" spans="2:2" s="1623" customFormat="1" x14ac:dyDescent="0.2">
      <c r="B201" s="1631"/>
    </row>
    <row r="202" spans="2:2" s="1623" customFormat="1" x14ac:dyDescent="0.2">
      <c r="B202" s="1631"/>
    </row>
    <row r="203" spans="2:2" s="1623" customFormat="1" x14ac:dyDescent="0.2">
      <c r="B203" s="1631"/>
    </row>
    <row r="204" spans="2:2" s="1623" customFormat="1" x14ac:dyDescent="0.2">
      <c r="B204" s="1631"/>
    </row>
    <row r="205" spans="2:2" s="1623" customFormat="1" x14ac:dyDescent="0.2">
      <c r="B205" s="1631"/>
    </row>
    <row r="206" spans="2:2" s="1623" customFormat="1" x14ac:dyDescent="0.2">
      <c r="B206" s="1631"/>
    </row>
    <row r="207" spans="2:2" s="1623" customFormat="1" x14ac:dyDescent="0.2">
      <c r="B207" s="1631"/>
    </row>
    <row r="208" spans="2:2" s="1623" customFormat="1" x14ac:dyDescent="0.2">
      <c r="B208" s="1631"/>
    </row>
    <row r="209" spans="2:2" s="1623" customFormat="1" x14ac:dyDescent="0.2">
      <c r="B209" s="1631"/>
    </row>
    <row r="210" spans="2:2" s="1623" customFormat="1" x14ac:dyDescent="0.2">
      <c r="B210" s="1631"/>
    </row>
    <row r="211" spans="2:2" s="1623" customFormat="1" x14ac:dyDescent="0.2">
      <c r="B211" s="1631"/>
    </row>
    <row r="212" spans="2:2" s="1623" customFormat="1" x14ac:dyDescent="0.2">
      <c r="B212" s="1631"/>
    </row>
    <row r="213" spans="2:2" s="1623" customFormat="1" x14ac:dyDescent="0.2">
      <c r="B213" s="1631"/>
    </row>
    <row r="214" spans="2:2" s="1623" customFormat="1" x14ac:dyDescent="0.2">
      <c r="B214" s="1631"/>
    </row>
    <row r="215" spans="2:2" s="1623" customFormat="1" x14ac:dyDescent="0.2">
      <c r="B215" s="1631"/>
    </row>
    <row r="216" spans="2:2" s="1623" customFormat="1" x14ac:dyDescent="0.2">
      <c r="B216" s="1631"/>
    </row>
    <row r="217" spans="2:2" s="1623" customFormat="1" x14ac:dyDescent="0.2">
      <c r="B217" s="1631"/>
    </row>
    <row r="218" spans="2:2" s="1623" customFormat="1" x14ac:dyDescent="0.2">
      <c r="B218" s="1631"/>
    </row>
    <row r="219" spans="2:2" s="1623" customFormat="1" x14ac:dyDescent="0.2">
      <c r="B219" s="1631"/>
    </row>
    <row r="220" spans="2:2" s="1623" customFormat="1" x14ac:dyDescent="0.2">
      <c r="B220" s="1631"/>
    </row>
    <row r="221" spans="2:2" s="1623" customFormat="1" x14ac:dyDescent="0.2">
      <c r="B221" s="1631"/>
    </row>
    <row r="222" spans="2:2" s="1623" customFormat="1" x14ac:dyDescent="0.2">
      <c r="B222" s="1631"/>
    </row>
    <row r="223" spans="2:2" s="1623" customFormat="1" x14ac:dyDescent="0.2">
      <c r="B223" s="1631"/>
    </row>
    <row r="224" spans="2:2" s="1623" customFormat="1" x14ac:dyDescent="0.2">
      <c r="B224" s="1631"/>
    </row>
    <row r="225" spans="2:2" s="1623" customFormat="1" x14ac:dyDescent="0.2">
      <c r="B225" s="1631"/>
    </row>
    <row r="226" spans="2:2" s="1623" customFormat="1" x14ac:dyDescent="0.2">
      <c r="B226" s="1631"/>
    </row>
    <row r="227" spans="2:2" s="1623" customFormat="1" x14ac:dyDescent="0.2">
      <c r="B227" s="1631"/>
    </row>
    <row r="228" spans="2:2" s="1623" customFormat="1" x14ac:dyDescent="0.2">
      <c r="B228" s="1631"/>
    </row>
    <row r="229" spans="2:2" s="1623" customFormat="1" x14ac:dyDescent="0.2">
      <c r="B229" s="1631"/>
    </row>
    <row r="230" spans="2:2" s="1623" customFormat="1" x14ac:dyDescent="0.2">
      <c r="B230" s="1631"/>
    </row>
    <row r="231" spans="2:2" s="1623" customFormat="1" x14ac:dyDescent="0.2">
      <c r="B231" s="1631"/>
    </row>
    <row r="232" spans="2:2" s="1623" customFormat="1" x14ac:dyDescent="0.2">
      <c r="B232" s="1631"/>
    </row>
    <row r="233" spans="2:2" s="1623" customFormat="1" x14ac:dyDescent="0.2">
      <c r="B233" s="1631"/>
    </row>
    <row r="234" spans="2:2" s="1623" customFormat="1" x14ac:dyDescent="0.2">
      <c r="B234" s="1631"/>
    </row>
    <row r="235" spans="2:2" s="1623" customFormat="1" x14ac:dyDescent="0.2">
      <c r="B235" s="1631"/>
    </row>
    <row r="236" spans="2:2" s="1623" customFormat="1" x14ac:dyDescent="0.2">
      <c r="B236" s="1631"/>
    </row>
    <row r="237" spans="2:2" s="1623" customFormat="1" x14ac:dyDescent="0.2">
      <c r="B237" s="1631"/>
    </row>
    <row r="238" spans="2:2" s="1623" customFormat="1" x14ac:dyDescent="0.2">
      <c r="B238" s="1631"/>
    </row>
    <row r="239" spans="2:2" s="1623" customFormat="1" x14ac:dyDescent="0.2">
      <c r="B239" s="1631"/>
    </row>
    <row r="240" spans="2:2" s="1623" customFormat="1" x14ac:dyDescent="0.2">
      <c r="B240" s="1631"/>
    </row>
    <row r="241" spans="2:2" s="1623" customFormat="1" x14ac:dyDescent="0.2">
      <c r="B241" s="1631"/>
    </row>
    <row r="242" spans="2:2" s="1623" customFormat="1" x14ac:dyDescent="0.2">
      <c r="B242" s="1631"/>
    </row>
    <row r="243" spans="2:2" s="1623" customFormat="1" x14ac:dyDescent="0.2">
      <c r="B243" s="1631"/>
    </row>
    <row r="244" spans="2:2" s="1623" customFormat="1" x14ac:dyDescent="0.2">
      <c r="B244" s="1631"/>
    </row>
    <row r="245" spans="2:2" s="1623" customFormat="1" x14ac:dyDescent="0.2">
      <c r="B245" s="1631"/>
    </row>
    <row r="246" spans="2:2" s="1623" customFormat="1" x14ac:dyDescent="0.2">
      <c r="B246" s="1631"/>
    </row>
    <row r="247" spans="2:2" s="1623" customFormat="1" x14ac:dyDescent="0.2">
      <c r="B247" s="1631"/>
    </row>
    <row r="248" spans="2:2" s="1623" customFormat="1" x14ac:dyDescent="0.2">
      <c r="B248" s="1631"/>
    </row>
    <row r="249" spans="2:2" s="1623" customFormat="1" x14ac:dyDescent="0.2">
      <c r="B249" s="1631"/>
    </row>
    <row r="250" spans="2:2" s="1623" customFormat="1" x14ac:dyDescent="0.2">
      <c r="B250" s="1631"/>
    </row>
    <row r="251" spans="2:2" s="1623" customFormat="1" x14ac:dyDescent="0.2">
      <c r="B251" s="1631"/>
    </row>
    <row r="252" spans="2:2" s="1623" customFormat="1" x14ac:dyDescent="0.2">
      <c r="B252" s="1631"/>
    </row>
    <row r="253" spans="2:2" s="1623" customFormat="1" x14ac:dyDescent="0.2">
      <c r="B253" s="1631"/>
    </row>
    <row r="254" spans="2:2" s="1623" customFormat="1" x14ac:dyDescent="0.2">
      <c r="B254" s="1631"/>
    </row>
    <row r="255" spans="2:2" s="1623" customFormat="1" x14ac:dyDescent="0.2">
      <c r="B255" s="1631"/>
    </row>
    <row r="256" spans="2:2" s="1623" customFormat="1" x14ac:dyDescent="0.2">
      <c r="B256" s="1631"/>
    </row>
    <row r="257" spans="2:2" s="1623" customFormat="1" x14ac:dyDescent="0.2">
      <c r="B257" s="1631"/>
    </row>
    <row r="258" spans="2:2" s="1623" customFormat="1" x14ac:dyDescent="0.2">
      <c r="B258" s="1631"/>
    </row>
    <row r="259" spans="2:2" s="1623" customFormat="1" x14ac:dyDescent="0.2">
      <c r="B259" s="1631"/>
    </row>
    <row r="260" spans="2:2" s="1623" customFormat="1" x14ac:dyDescent="0.2">
      <c r="B260" s="1631"/>
    </row>
    <row r="261" spans="2:2" s="1623" customFormat="1" x14ac:dyDescent="0.2">
      <c r="B261" s="1631"/>
    </row>
    <row r="262" spans="2:2" s="1623" customFormat="1" x14ac:dyDescent="0.2">
      <c r="B262" s="1631"/>
    </row>
    <row r="263" spans="2:2" s="1623" customFormat="1" x14ac:dyDescent="0.2">
      <c r="B263" s="1631"/>
    </row>
    <row r="264" spans="2:2" s="1623" customFormat="1" x14ac:dyDescent="0.2">
      <c r="B264" s="1631"/>
    </row>
    <row r="265" spans="2:2" s="1623" customFormat="1" x14ac:dyDescent="0.2">
      <c r="B265" s="1631"/>
    </row>
    <row r="266" spans="2:2" s="1623" customFormat="1" x14ac:dyDescent="0.2">
      <c r="B266" s="1631"/>
    </row>
    <row r="267" spans="2:2" s="1623" customFormat="1" x14ac:dyDescent="0.2">
      <c r="B267" s="1631"/>
    </row>
    <row r="268" spans="2:2" s="1623" customFormat="1" x14ac:dyDescent="0.2">
      <c r="B268" s="1631"/>
    </row>
    <row r="269" spans="2:2" s="1623" customFormat="1" x14ac:dyDescent="0.2">
      <c r="B269" s="1631"/>
    </row>
    <row r="270" spans="2:2" s="1623" customFormat="1" x14ac:dyDescent="0.2">
      <c r="B270" s="1631"/>
    </row>
    <row r="271" spans="2:2" s="1623" customFormat="1" x14ac:dyDescent="0.2">
      <c r="B271" s="1631"/>
    </row>
    <row r="272" spans="2:2" s="1623" customFormat="1" x14ac:dyDescent="0.2">
      <c r="B272" s="1631"/>
    </row>
    <row r="273" spans="2:2" s="1623" customFormat="1" x14ac:dyDescent="0.2">
      <c r="B273" s="1631"/>
    </row>
    <row r="274" spans="2:2" s="1623" customFormat="1" x14ac:dyDescent="0.2">
      <c r="B274" s="1631"/>
    </row>
    <row r="275" spans="2:2" s="1623" customFormat="1" x14ac:dyDescent="0.2">
      <c r="B275" s="1631"/>
    </row>
    <row r="276" spans="2:2" s="1623" customFormat="1" x14ac:dyDescent="0.2">
      <c r="B276" s="1631"/>
    </row>
    <row r="277" spans="2:2" s="1623" customFormat="1" x14ac:dyDescent="0.2">
      <c r="B277" s="1631"/>
    </row>
    <row r="278" spans="2:2" s="1623" customFormat="1" x14ac:dyDescent="0.2">
      <c r="B278" s="1631"/>
    </row>
    <row r="279" spans="2:2" s="1623" customFormat="1" x14ac:dyDescent="0.2">
      <c r="B279" s="1631"/>
    </row>
    <row r="280" spans="2:2" s="1623" customFormat="1" x14ac:dyDescent="0.2">
      <c r="B280" s="1631"/>
    </row>
    <row r="281" spans="2:2" s="1623" customFormat="1" x14ac:dyDescent="0.2">
      <c r="B281" s="1631"/>
    </row>
    <row r="282" spans="2:2" s="1623" customFormat="1" x14ac:dyDescent="0.2">
      <c r="B282" s="1631"/>
    </row>
    <row r="283" spans="2:2" s="1623" customFormat="1" x14ac:dyDescent="0.2">
      <c r="B283" s="1631"/>
    </row>
    <row r="284" spans="2:2" s="1623" customFormat="1" x14ac:dyDescent="0.2">
      <c r="B284" s="1631"/>
    </row>
    <row r="285" spans="2:2" s="1623" customFormat="1" x14ac:dyDescent="0.2">
      <c r="B285" s="1631"/>
    </row>
    <row r="286" spans="2:2" s="1623" customFormat="1" x14ac:dyDescent="0.2">
      <c r="B286" s="1631"/>
    </row>
    <row r="287" spans="2:2" s="1623" customFormat="1" x14ac:dyDescent="0.2">
      <c r="B287" s="1631"/>
    </row>
    <row r="288" spans="2:2" s="1623" customFormat="1" x14ac:dyDescent="0.2">
      <c r="B288" s="1631"/>
    </row>
    <row r="289" spans="2:2" s="1623" customFormat="1" x14ac:dyDescent="0.2">
      <c r="B289" s="1631"/>
    </row>
    <row r="290" spans="2:2" s="1623" customFormat="1" x14ac:dyDescent="0.2">
      <c r="B290" s="1631"/>
    </row>
    <row r="291" spans="2:2" s="1623" customFormat="1" x14ac:dyDescent="0.2">
      <c r="B291" s="1631"/>
    </row>
    <row r="292" spans="2:2" s="1623" customFormat="1" x14ac:dyDescent="0.2">
      <c r="B292" s="1631"/>
    </row>
    <row r="293" spans="2:2" s="1623" customFormat="1" x14ac:dyDescent="0.2">
      <c r="B293" s="1631"/>
    </row>
    <row r="294" spans="2:2" s="1623" customFormat="1" x14ac:dyDescent="0.2">
      <c r="B294" s="1631"/>
    </row>
    <row r="295" spans="2:2" s="1623" customFormat="1" x14ac:dyDescent="0.2">
      <c r="B295" s="1631"/>
    </row>
    <row r="296" spans="2:2" s="1623" customFormat="1" x14ac:dyDescent="0.2">
      <c r="B296" s="1631"/>
    </row>
    <row r="297" spans="2:2" s="1623" customFormat="1" x14ac:dyDescent="0.2">
      <c r="B297" s="1631"/>
    </row>
    <row r="298" spans="2:2" s="1623" customFormat="1" x14ac:dyDescent="0.2">
      <c r="B298" s="1631"/>
    </row>
    <row r="299" spans="2:2" s="1623" customFormat="1" x14ac:dyDescent="0.2">
      <c r="B299" s="1631"/>
    </row>
    <row r="300" spans="2:2" s="1623" customFormat="1" x14ac:dyDescent="0.2">
      <c r="B300" s="1631"/>
    </row>
    <row r="301" spans="2:2" s="1623" customFormat="1" x14ac:dyDescent="0.2">
      <c r="B301" s="1631"/>
    </row>
    <row r="302" spans="2:2" s="1623" customFormat="1" x14ac:dyDescent="0.2">
      <c r="B302" s="1631"/>
    </row>
    <row r="303" spans="2:2" s="1623" customFormat="1" x14ac:dyDescent="0.2">
      <c r="B303" s="1631"/>
    </row>
    <row r="304" spans="2:2" s="1623" customFormat="1" x14ac:dyDescent="0.2">
      <c r="B304" s="1631"/>
    </row>
    <row r="305" spans="2:2" s="1623" customFormat="1" x14ac:dyDescent="0.2">
      <c r="B305" s="1631"/>
    </row>
    <row r="306" spans="2:2" s="1623" customFormat="1" x14ac:dyDescent="0.2">
      <c r="B306" s="1631"/>
    </row>
    <row r="307" spans="2:2" s="1623" customFormat="1" x14ac:dyDescent="0.2">
      <c r="B307" s="1631"/>
    </row>
    <row r="308" spans="2:2" s="1623" customFormat="1" x14ac:dyDescent="0.2">
      <c r="B308" s="1631"/>
    </row>
    <row r="309" spans="2:2" s="1623" customFormat="1" x14ac:dyDescent="0.2">
      <c r="B309" s="1631"/>
    </row>
    <row r="310" spans="2:2" s="1623" customFormat="1" x14ac:dyDescent="0.2">
      <c r="B310" s="1631"/>
    </row>
    <row r="311" spans="2:2" s="1623" customFormat="1" x14ac:dyDescent="0.2">
      <c r="B311" s="1631"/>
    </row>
    <row r="312" spans="2:2" s="1623" customFormat="1" x14ac:dyDescent="0.2">
      <c r="B312" s="1631"/>
    </row>
    <row r="313" spans="2:2" s="1623" customFormat="1" x14ac:dyDescent="0.2">
      <c r="B313" s="1631"/>
    </row>
    <row r="314" spans="2:2" s="1623" customFormat="1" x14ac:dyDescent="0.2">
      <c r="B314" s="1631"/>
    </row>
    <row r="315" spans="2:2" s="1623" customFormat="1" x14ac:dyDescent="0.2">
      <c r="B315" s="1631"/>
    </row>
    <row r="316" spans="2:2" s="1623" customFormat="1" x14ac:dyDescent="0.2">
      <c r="B316" s="1631"/>
    </row>
    <row r="317" spans="2:2" s="1623" customFormat="1" x14ac:dyDescent="0.2">
      <c r="B317" s="1631"/>
    </row>
    <row r="318" spans="2:2" s="1623" customFormat="1" x14ac:dyDescent="0.2">
      <c r="B318" s="1631"/>
    </row>
    <row r="319" spans="2:2" s="1623" customFormat="1" x14ac:dyDescent="0.2">
      <c r="B319" s="1631"/>
    </row>
    <row r="320" spans="2:2" s="1623" customFormat="1" x14ac:dyDescent="0.2">
      <c r="B320" s="1631"/>
    </row>
    <row r="321" spans="2:2" s="1623" customFormat="1" x14ac:dyDescent="0.2">
      <c r="B321" s="1631"/>
    </row>
    <row r="322" spans="2:2" s="1623" customFormat="1" x14ac:dyDescent="0.2">
      <c r="B322" s="1631"/>
    </row>
    <row r="323" spans="2:2" s="1623" customFormat="1" x14ac:dyDescent="0.2">
      <c r="B323" s="1631"/>
    </row>
    <row r="324" spans="2:2" s="1623" customFormat="1" x14ac:dyDescent="0.2">
      <c r="B324" s="1631"/>
    </row>
    <row r="325" spans="2:2" s="1623" customFormat="1" x14ac:dyDescent="0.2">
      <c r="B325" s="1631"/>
    </row>
    <row r="326" spans="2:2" s="1623" customFormat="1" x14ac:dyDescent="0.2">
      <c r="B326" s="1631"/>
    </row>
    <row r="327" spans="2:2" s="1623" customFormat="1" x14ac:dyDescent="0.2">
      <c r="B327" s="1631"/>
    </row>
    <row r="328" spans="2:2" s="1623" customFormat="1" x14ac:dyDescent="0.2">
      <c r="B328" s="1631"/>
    </row>
    <row r="329" spans="2:2" s="1623" customFormat="1" x14ac:dyDescent="0.2">
      <c r="B329" s="1631"/>
    </row>
    <row r="330" spans="2:2" s="1623" customFormat="1" x14ac:dyDescent="0.2">
      <c r="B330" s="1631"/>
    </row>
    <row r="331" spans="2:2" s="1623" customFormat="1" x14ac:dyDescent="0.2">
      <c r="B331" s="1631"/>
    </row>
    <row r="332" spans="2:2" s="1623" customFormat="1" x14ac:dyDescent="0.2">
      <c r="B332" s="1631"/>
    </row>
    <row r="333" spans="2:2" s="1623" customFormat="1" x14ac:dyDescent="0.2">
      <c r="B333" s="1631"/>
    </row>
    <row r="334" spans="2:2" s="1623" customFormat="1" x14ac:dyDescent="0.2">
      <c r="B334" s="1631"/>
    </row>
    <row r="335" spans="2:2" s="1623" customFormat="1" x14ac:dyDescent="0.2">
      <c r="B335" s="1631"/>
    </row>
    <row r="336" spans="2:2" s="1623" customFormat="1" x14ac:dyDescent="0.2">
      <c r="B336" s="1631"/>
    </row>
    <row r="337" spans="2:2" s="1623" customFormat="1" x14ac:dyDescent="0.2">
      <c r="B337" s="1631"/>
    </row>
    <row r="338" spans="2:2" s="1623" customFormat="1" x14ac:dyDescent="0.2">
      <c r="B338" s="1631"/>
    </row>
    <row r="339" spans="2:2" s="1623" customFormat="1" x14ac:dyDescent="0.2">
      <c r="B339" s="1631"/>
    </row>
    <row r="340" spans="2:2" s="1623" customFormat="1" x14ac:dyDescent="0.2">
      <c r="B340" s="1631"/>
    </row>
    <row r="341" spans="2:2" s="1623" customFormat="1" x14ac:dyDescent="0.2">
      <c r="B341" s="1631"/>
    </row>
    <row r="342" spans="2:2" s="1623" customFormat="1" x14ac:dyDescent="0.2">
      <c r="B342" s="1631"/>
    </row>
    <row r="343" spans="2:2" s="1623" customFormat="1" x14ac:dyDescent="0.2">
      <c r="B343" s="1631"/>
    </row>
    <row r="344" spans="2:2" s="1623" customFormat="1" x14ac:dyDescent="0.2">
      <c r="B344" s="1631"/>
    </row>
    <row r="345" spans="2:2" s="1623" customFormat="1" x14ac:dyDescent="0.2">
      <c r="B345" s="1631"/>
    </row>
    <row r="346" spans="2:2" s="1623" customFormat="1" x14ac:dyDescent="0.2">
      <c r="B346" s="1631"/>
    </row>
    <row r="347" spans="2:2" s="1623" customFormat="1" x14ac:dyDescent="0.2">
      <c r="B347" s="1631"/>
    </row>
    <row r="348" spans="2:2" s="1623" customFormat="1" x14ac:dyDescent="0.2">
      <c r="B348" s="1631"/>
    </row>
    <row r="349" spans="2:2" s="1623" customFormat="1" x14ac:dyDescent="0.2">
      <c r="B349" s="1631"/>
    </row>
    <row r="350" spans="2:2" s="1623" customFormat="1" x14ac:dyDescent="0.2">
      <c r="B350" s="1631"/>
    </row>
    <row r="351" spans="2:2" s="1623" customFormat="1" x14ac:dyDescent="0.2">
      <c r="B351" s="1631"/>
    </row>
    <row r="352" spans="2:2" s="1623" customFormat="1" x14ac:dyDescent="0.2">
      <c r="B352" s="1631"/>
    </row>
    <row r="353" spans="2:2" s="1623" customFormat="1" x14ac:dyDescent="0.2">
      <c r="B353" s="1631"/>
    </row>
    <row r="354" spans="2:2" s="1623" customFormat="1" x14ac:dyDescent="0.2">
      <c r="B354" s="1631"/>
    </row>
    <row r="355" spans="2:2" s="1623" customFormat="1" x14ac:dyDescent="0.2">
      <c r="B355" s="1631"/>
    </row>
    <row r="356" spans="2:2" s="1623" customFormat="1" x14ac:dyDescent="0.2">
      <c r="B356" s="1631"/>
    </row>
    <row r="357" spans="2:2" s="1623" customFormat="1" x14ac:dyDescent="0.2">
      <c r="B357" s="1631"/>
    </row>
    <row r="358" spans="2:2" s="1623" customFormat="1" x14ac:dyDescent="0.2">
      <c r="B358" s="1631"/>
    </row>
    <row r="359" spans="2:2" s="1623" customFormat="1" x14ac:dyDescent="0.2">
      <c r="B359" s="1631"/>
    </row>
    <row r="360" spans="2:2" s="1623" customFormat="1" x14ac:dyDescent="0.2">
      <c r="B360" s="1631"/>
    </row>
    <row r="361" spans="2:2" s="1623" customFormat="1" x14ac:dyDescent="0.2">
      <c r="B361" s="1631"/>
    </row>
    <row r="362" spans="2:2" s="1623" customFormat="1" x14ac:dyDescent="0.2">
      <c r="B362" s="1631"/>
    </row>
    <row r="363" spans="2:2" s="1623" customFormat="1" x14ac:dyDescent="0.2">
      <c r="B363" s="1631"/>
    </row>
    <row r="364" spans="2:2" s="1623" customFormat="1" x14ac:dyDescent="0.2">
      <c r="B364" s="1631"/>
    </row>
    <row r="365" spans="2:2" s="1623" customFormat="1" x14ac:dyDescent="0.2">
      <c r="B365" s="1631"/>
    </row>
    <row r="366" spans="2:2" s="1623" customFormat="1" x14ac:dyDescent="0.2">
      <c r="B366" s="1631"/>
    </row>
    <row r="367" spans="2:2" s="1623" customFormat="1" x14ac:dyDescent="0.2">
      <c r="B367" s="1631"/>
    </row>
    <row r="368" spans="2:2" s="1623" customFormat="1" x14ac:dyDescent="0.2">
      <c r="B368" s="1631"/>
    </row>
    <row r="369" spans="2:2" s="1623" customFormat="1" x14ac:dyDescent="0.2">
      <c r="B369" s="1631"/>
    </row>
    <row r="370" spans="2:2" s="1623" customFormat="1" x14ac:dyDescent="0.2">
      <c r="B370" s="1631"/>
    </row>
    <row r="371" spans="2:2" s="1623" customFormat="1" x14ac:dyDescent="0.2">
      <c r="B371" s="1631"/>
    </row>
    <row r="372" spans="2:2" s="1623" customFormat="1" x14ac:dyDescent="0.2">
      <c r="B372" s="1631"/>
    </row>
    <row r="373" spans="2:2" s="1623" customFormat="1" x14ac:dyDescent="0.2">
      <c r="B373" s="1631"/>
    </row>
    <row r="374" spans="2:2" s="1623" customFormat="1" x14ac:dyDescent="0.2">
      <c r="B374" s="1631"/>
    </row>
    <row r="375" spans="2:2" s="1623" customFormat="1" x14ac:dyDescent="0.2">
      <c r="B375" s="1631"/>
    </row>
    <row r="376" spans="2:2" s="1623" customFormat="1" x14ac:dyDescent="0.2">
      <c r="B376" s="1631"/>
    </row>
    <row r="377" spans="2:2" s="1623" customFormat="1" x14ac:dyDescent="0.2">
      <c r="B377" s="1631"/>
    </row>
    <row r="378" spans="2:2" s="1623" customFormat="1" x14ac:dyDescent="0.2">
      <c r="B378" s="1631"/>
    </row>
    <row r="379" spans="2:2" s="1623" customFormat="1" x14ac:dyDescent="0.2">
      <c r="B379" s="1631"/>
    </row>
    <row r="380" spans="2:2" s="1623" customFormat="1" x14ac:dyDescent="0.2">
      <c r="B380" s="1631"/>
    </row>
    <row r="381" spans="2:2" s="1623" customFormat="1" x14ac:dyDescent="0.2">
      <c r="B381" s="1631"/>
    </row>
    <row r="382" spans="2:2" s="1623" customFormat="1" x14ac:dyDescent="0.2">
      <c r="B382" s="1631"/>
    </row>
    <row r="383" spans="2:2" s="1623" customFormat="1" x14ac:dyDescent="0.2">
      <c r="B383" s="1631"/>
    </row>
    <row r="384" spans="2:2" s="1623" customFormat="1" x14ac:dyDescent="0.2">
      <c r="B384" s="1631"/>
    </row>
    <row r="385" spans="2:2" s="1623" customFormat="1" x14ac:dyDescent="0.2">
      <c r="B385" s="1631"/>
    </row>
    <row r="386" spans="2:2" s="1623" customFormat="1" x14ac:dyDescent="0.2">
      <c r="B386" s="1631"/>
    </row>
    <row r="387" spans="2:2" s="1623" customFormat="1" x14ac:dyDescent="0.2">
      <c r="B387" s="1631"/>
    </row>
    <row r="388" spans="2:2" s="1623" customFormat="1" x14ac:dyDescent="0.2">
      <c r="B388" s="1631"/>
    </row>
    <row r="389" spans="2:2" s="1623" customFormat="1" x14ac:dyDescent="0.2">
      <c r="B389" s="1631"/>
    </row>
    <row r="390" spans="2:2" s="1623" customFormat="1" x14ac:dyDescent="0.2">
      <c r="B390" s="1631"/>
    </row>
    <row r="391" spans="2:2" s="1623" customFormat="1" x14ac:dyDescent="0.2">
      <c r="B391" s="1631"/>
    </row>
    <row r="392" spans="2:2" s="1623" customFormat="1" x14ac:dyDescent="0.2">
      <c r="B392" s="1631"/>
    </row>
    <row r="393" spans="2:2" s="1623" customFormat="1" x14ac:dyDescent="0.2">
      <c r="B393" s="1631"/>
    </row>
    <row r="394" spans="2:2" s="1623" customFormat="1" x14ac:dyDescent="0.2">
      <c r="B394" s="1631"/>
    </row>
    <row r="395" spans="2:2" s="1623" customFormat="1" x14ac:dyDescent="0.2">
      <c r="B395" s="1631"/>
    </row>
    <row r="396" spans="2:2" s="1623" customFormat="1" x14ac:dyDescent="0.2">
      <c r="B396" s="1631"/>
    </row>
    <row r="397" spans="2:2" s="1623" customFormat="1" x14ac:dyDescent="0.2">
      <c r="B397" s="1631"/>
    </row>
    <row r="398" spans="2:2" s="1623" customFormat="1" x14ac:dyDescent="0.2">
      <c r="B398" s="1631"/>
    </row>
    <row r="399" spans="2:2" s="1623" customFormat="1" x14ac:dyDescent="0.2">
      <c r="B399" s="1631"/>
    </row>
    <row r="400" spans="2:2" s="1623" customFormat="1" x14ac:dyDescent="0.2">
      <c r="B400" s="1631"/>
    </row>
    <row r="401" spans="2:2" s="1623" customFormat="1" x14ac:dyDescent="0.2">
      <c r="B401" s="1631"/>
    </row>
    <row r="402" spans="2:2" s="1623" customFormat="1" x14ac:dyDescent="0.2">
      <c r="B402" s="1631"/>
    </row>
    <row r="403" spans="2:2" s="1623" customFormat="1" x14ac:dyDescent="0.2">
      <c r="B403" s="1631"/>
    </row>
    <row r="404" spans="2:2" s="1623" customFormat="1" x14ac:dyDescent="0.2">
      <c r="B404" s="1631"/>
    </row>
    <row r="405" spans="2:2" s="1623" customFormat="1" x14ac:dyDescent="0.2">
      <c r="B405" s="1631"/>
    </row>
    <row r="406" spans="2:2" s="1623" customFormat="1" x14ac:dyDescent="0.2">
      <c r="B406" s="1631"/>
    </row>
    <row r="407" spans="2:2" s="1623" customFormat="1" x14ac:dyDescent="0.2">
      <c r="B407" s="1631"/>
    </row>
    <row r="408" spans="2:2" s="1623" customFormat="1" x14ac:dyDescent="0.2">
      <c r="B408" s="1631"/>
    </row>
    <row r="409" spans="2:2" s="1623" customFormat="1" x14ac:dyDescent="0.2">
      <c r="B409" s="1631"/>
    </row>
    <row r="410" spans="2:2" s="1623" customFormat="1" x14ac:dyDescent="0.2">
      <c r="B410" s="1631"/>
    </row>
    <row r="411" spans="2:2" s="1623" customFormat="1" x14ac:dyDescent="0.2">
      <c r="B411" s="1631"/>
    </row>
    <row r="412" spans="2:2" s="1623" customFormat="1" x14ac:dyDescent="0.2">
      <c r="B412" s="1631"/>
    </row>
    <row r="413" spans="2:2" s="1623" customFormat="1" x14ac:dyDescent="0.2">
      <c r="B413" s="1631"/>
    </row>
    <row r="414" spans="2:2" s="1623" customFormat="1" x14ac:dyDescent="0.2">
      <c r="B414" s="1631"/>
    </row>
    <row r="415" spans="2:2" s="1623" customFormat="1" x14ac:dyDescent="0.2">
      <c r="B415" s="1631"/>
    </row>
    <row r="416" spans="2:2" s="1623" customFormat="1" x14ac:dyDescent="0.2">
      <c r="B416" s="1631"/>
    </row>
    <row r="417" spans="2:2" s="1623" customFormat="1" x14ac:dyDescent="0.2">
      <c r="B417" s="1631"/>
    </row>
    <row r="418" spans="2:2" s="1623" customFormat="1" x14ac:dyDescent="0.2">
      <c r="B418" s="1631"/>
    </row>
    <row r="419" spans="2:2" s="1623" customFormat="1" x14ac:dyDescent="0.2">
      <c r="B419" s="1631"/>
    </row>
    <row r="420" spans="2:2" s="1623" customFormat="1" x14ac:dyDescent="0.2">
      <c r="B420" s="1631"/>
    </row>
    <row r="421" spans="2:2" s="1623" customFormat="1" x14ac:dyDescent="0.2">
      <c r="B421" s="1631"/>
    </row>
    <row r="422" spans="2:2" s="1623" customFormat="1" x14ac:dyDescent="0.2">
      <c r="B422" s="1631"/>
    </row>
    <row r="423" spans="2:2" s="1623" customFormat="1" x14ac:dyDescent="0.2">
      <c r="B423" s="1631"/>
    </row>
    <row r="424" spans="2:2" s="1623" customFormat="1" x14ac:dyDescent="0.2">
      <c r="B424" s="1631"/>
    </row>
    <row r="425" spans="2:2" s="1623" customFormat="1" x14ac:dyDescent="0.2">
      <c r="B425" s="1631"/>
    </row>
    <row r="426" spans="2:2" s="1623" customFormat="1" x14ac:dyDescent="0.2">
      <c r="B426" s="1631"/>
    </row>
    <row r="427" spans="2:2" s="1623" customFormat="1" x14ac:dyDescent="0.2">
      <c r="B427" s="1631"/>
    </row>
    <row r="428" spans="2:2" s="1623" customFormat="1" x14ac:dyDescent="0.2">
      <c r="B428" s="1631"/>
    </row>
    <row r="429" spans="2:2" s="1623" customFormat="1" x14ac:dyDescent="0.2">
      <c r="B429" s="1631"/>
    </row>
    <row r="430" spans="2:2" s="1623" customFormat="1" x14ac:dyDescent="0.2">
      <c r="B430" s="1631"/>
    </row>
    <row r="431" spans="2:2" s="1623" customFormat="1" x14ac:dyDescent="0.2">
      <c r="B431" s="1631"/>
    </row>
    <row r="432" spans="2:2" s="1623" customFormat="1" x14ac:dyDescent="0.2">
      <c r="B432" s="1631"/>
    </row>
    <row r="433" spans="2:2" s="1623" customFormat="1" x14ac:dyDescent="0.2">
      <c r="B433" s="1631"/>
    </row>
    <row r="434" spans="2:2" s="1623" customFormat="1" x14ac:dyDescent="0.2">
      <c r="B434" s="1631"/>
    </row>
    <row r="435" spans="2:2" s="1623" customFormat="1" x14ac:dyDescent="0.2">
      <c r="B435" s="1631"/>
    </row>
    <row r="436" spans="2:2" s="1623" customFormat="1" x14ac:dyDescent="0.2">
      <c r="B436" s="1631"/>
    </row>
    <row r="437" spans="2:2" s="1623" customFormat="1" x14ac:dyDescent="0.2">
      <c r="B437" s="1631"/>
    </row>
    <row r="438" spans="2:2" s="1623" customFormat="1" x14ac:dyDescent="0.2">
      <c r="B438" s="1631"/>
    </row>
    <row r="439" spans="2:2" s="1623" customFormat="1" x14ac:dyDescent="0.2">
      <c r="B439" s="1631"/>
    </row>
    <row r="440" spans="2:2" s="1623" customFormat="1" x14ac:dyDescent="0.2">
      <c r="B440" s="1631"/>
    </row>
    <row r="441" spans="2:2" s="1623" customFormat="1" x14ac:dyDescent="0.2">
      <c r="B441" s="1631"/>
    </row>
    <row r="442" spans="2:2" s="1623" customFormat="1" x14ac:dyDescent="0.2">
      <c r="B442" s="1631"/>
    </row>
    <row r="443" spans="2:2" s="1623" customFormat="1" x14ac:dyDescent="0.2">
      <c r="B443" s="1631"/>
    </row>
    <row r="444" spans="2:2" s="1623" customFormat="1" x14ac:dyDescent="0.2">
      <c r="B444" s="1631"/>
    </row>
    <row r="445" spans="2:2" s="1623" customFormat="1" x14ac:dyDescent="0.2">
      <c r="B445" s="1631"/>
    </row>
    <row r="446" spans="2:2" s="1623" customFormat="1" x14ac:dyDescent="0.2">
      <c r="B446" s="1631"/>
    </row>
    <row r="447" spans="2:2" s="1623" customFormat="1" x14ac:dyDescent="0.2">
      <c r="B447" s="1631"/>
    </row>
    <row r="448" spans="2:2" s="1623" customFormat="1" x14ac:dyDescent="0.2">
      <c r="B448" s="1631"/>
    </row>
    <row r="449" spans="2:2" s="1623" customFormat="1" x14ac:dyDescent="0.2">
      <c r="B449" s="1631"/>
    </row>
    <row r="450" spans="2:2" s="1623" customFormat="1" x14ac:dyDescent="0.2">
      <c r="B450" s="1631"/>
    </row>
    <row r="451" spans="2:2" s="1623" customFormat="1" x14ac:dyDescent="0.2">
      <c r="B451" s="1631"/>
    </row>
    <row r="452" spans="2:2" s="1623" customFormat="1" x14ac:dyDescent="0.2">
      <c r="B452" s="1631"/>
    </row>
    <row r="453" spans="2:2" s="1623" customFormat="1" x14ac:dyDescent="0.2">
      <c r="B453" s="1631"/>
    </row>
    <row r="454" spans="2:2" s="1623" customFormat="1" x14ac:dyDescent="0.2">
      <c r="B454" s="1631"/>
    </row>
    <row r="455" spans="2:2" s="1623" customFormat="1" x14ac:dyDescent="0.2">
      <c r="B455" s="1631"/>
    </row>
    <row r="456" spans="2:2" s="1623" customFormat="1" x14ac:dyDescent="0.2">
      <c r="B456" s="1631"/>
    </row>
    <row r="457" spans="2:2" s="1623" customFormat="1" x14ac:dyDescent="0.2">
      <c r="B457" s="1631"/>
    </row>
    <row r="458" spans="2:2" s="1623" customFormat="1" x14ac:dyDescent="0.2">
      <c r="B458" s="1631"/>
    </row>
    <row r="459" spans="2:2" s="1623" customFormat="1" x14ac:dyDescent="0.2">
      <c r="B459" s="1631"/>
    </row>
    <row r="460" spans="2:2" s="1623" customFormat="1" x14ac:dyDescent="0.2">
      <c r="B460" s="1631"/>
    </row>
    <row r="461" spans="2:2" s="1623" customFormat="1" x14ac:dyDescent="0.2">
      <c r="B461" s="1631"/>
    </row>
    <row r="462" spans="2:2" s="1623" customFormat="1" x14ac:dyDescent="0.2">
      <c r="B462" s="1631"/>
    </row>
    <row r="463" spans="2:2" s="1623" customFormat="1" x14ac:dyDescent="0.2">
      <c r="B463" s="1631"/>
    </row>
    <row r="464" spans="2:2" s="1623" customFormat="1" x14ac:dyDescent="0.2">
      <c r="B464" s="1631"/>
    </row>
    <row r="465" spans="2:2" s="1623" customFormat="1" x14ac:dyDescent="0.2">
      <c r="B465" s="1631"/>
    </row>
    <row r="466" spans="2:2" s="1623" customFormat="1" x14ac:dyDescent="0.2">
      <c r="B466" s="1631"/>
    </row>
    <row r="467" spans="2:2" s="1623" customFormat="1" x14ac:dyDescent="0.2">
      <c r="B467" s="1631"/>
    </row>
    <row r="468" spans="2:2" s="1623" customFormat="1" x14ac:dyDescent="0.2">
      <c r="B468" s="1631"/>
    </row>
    <row r="469" spans="2:2" s="1623" customFormat="1" x14ac:dyDescent="0.2">
      <c r="B469" s="1631"/>
    </row>
    <row r="470" spans="2:2" s="1623" customFormat="1" x14ac:dyDescent="0.2">
      <c r="B470" s="1631"/>
    </row>
    <row r="471" spans="2:2" s="1623" customFormat="1" x14ac:dyDescent="0.2">
      <c r="B471" s="1631"/>
    </row>
    <row r="472" spans="2:2" s="1623" customFormat="1" x14ac:dyDescent="0.2">
      <c r="B472" s="1631"/>
    </row>
    <row r="473" spans="2:2" s="1623" customFormat="1" x14ac:dyDescent="0.2">
      <c r="B473" s="1631"/>
    </row>
    <row r="474" spans="2:2" s="1623" customFormat="1" x14ac:dyDescent="0.2">
      <c r="B474" s="1631"/>
    </row>
    <row r="475" spans="2:2" s="1623" customFormat="1" x14ac:dyDescent="0.2">
      <c r="B475" s="1631"/>
    </row>
    <row r="476" spans="2:2" s="1623" customFormat="1" x14ac:dyDescent="0.2">
      <c r="B476" s="1631"/>
    </row>
    <row r="477" spans="2:2" s="1623" customFormat="1" x14ac:dyDescent="0.2">
      <c r="B477" s="1631"/>
    </row>
    <row r="478" spans="2:2" s="1623" customFormat="1" x14ac:dyDescent="0.2">
      <c r="B478" s="1631"/>
    </row>
    <row r="479" spans="2:2" s="1623" customFormat="1" x14ac:dyDescent="0.2">
      <c r="B479" s="1631"/>
    </row>
    <row r="480" spans="2:2" s="1623" customFormat="1" x14ac:dyDescent="0.2">
      <c r="B480" s="1631"/>
    </row>
    <row r="481" spans="2:2" s="1623" customFormat="1" x14ac:dyDescent="0.2">
      <c r="B481" s="1631"/>
    </row>
    <row r="482" spans="2:2" s="1623" customFormat="1" x14ac:dyDescent="0.2">
      <c r="B482" s="1631"/>
    </row>
    <row r="483" spans="2:2" s="1623" customFormat="1" x14ac:dyDescent="0.2">
      <c r="B483" s="1631"/>
    </row>
    <row r="484" spans="2:2" s="1623" customFormat="1" x14ac:dyDescent="0.2">
      <c r="B484" s="1631"/>
    </row>
    <row r="485" spans="2:2" s="1623" customFormat="1" x14ac:dyDescent="0.2">
      <c r="B485" s="1631"/>
    </row>
    <row r="486" spans="2:2" s="1623" customFormat="1" x14ac:dyDescent="0.2">
      <c r="B486" s="1631"/>
    </row>
    <row r="487" spans="2:2" s="1623" customFormat="1" x14ac:dyDescent="0.2">
      <c r="B487" s="1631"/>
    </row>
    <row r="488" spans="2:2" s="1623" customFormat="1" x14ac:dyDescent="0.2">
      <c r="B488" s="1631"/>
    </row>
    <row r="489" spans="2:2" s="1623" customFormat="1" x14ac:dyDescent="0.2">
      <c r="B489" s="1631"/>
    </row>
    <row r="490" spans="2:2" s="1623" customFormat="1" x14ac:dyDescent="0.2">
      <c r="B490" s="1631"/>
    </row>
    <row r="491" spans="2:2" s="1623" customFormat="1" x14ac:dyDescent="0.2">
      <c r="B491" s="1631"/>
    </row>
    <row r="492" spans="2:2" s="1623" customFormat="1" x14ac:dyDescent="0.2">
      <c r="B492" s="1631"/>
    </row>
    <row r="493" spans="2:2" s="1623" customFormat="1" x14ac:dyDescent="0.2">
      <c r="B493" s="1631"/>
    </row>
    <row r="494" spans="2:2" s="1623" customFormat="1" x14ac:dyDescent="0.2">
      <c r="B494" s="1631"/>
    </row>
    <row r="495" spans="2:2" s="1623" customFormat="1" x14ac:dyDescent="0.2">
      <c r="B495" s="1631"/>
    </row>
    <row r="496" spans="2:2" s="1623" customFormat="1" x14ac:dyDescent="0.2">
      <c r="B496" s="1631"/>
    </row>
    <row r="497" spans="2:2" s="1623" customFormat="1" x14ac:dyDescent="0.2">
      <c r="B497" s="1631"/>
    </row>
    <row r="498" spans="2:2" s="1623" customFormat="1" x14ac:dyDescent="0.2">
      <c r="B498" s="1631"/>
    </row>
    <row r="499" spans="2:2" s="1623" customFormat="1" x14ac:dyDescent="0.2">
      <c r="B499" s="1631"/>
    </row>
    <row r="500" spans="2:2" s="1623" customFormat="1" x14ac:dyDescent="0.2">
      <c r="B500" s="1631"/>
    </row>
    <row r="501" spans="2:2" s="1623" customFormat="1" x14ac:dyDescent="0.2">
      <c r="B501" s="1631"/>
    </row>
    <row r="502" spans="2:2" s="1623" customFormat="1" x14ac:dyDescent="0.2">
      <c r="B502" s="1631"/>
    </row>
    <row r="503" spans="2:2" s="1623" customFormat="1" x14ac:dyDescent="0.2">
      <c r="B503" s="1631"/>
    </row>
    <row r="504" spans="2:2" s="1623" customFormat="1" x14ac:dyDescent="0.2">
      <c r="B504" s="1631"/>
    </row>
    <row r="505" spans="2:2" s="1623" customFormat="1" x14ac:dyDescent="0.2">
      <c r="B505" s="1631"/>
    </row>
    <row r="506" spans="2:2" s="1623" customFormat="1" x14ac:dyDescent="0.2">
      <c r="B506" s="1631"/>
    </row>
    <row r="507" spans="2:2" s="1623" customFormat="1" x14ac:dyDescent="0.2">
      <c r="B507" s="1631"/>
    </row>
    <row r="508" spans="2:2" s="1623" customFormat="1" x14ac:dyDescent="0.2">
      <c r="B508" s="1631"/>
    </row>
    <row r="509" spans="2:2" s="1623" customFormat="1" x14ac:dyDescent="0.2">
      <c r="B509" s="1631"/>
    </row>
    <row r="510" spans="2:2" s="1623" customFormat="1" x14ac:dyDescent="0.2">
      <c r="B510" s="1631"/>
    </row>
    <row r="511" spans="2:2" s="1623" customFormat="1" x14ac:dyDescent="0.2">
      <c r="B511" s="1631"/>
    </row>
    <row r="512" spans="2:2" s="1623" customFormat="1" x14ac:dyDescent="0.2">
      <c r="B512" s="1631"/>
    </row>
    <row r="513" spans="2:2" s="1623" customFormat="1" x14ac:dyDescent="0.2">
      <c r="B513" s="1631"/>
    </row>
    <row r="514" spans="2:2" s="1623" customFormat="1" x14ac:dyDescent="0.2">
      <c r="B514" s="1631"/>
    </row>
    <row r="515" spans="2:2" s="1623" customFormat="1" x14ac:dyDescent="0.2">
      <c r="B515" s="1631"/>
    </row>
    <row r="516" spans="2:2" s="1623" customFormat="1" x14ac:dyDescent="0.2">
      <c r="B516" s="1631"/>
    </row>
    <row r="517" spans="2:2" s="1623" customFormat="1" x14ac:dyDescent="0.2">
      <c r="B517" s="1631"/>
    </row>
    <row r="518" spans="2:2" s="1623" customFormat="1" x14ac:dyDescent="0.2">
      <c r="B518" s="1631"/>
    </row>
    <row r="519" spans="2:2" s="1623" customFormat="1" x14ac:dyDescent="0.2">
      <c r="B519" s="1631"/>
    </row>
    <row r="520" spans="2:2" s="1623" customFormat="1" x14ac:dyDescent="0.2">
      <c r="B520" s="1631"/>
    </row>
    <row r="521" spans="2:2" s="1623" customFormat="1" x14ac:dyDescent="0.2">
      <c r="B521" s="1631"/>
    </row>
    <row r="522" spans="2:2" s="1623" customFormat="1" x14ac:dyDescent="0.2">
      <c r="B522" s="1631"/>
    </row>
    <row r="523" spans="2:2" s="1623" customFormat="1" x14ac:dyDescent="0.2">
      <c r="B523" s="1631"/>
    </row>
    <row r="524" spans="2:2" s="1623" customFormat="1" x14ac:dyDescent="0.2">
      <c r="B524" s="1631"/>
    </row>
    <row r="525" spans="2:2" s="1623" customFormat="1" x14ac:dyDescent="0.2">
      <c r="B525" s="1631"/>
    </row>
    <row r="526" spans="2:2" s="1623" customFormat="1" x14ac:dyDescent="0.2">
      <c r="B526" s="1631"/>
    </row>
    <row r="527" spans="2:2" s="1623" customFormat="1" x14ac:dyDescent="0.2">
      <c r="B527" s="1631"/>
    </row>
    <row r="528" spans="2:2" s="1623" customFormat="1" x14ac:dyDescent="0.2">
      <c r="B528" s="1631"/>
    </row>
    <row r="529" spans="2:2" s="1623" customFormat="1" x14ac:dyDescent="0.2">
      <c r="B529" s="1631"/>
    </row>
    <row r="530" spans="2:2" s="1623" customFormat="1" x14ac:dyDescent="0.2">
      <c r="B530" s="1631"/>
    </row>
    <row r="531" spans="2:2" s="1623" customFormat="1" x14ac:dyDescent="0.2">
      <c r="B531" s="1631"/>
    </row>
    <row r="532" spans="2:2" s="1623" customFormat="1" x14ac:dyDescent="0.2">
      <c r="B532" s="1631"/>
    </row>
    <row r="533" spans="2:2" s="1623" customFormat="1" x14ac:dyDescent="0.2">
      <c r="B533" s="1631"/>
    </row>
    <row r="534" spans="2:2" s="1623" customFormat="1" x14ac:dyDescent="0.2">
      <c r="B534" s="1631"/>
    </row>
    <row r="535" spans="2:2" s="1623" customFormat="1" x14ac:dyDescent="0.2">
      <c r="B535" s="1631"/>
    </row>
    <row r="536" spans="2:2" s="1623" customFormat="1" x14ac:dyDescent="0.2">
      <c r="B536" s="1631"/>
    </row>
    <row r="537" spans="2:2" s="1623" customFormat="1" x14ac:dyDescent="0.2">
      <c r="B537" s="1631"/>
    </row>
    <row r="538" spans="2:2" s="1623" customFormat="1" x14ac:dyDescent="0.2">
      <c r="B538" s="1631"/>
    </row>
    <row r="539" spans="2:2" s="1623" customFormat="1" x14ac:dyDescent="0.2">
      <c r="B539" s="1631"/>
    </row>
    <row r="540" spans="2:2" s="1623" customFormat="1" x14ac:dyDescent="0.2">
      <c r="B540" s="1631"/>
    </row>
    <row r="541" spans="2:2" s="1623" customFormat="1" x14ac:dyDescent="0.2">
      <c r="B541" s="1631"/>
    </row>
    <row r="542" spans="2:2" s="1623" customFormat="1" x14ac:dyDescent="0.2">
      <c r="B542" s="1631"/>
    </row>
    <row r="543" spans="2:2" s="1623" customFormat="1" x14ac:dyDescent="0.2">
      <c r="B543" s="1631"/>
    </row>
    <row r="544" spans="2:2" s="1623" customFormat="1" x14ac:dyDescent="0.2">
      <c r="B544" s="1631"/>
    </row>
    <row r="545" spans="2:2" s="1623" customFormat="1" x14ac:dyDescent="0.2">
      <c r="B545" s="1631"/>
    </row>
    <row r="546" spans="2:2" s="1623" customFormat="1" x14ac:dyDescent="0.2">
      <c r="B546" s="1631"/>
    </row>
    <row r="547" spans="2:2" s="1623" customFormat="1" x14ac:dyDescent="0.2">
      <c r="B547" s="1631"/>
    </row>
    <row r="548" spans="2:2" s="1623" customFormat="1" x14ac:dyDescent="0.2">
      <c r="B548" s="1631"/>
    </row>
    <row r="549" spans="2:2" s="1623" customFormat="1" x14ac:dyDescent="0.2">
      <c r="B549" s="1631"/>
    </row>
    <row r="550" spans="2:2" s="1623" customFormat="1" x14ac:dyDescent="0.2">
      <c r="B550" s="1631"/>
    </row>
    <row r="551" spans="2:2" s="1623" customFormat="1" x14ac:dyDescent="0.2">
      <c r="B551" s="1631"/>
    </row>
    <row r="552" spans="2:2" s="1623" customFormat="1" x14ac:dyDescent="0.2">
      <c r="B552" s="1631"/>
    </row>
    <row r="553" spans="2:2" s="1623" customFormat="1" x14ac:dyDescent="0.2">
      <c r="B553" s="1631"/>
    </row>
    <row r="554" spans="2:2" s="1623" customFormat="1" x14ac:dyDescent="0.2">
      <c r="B554" s="1631"/>
    </row>
    <row r="555" spans="2:2" s="1623" customFormat="1" x14ac:dyDescent="0.2">
      <c r="B555" s="1631"/>
    </row>
    <row r="556" spans="2:2" s="1623" customFormat="1" x14ac:dyDescent="0.2">
      <c r="B556" s="1631"/>
    </row>
    <row r="557" spans="2:2" s="1623" customFormat="1" x14ac:dyDescent="0.2">
      <c r="B557" s="1631"/>
    </row>
    <row r="558" spans="2:2" s="1623" customFormat="1" x14ac:dyDescent="0.2">
      <c r="B558" s="1631"/>
    </row>
    <row r="559" spans="2:2" s="1623" customFormat="1" x14ac:dyDescent="0.2">
      <c r="B559" s="1631"/>
    </row>
    <row r="560" spans="2:2" s="1623" customFormat="1" x14ac:dyDescent="0.2">
      <c r="B560" s="1631"/>
    </row>
    <row r="561" spans="2:2" s="1623" customFormat="1" x14ac:dyDescent="0.2">
      <c r="B561" s="1631"/>
    </row>
    <row r="562" spans="2:2" s="1623" customFormat="1" x14ac:dyDescent="0.2">
      <c r="B562" s="1631"/>
    </row>
    <row r="563" spans="2:2" s="1623" customFormat="1" x14ac:dyDescent="0.2">
      <c r="B563" s="1631"/>
    </row>
    <row r="564" spans="2:2" s="1623" customFormat="1" x14ac:dyDescent="0.2">
      <c r="B564" s="1631"/>
    </row>
    <row r="565" spans="2:2" s="1623" customFormat="1" x14ac:dyDescent="0.2">
      <c r="B565" s="1631"/>
    </row>
    <row r="566" spans="2:2" s="1623" customFormat="1" x14ac:dyDescent="0.2">
      <c r="B566" s="1631"/>
    </row>
    <row r="567" spans="2:2" s="1623" customFormat="1" x14ac:dyDescent="0.2">
      <c r="B567" s="1631"/>
    </row>
    <row r="568" spans="2:2" s="1623" customFormat="1" x14ac:dyDescent="0.2">
      <c r="B568" s="1631"/>
    </row>
    <row r="569" spans="2:2" s="1623" customFormat="1" x14ac:dyDescent="0.2">
      <c r="B569" s="1631"/>
    </row>
    <row r="570" spans="2:2" s="1623" customFormat="1" x14ac:dyDescent="0.2">
      <c r="B570" s="1631"/>
    </row>
    <row r="571" spans="2:2" s="1623" customFormat="1" x14ac:dyDescent="0.2">
      <c r="B571" s="1631"/>
    </row>
    <row r="572" spans="2:2" s="1623" customFormat="1" x14ac:dyDescent="0.2">
      <c r="B572" s="1631"/>
    </row>
    <row r="573" spans="2:2" s="1623" customFormat="1" x14ac:dyDescent="0.2">
      <c r="B573" s="1631"/>
    </row>
    <row r="574" spans="2:2" s="1623" customFormat="1" x14ac:dyDescent="0.2">
      <c r="B574" s="1631"/>
    </row>
    <row r="575" spans="2:2" s="1623" customFormat="1" x14ac:dyDescent="0.2">
      <c r="B575" s="1631"/>
    </row>
    <row r="576" spans="2:2" s="1623" customFormat="1" x14ac:dyDescent="0.2">
      <c r="B576" s="1631"/>
    </row>
    <row r="577" spans="2:2" s="1623" customFormat="1" x14ac:dyDescent="0.2">
      <c r="B577" s="1631"/>
    </row>
    <row r="578" spans="2:2" s="1623" customFormat="1" x14ac:dyDescent="0.2">
      <c r="B578" s="1631"/>
    </row>
    <row r="579" spans="2:2" s="1623" customFormat="1" x14ac:dyDescent="0.2">
      <c r="B579" s="1631"/>
    </row>
    <row r="580" spans="2:2" s="1623" customFormat="1" x14ac:dyDescent="0.2">
      <c r="B580" s="1631"/>
    </row>
    <row r="581" spans="2:2" s="1623" customFormat="1" x14ac:dyDescent="0.2">
      <c r="B581" s="1631"/>
    </row>
    <row r="582" spans="2:2" s="1623" customFormat="1" x14ac:dyDescent="0.2">
      <c r="B582" s="1631"/>
    </row>
    <row r="583" spans="2:2" s="1623" customFormat="1" x14ac:dyDescent="0.2">
      <c r="B583" s="1631"/>
    </row>
    <row r="584" spans="2:2" s="1623" customFormat="1" x14ac:dyDescent="0.2">
      <c r="B584" s="1631"/>
    </row>
    <row r="585" spans="2:2" s="1623" customFormat="1" x14ac:dyDescent="0.2">
      <c r="B585" s="1631"/>
    </row>
    <row r="586" spans="2:2" s="1623" customFormat="1" x14ac:dyDescent="0.2">
      <c r="B586" s="1631"/>
    </row>
    <row r="587" spans="2:2" s="1623" customFormat="1" x14ac:dyDescent="0.2">
      <c r="B587" s="1631"/>
    </row>
    <row r="588" spans="2:2" s="1623" customFormat="1" x14ac:dyDescent="0.2">
      <c r="B588" s="1631"/>
    </row>
    <row r="589" spans="2:2" s="1623" customFormat="1" x14ac:dyDescent="0.2">
      <c r="B589" s="1631"/>
    </row>
    <row r="590" spans="2:2" s="1623" customFormat="1" x14ac:dyDescent="0.2">
      <c r="B590" s="1631"/>
    </row>
    <row r="591" spans="2:2" s="1623" customFormat="1" x14ac:dyDescent="0.2">
      <c r="B591" s="1631"/>
    </row>
    <row r="592" spans="2:2" s="1623" customFormat="1" x14ac:dyDescent="0.2">
      <c r="B592" s="1631"/>
    </row>
    <row r="593" spans="2:2" s="1623" customFormat="1" x14ac:dyDescent="0.2">
      <c r="B593" s="1631"/>
    </row>
    <row r="594" spans="2:2" s="1623" customFormat="1" x14ac:dyDescent="0.2">
      <c r="B594" s="1631"/>
    </row>
    <row r="595" spans="2:2" s="1623" customFormat="1" x14ac:dyDescent="0.2">
      <c r="B595" s="1631"/>
    </row>
    <row r="596" spans="2:2" s="1623" customFormat="1" x14ac:dyDescent="0.2">
      <c r="B596" s="1631"/>
    </row>
    <row r="597" spans="2:2" s="1623" customFormat="1" x14ac:dyDescent="0.2">
      <c r="B597" s="1631"/>
    </row>
    <row r="598" spans="2:2" s="1623" customFormat="1" x14ac:dyDescent="0.2">
      <c r="B598" s="1631"/>
    </row>
    <row r="599" spans="2:2" s="1623" customFormat="1" x14ac:dyDescent="0.2">
      <c r="B599" s="1631"/>
    </row>
    <row r="600" spans="2:2" s="1623" customFormat="1" x14ac:dyDescent="0.2">
      <c r="B600" s="1631"/>
    </row>
    <row r="601" spans="2:2" s="1623" customFormat="1" x14ac:dyDescent="0.2">
      <c r="B601" s="1631"/>
    </row>
    <row r="602" spans="2:2" s="1623" customFormat="1" x14ac:dyDescent="0.2">
      <c r="B602" s="1631"/>
    </row>
    <row r="603" spans="2:2" s="1623" customFormat="1" x14ac:dyDescent="0.2">
      <c r="B603" s="1631"/>
    </row>
    <row r="604" spans="2:2" s="1623" customFormat="1" x14ac:dyDescent="0.2">
      <c r="B604" s="1631"/>
    </row>
    <row r="605" spans="2:2" s="1623" customFormat="1" x14ac:dyDescent="0.2">
      <c r="B605" s="1631"/>
    </row>
    <row r="606" spans="2:2" s="1623" customFormat="1" x14ac:dyDescent="0.2">
      <c r="B606" s="1631"/>
    </row>
    <row r="607" spans="2:2" s="1623" customFormat="1" x14ac:dyDescent="0.2">
      <c r="B607" s="1631"/>
    </row>
    <row r="608" spans="2:2" s="1623" customFormat="1" x14ac:dyDescent="0.2">
      <c r="B608" s="1631"/>
    </row>
    <row r="609" spans="2:2" s="1623" customFormat="1" x14ac:dyDescent="0.2">
      <c r="B609" s="1631"/>
    </row>
    <row r="610" spans="2:2" s="1623" customFormat="1" x14ac:dyDescent="0.2">
      <c r="B610" s="1631"/>
    </row>
    <row r="611" spans="2:2" s="1623" customFormat="1" x14ac:dyDescent="0.2">
      <c r="B611" s="1631"/>
    </row>
    <row r="612" spans="2:2" s="1623" customFormat="1" x14ac:dyDescent="0.2">
      <c r="B612" s="1631"/>
    </row>
    <row r="613" spans="2:2" s="1623" customFormat="1" x14ac:dyDescent="0.2">
      <c r="B613" s="1631"/>
    </row>
    <row r="614" spans="2:2" s="1623" customFormat="1" x14ac:dyDescent="0.2">
      <c r="B614" s="1631"/>
    </row>
    <row r="615" spans="2:2" s="1623" customFormat="1" x14ac:dyDescent="0.2">
      <c r="B615" s="1631"/>
    </row>
    <row r="616" spans="2:2" s="1623" customFormat="1" x14ac:dyDescent="0.2">
      <c r="B616" s="1631"/>
    </row>
    <row r="617" spans="2:2" s="1623" customFormat="1" x14ac:dyDescent="0.2">
      <c r="B617" s="1631"/>
    </row>
    <row r="618" spans="2:2" s="1623" customFormat="1" x14ac:dyDescent="0.2">
      <c r="B618" s="1631"/>
    </row>
    <row r="619" spans="2:2" s="1623" customFormat="1" x14ac:dyDescent="0.2">
      <c r="B619" s="1631"/>
    </row>
    <row r="620" spans="2:2" s="1623" customFormat="1" x14ac:dyDescent="0.2">
      <c r="B620" s="1631"/>
    </row>
    <row r="621" spans="2:2" s="1623" customFormat="1" x14ac:dyDescent="0.2">
      <c r="B621" s="1631"/>
    </row>
    <row r="622" spans="2:2" s="1623" customFormat="1" x14ac:dyDescent="0.2">
      <c r="B622" s="1631"/>
    </row>
    <row r="623" spans="2:2" s="1623" customFormat="1" x14ac:dyDescent="0.2">
      <c r="B623" s="1631"/>
    </row>
    <row r="624" spans="2:2" s="1623" customFormat="1" x14ac:dyDescent="0.2">
      <c r="B624" s="1631"/>
    </row>
    <row r="625" spans="2:2" s="1623" customFormat="1" x14ac:dyDescent="0.2">
      <c r="B625" s="1631"/>
    </row>
    <row r="626" spans="2:2" s="1623" customFormat="1" x14ac:dyDescent="0.2">
      <c r="B626" s="1631"/>
    </row>
    <row r="627" spans="2:2" s="1623" customFormat="1" x14ac:dyDescent="0.2">
      <c r="B627" s="1631"/>
    </row>
    <row r="628" spans="2:2" s="1623" customFormat="1" x14ac:dyDescent="0.2">
      <c r="B628" s="1631"/>
    </row>
    <row r="629" spans="2:2" s="1623" customFormat="1" x14ac:dyDescent="0.2">
      <c r="B629" s="1631"/>
    </row>
    <row r="630" spans="2:2" s="1623" customFormat="1" x14ac:dyDescent="0.2">
      <c r="B630" s="1631"/>
    </row>
    <row r="631" spans="2:2" s="1623" customFormat="1" x14ac:dyDescent="0.2">
      <c r="B631" s="1631"/>
    </row>
    <row r="632" spans="2:2" s="1623" customFormat="1" x14ac:dyDescent="0.2">
      <c r="B632" s="1631"/>
    </row>
    <row r="633" spans="2:2" s="1623" customFormat="1" x14ac:dyDescent="0.2">
      <c r="B633" s="1631"/>
    </row>
    <row r="634" spans="2:2" s="1623" customFormat="1" x14ac:dyDescent="0.2">
      <c r="B634" s="1631"/>
    </row>
    <row r="635" spans="2:2" s="1623" customFormat="1" x14ac:dyDescent="0.2">
      <c r="B635" s="1631"/>
    </row>
    <row r="636" spans="2:2" s="1623" customFormat="1" x14ac:dyDescent="0.2">
      <c r="B636" s="1631"/>
    </row>
    <row r="637" spans="2:2" s="1623" customFormat="1" x14ac:dyDescent="0.2">
      <c r="B637" s="1631"/>
    </row>
    <row r="638" spans="2:2" s="1623" customFormat="1" x14ac:dyDescent="0.2">
      <c r="B638" s="1631"/>
    </row>
    <row r="639" spans="2:2" s="1623" customFormat="1" x14ac:dyDescent="0.2">
      <c r="B639" s="1631"/>
    </row>
    <row r="640" spans="2:2" s="1623" customFormat="1" x14ac:dyDescent="0.2">
      <c r="B640" s="1631"/>
    </row>
    <row r="641" spans="2:2" s="1623" customFormat="1" x14ac:dyDescent="0.2">
      <c r="B641" s="1631"/>
    </row>
    <row r="642" spans="2:2" s="1623" customFormat="1" x14ac:dyDescent="0.2">
      <c r="B642" s="1631"/>
    </row>
    <row r="643" spans="2:2" s="1623" customFormat="1" x14ac:dyDescent="0.2">
      <c r="B643" s="1631"/>
    </row>
    <row r="644" spans="2:2" s="1623" customFormat="1" x14ac:dyDescent="0.2">
      <c r="B644" s="1631"/>
    </row>
    <row r="645" spans="2:2" s="1623" customFormat="1" x14ac:dyDescent="0.2">
      <c r="B645" s="1631"/>
    </row>
    <row r="646" spans="2:2" s="1623" customFormat="1" x14ac:dyDescent="0.2">
      <c r="B646" s="1631"/>
    </row>
    <row r="647" spans="2:2" s="1623" customFormat="1" x14ac:dyDescent="0.2">
      <c r="B647" s="1631"/>
    </row>
    <row r="648" spans="2:2" s="1623" customFormat="1" x14ac:dyDescent="0.2">
      <c r="B648" s="1631"/>
    </row>
    <row r="649" spans="2:2" s="1623" customFormat="1" x14ac:dyDescent="0.2">
      <c r="B649" s="1631"/>
    </row>
    <row r="650" spans="2:2" s="1623" customFormat="1" x14ac:dyDescent="0.2">
      <c r="B650" s="1631"/>
    </row>
    <row r="651" spans="2:2" s="1623" customFormat="1" x14ac:dyDescent="0.2">
      <c r="B651" s="1631"/>
    </row>
    <row r="652" spans="2:2" s="1623" customFormat="1" x14ac:dyDescent="0.2">
      <c r="B652" s="1631"/>
    </row>
    <row r="653" spans="2:2" s="1623" customFormat="1" x14ac:dyDescent="0.2">
      <c r="B653" s="1631"/>
    </row>
    <row r="654" spans="2:2" s="1623" customFormat="1" x14ac:dyDescent="0.2">
      <c r="B654" s="1631"/>
    </row>
    <row r="655" spans="2:2" s="1623" customFormat="1" x14ac:dyDescent="0.2">
      <c r="B655" s="1631"/>
    </row>
    <row r="656" spans="2:2" s="1623" customFormat="1" x14ac:dyDescent="0.2">
      <c r="B656" s="1631"/>
    </row>
    <row r="657" spans="2:2" s="1623" customFormat="1" x14ac:dyDescent="0.2">
      <c r="B657" s="1631"/>
    </row>
    <row r="658" spans="2:2" s="1623" customFormat="1" x14ac:dyDescent="0.2">
      <c r="B658" s="1631"/>
    </row>
    <row r="659" spans="2:2" s="1623" customFormat="1" x14ac:dyDescent="0.2">
      <c r="B659" s="1631"/>
    </row>
    <row r="660" spans="2:2" s="1623" customFormat="1" x14ac:dyDescent="0.2">
      <c r="B660" s="1631"/>
    </row>
    <row r="661" spans="2:2" s="1623" customFormat="1" x14ac:dyDescent="0.2">
      <c r="B661" s="1631"/>
    </row>
    <row r="662" spans="2:2" s="1623" customFormat="1" x14ac:dyDescent="0.2">
      <c r="B662" s="1631"/>
    </row>
    <row r="663" spans="2:2" s="1623" customFormat="1" x14ac:dyDescent="0.2">
      <c r="B663" s="1631"/>
    </row>
    <row r="664" spans="2:2" s="1623" customFormat="1" x14ac:dyDescent="0.2">
      <c r="B664" s="1631"/>
    </row>
    <row r="665" spans="2:2" s="1623" customFormat="1" x14ac:dyDescent="0.2">
      <c r="B665" s="1631"/>
    </row>
    <row r="666" spans="2:2" s="1623" customFormat="1" x14ac:dyDescent="0.2">
      <c r="B666" s="1631"/>
    </row>
    <row r="667" spans="2:2" s="1623" customFormat="1" x14ac:dyDescent="0.2">
      <c r="B667" s="1631"/>
    </row>
    <row r="668" spans="2:2" s="1623" customFormat="1" x14ac:dyDescent="0.2">
      <c r="B668" s="1631"/>
    </row>
    <row r="669" spans="2:2" s="1623" customFormat="1" x14ac:dyDescent="0.2">
      <c r="B669" s="1631"/>
    </row>
    <row r="670" spans="2:2" s="1623" customFormat="1" x14ac:dyDescent="0.2">
      <c r="B670" s="1631"/>
    </row>
    <row r="671" spans="2:2" s="1623" customFormat="1" x14ac:dyDescent="0.2">
      <c r="B671" s="1631"/>
    </row>
    <row r="672" spans="2:2" s="1623" customFormat="1" x14ac:dyDescent="0.2">
      <c r="B672" s="1631"/>
    </row>
    <row r="673" spans="2:2" s="1623" customFormat="1" x14ac:dyDescent="0.2">
      <c r="B673" s="1631"/>
    </row>
    <row r="674" spans="2:2" s="1623" customFormat="1" x14ac:dyDescent="0.2">
      <c r="B674" s="1631"/>
    </row>
    <row r="675" spans="2:2" s="1623" customFormat="1" x14ac:dyDescent="0.2">
      <c r="B675" s="1631"/>
    </row>
    <row r="676" spans="2:2" s="1623" customFormat="1" x14ac:dyDescent="0.2">
      <c r="B676" s="1631"/>
    </row>
    <row r="677" spans="2:2" s="1623" customFormat="1" x14ac:dyDescent="0.2">
      <c r="B677" s="1631"/>
    </row>
    <row r="678" spans="2:2" s="1623" customFormat="1" x14ac:dyDescent="0.2">
      <c r="B678" s="1631"/>
    </row>
    <row r="679" spans="2:2" s="1623" customFormat="1" x14ac:dyDescent="0.2">
      <c r="B679" s="1631"/>
    </row>
    <row r="680" spans="2:2" s="1623" customFormat="1" x14ac:dyDescent="0.2">
      <c r="B680" s="1631"/>
    </row>
    <row r="681" spans="2:2" s="1623" customFormat="1" x14ac:dyDescent="0.2">
      <c r="B681" s="1631"/>
    </row>
    <row r="682" spans="2:2" s="1623" customFormat="1" x14ac:dyDescent="0.2">
      <c r="B682" s="1631"/>
    </row>
    <row r="683" spans="2:2" s="1623" customFormat="1" x14ac:dyDescent="0.2">
      <c r="B683" s="1631"/>
    </row>
    <row r="684" spans="2:2" s="1623" customFormat="1" x14ac:dyDescent="0.2">
      <c r="B684" s="1631"/>
    </row>
    <row r="685" spans="2:2" s="1623" customFormat="1" x14ac:dyDescent="0.2">
      <c r="B685" s="1631"/>
    </row>
    <row r="686" spans="2:2" s="1623" customFormat="1" x14ac:dyDescent="0.2">
      <c r="B686" s="1631"/>
    </row>
    <row r="687" spans="2:2" s="1623" customFormat="1" x14ac:dyDescent="0.2">
      <c r="B687" s="1631"/>
    </row>
    <row r="688" spans="2:2" s="1623" customFormat="1" x14ac:dyDescent="0.2">
      <c r="B688" s="1631"/>
    </row>
    <row r="689" spans="2:2" s="1623" customFormat="1" x14ac:dyDescent="0.2">
      <c r="B689" s="1631"/>
    </row>
    <row r="690" spans="2:2" s="1623" customFormat="1" x14ac:dyDescent="0.2">
      <c r="B690" s="1631"/>
    </row>
    <row r="691" spans="2:2" s="1623" customFormat="1" x14ac:dyDescent="0.2">
      <c r="B691" s="1631"/>
    </row>
    <row r="692" spans="2:2" s="1623" customFormat="1" x14ac:dyDescent="0.2">
      <c r="B692" s="1631"/>
    </row>
    <row r="693" spans="2:2" s="1623" customFormat="1" x14ac:dyDescent="0.2">
      <c r="B693" s="1631"/>
    </row>
    <row r="694" spans="2:2" s="1623" customFormat="1" x14ac:dyDescent="0.2">
      <c r="B694" s="1631"/>
    </row>
    <row r="695" spans="2:2" s="1623" customFormat="1" x14ac:dyDescent="0.2">
      <c r="B695" s="1631"/>
    </row>
    <row r="696" spans="2:2" s="1623" customFormat="1" x14ac:dyDescent="0.2">
      <c r="B696" s="1631"/>
    </row>
    <row r="697" spans="2:2" s="1623" customFormat="1" x14ac:dyDescent="0.2">
      <c r="B697" s="1631"/>
    </row>
    <row r="698" spans="2:2" s="1623" customFormat="1" x14ac:dyDescent="0.2">
      <c r="B698" s="1631"/>
    </row>
    <row r="699" spans="2:2" s="1623" customFormat="1" x14ac:dyDescent="0.2">
      <c r="B699" s="1631"/>
    </row>
    <row r="700" spans="2:2" s="1623" customFormat="1" x14ac:dyDescent="0.2">
      <c r="B700" s="1631"/>
    </row>
    <row r="701" spans="2:2" s="1623" customFormat="1" x14ac:dyDescent="0.2">
      <c r="B701" s="1631"/>
    </row>
    <row r="702" spans="2:2" s="1623" customFormat="1" x14ac:dyDescent="0.2">
      <c r="B702" s="1631"/>
    </row>
    <row r="703" spans="2:2" s="1623" customFormat="1" x14ac:dyDescent="0.2">
      <c r="B703" s="1631"/>
    </row>
    <row r="704" spans="2:2" s="1623" customFormat="1" x14ac:dyDescent="0.2">
      <c r="B704" s="1631"/>
    </row>
    <row r="705" spans="2:2" s="1623" customFormat="1" x14ac:dyDescent="0.2">
      <c r="B705" s="1631"/>
    </row>
    <row r="706" spans="2:2" s="1623" customFormat="1" x14ac:dyDescent="0.2">
      <c r="B706" s="1631"/>
    </row>
    <row r="707" spans="2:2" s="1623" customFormat="1" x14ac:dyDescent="0.2">
      <c r="B707" s="1631"/>
    </row>
    <row r="708" spans="2:2" s="1623" customFormat="1" x14ac:dyDescent="0.2">
      <c r="B708" s="1631"/>
    </row>
    <row r="709" spans="2:2" s="1623" customFormat="1" x14ac:dyDescent="0.2">
      <c r="B709" s="1631"/>
    </row>
    <row r="710" spans="2:2" s="1623" customFormat="1" x14ac:dyDescent="0.2">
      <c r="B710" s="1631"/>
    </row>
    <row r="711" spans="2:2" s="1623" customFormat="1" x14ac:dyDescent="0.2">
      <c r="B711" s="1631"/>
    </row>
    <row r="712" spans="2:2" s="1623" customFormat="1" x14ac:dyDescent="0.2">
      <c r="B712" s="1631"/>
    </row>
    <row r="713" spans="2:2" s="1623" customFormat="1" x14ac:dyDescent="0.2">
      <c r="B713" s="1631"/>
    </row>
    <row r="714" spans="2:2" s="1623" customFormat="1" x14ac:dyDescent="0.2">
      <c r="B714" s="1631"/>
    </row>
    <row r="715" spans="2:2" s="1623" customFormat="1" x14ac:dyDescent="0.2">
      <c r="B715" s="1631"/>
    </row>
    <row r="716" spans="2:2" s="1623" customFormat="1" x14ac:dyDescent="0.2">
      <c r="B716" s="1631"/>
    </row>
    <row r="717" spans="2:2" s="1623" customFormat="1" x14ac:dyDescent="0.2">
      <c r="B717" s="1631"/>
    </row>
    <row r="718" spans="2:2" s="1623" customFormat="1" x14ac:dyDescent="0.2">
      <c r="B718" s="1631"/>
    </row>
    <row r="719" spans="2:2" s="1623" customFormat="1" x14ac:dyDescent="0.2">
      <c r="B719" s="1631"/>
    </row>
    <row r="720" spans="2:2" s="1623" customFormat="1" x14ac:dyDescent="0.2">
      <c r="B720" s="1631"/>
    </row>
    <row r="721" spans="2:2" s="1623" customFormat="1" x14ac:dyDescent="0.2">
      <c r="B721" s="1631"/>
    </row>
    <row r="722" spans="2:2" s="1623" customFormat="1" x14ac:dyDescent="0.2">
      <c r="B722" s="1631"/>
    </row>
    <row r="723" spans="2:2" s="1623" customFormat="1" x14ac:dyDescent="0.2">
      <c r="B723" s="1631"/>
    </row>
    <row r="724" spans="2:2" s="1623" customFormat="1" x14ac:dyDescent="0.2">
      <c r="B724" s="1631"/>
    </row>
    <row r="725" spans="2:2" s="1623" customFormat="1" x14ac:dyDescent="0.2">
      <c r="B725" s="1631"/>
    </row>
    <row r="726" spans="2:2" s="1623" customFormat="1" x14ac:dyDescent="0.2">
      <c r="B726" s="1631"/>
    </row>
  </sheetData>
  <sheetProtection password="D0E7" sheet="1" objects="1" scenarios="1"/>
  <pageMargins left="0.7" right="0.7" top="0.75" bottom="0.75" header="0.3" footer="0.3"/>
  <pageSetup paperSize="9" orientation="portrait" verticalDpi="0"/>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
    <tabColor rgb="FF993366"/>
  </sheetPr>
  <dimension ref="A1:AF258"/>
  <sheetViews>
    <sheetView showGridLines="0" topLeftCell="A140" zoomScale="80" zoomScaleNormal="80" zoomScalePageLayoutView="80" workbookViewId="0">
      <selection activeCell="D159" sqref="D159:H159"/>
    </sheetView>
  </sheetViews>
  <sheetFormatPr baseColWidth="10" defaultColWidth="12" defaultRowHeight="12.75" x14ac:dyDescent="0.2"/>
  <cols>
    <col min="1" max="1" width="9" style="260" customWidth="1"/>
    <col min="2" max="2" width="22.33203125" style="260" customWidth="1"/>
    <col min="3" max="3" width="23.6640625" style="260" customWidth="1"/>
    <col min="4" max="4" width="12.33203125" style="260" bestFit="1" customWidth="1"/>
    <col min="5" max="5" width="12.83203125" style="260" bestFit="1" customWidth="1"/>
    <col min="6" max="6" width="14.1640625" style="260" customWidth="1"/>
    <col min="7" max="7" width="13.83203125" style="260" bestFit="1" customWidth="1"/>
    <col min="8" max="8" width="12.33203125" style="260" bestFit="1" customWidth="1"/>
    <col min="9" max="9" width="15.6640625" style="260" bestFit="1" customWidth="1"/>
    <col min="10" max="11" width="12.33203125" style="260" bestFit="1" customWidth="1"/>
    <col min="12" max="12" width="16.33203125" style="260" customWidth="1"/>
    <col min="13" max="13" width="15.6640625" style="260" bestFit="1" customWidth="1"/>
    <col min="14" max="14" width="15.5" style="260" customWidth="1"/>
    <col min="15" max="15" width="15.6640625" style="260" bestFit="1" customWidth="1"/>
    <col min="16" max="16" width="12.1640625" style="260" bestFit="1" customWidth="1"/>
    <col min="17" max="18" width="15.6640625" style="260" bestFit="1" customWidth="1"/>
    <col min="19" max="19" width="15.83203125" style="260" bestFit="1" customWidth="1"/>
    <col min="20" max="20" width="13.5" style="260" bestFit="1" customWidth="1"/>
    <col min="21" max="21" width="13.33203125" style="260" customWidth="1"/>
    <col min="22" max="22" width="12.33203125" style="260" bestFit="1" customWidth="1"/>
    <col min="23" max="26" width="12.1640625" style="260" bestFit="1" customWidth="1"/>
    <col min="27" max="16384" width="12" style="260"/>
  </cols>
  <sheetData>
    <row r="1" spans="1:17" s="689" customFormat="1" ht="15" x14ac:dyDescent="0.2">
      <c r="F1" s="690"/>
    </row>
    <row r="2" spans="1:17" ht="16.5" thickBot="1" x14ac:dyDescent="0.3">
      <c r="A2" s="2144" t="str">
        <f>'TRAD-Adults YEAR (2)'!B2</f>
        <v>Répartition prévue au début de la première année pour les patients déjà pris en charge</v>
      </c>
      <c r="B2" s="2144"/>
      <c r="C2" s="2144"/>
      <c r="D2" s="2144"/>
      <c r="E2" s="2144"/>
      <c r="F2" s="2144"/>
      <c r="G2" s="2144"/>
      <c r="H2" s="2144"/>
      <c r="I2" s="2144"/>
      <c r="J2" s="2144"/>
      <c r="K2" s="2144"/>
      <c r="L2" s="2144"/>
      <c r="M2" s="497"/>
      <c r="N2" s="497"/>
      <c r="O2" s="497"/>
      <c r="P2" s="497"/>
      <c r="Q2" s="497"/>
    </row>
    <row r="3" spans="1:17" ht="13.5" thickBot="1" x14ac:dyDescent="0.25"/>
    <row r="4" spans="1:17" s="524" customFormat="1" ht="16.5" thickBot="1" x14ac:dyDescent="0.3">
      <c r="B4" s="525" t="str">
        <f>'General Data'!D13</f>
        <v>Année 1</v>
      </c>
      <c r="C4" s="526" t="str">
        <f>'General Data'!E13</f>
        <v>Juillet 2014 - Juin 2015</v>
      </c>
      <c r="D4" s="527"/>
    </row>
    <row r="5" spans="1:17" ht="13.5" thickBot="1" x14ac:dyDescent="0.25">
      <c r="B5" s="902"/>
      <c r="C5" s="902"/>
      <c r="D5" s="497"/>
    </row>
    <row r="6" spans="1:17" s="524" customFormat="1" ht="16.5" thickBot="1" x14ac:dyDescent="0.3">
      <c r="B6" s="898" t="str">
        <f>'TRAD-Adults YEAR(1)'!B3</f>
        <v>Période réellement quantifiée :</v>
      </c>
      <c r="C6" s="899"/>
      <c r="D6" s="900" t="str">
        <f>IF('General Data'!G23="NA", "0", 'General Data'!G23)</f>
        <v>12</v>
      </c>
      <c r="E6" s="901" t="str">
        <f>'TRAD-Adults YEAR(1)'!B5</f>
        <v>mois</v>
      </c>
      <c r="G6" s="524" t="str">
        <f>'TRAD-Adults YEAR(1)'!B6</f>
        <v>Facteur multiplicateur</v>
      </c>
      <c r="I6" s="524">
        <f>D6*(D6+1)/2</f>
        <v>78</v>
      </c>
    </row>
    <row r="7" spans="1:17" s="524" customFormat="1" ht="16.5" thickBot="1" x14ac:dyDescent="0.3">
      <c r="B7" s="898" t="str">
        <f>'TRAD-Adults YEAR(1)'!B4</f>
        <v>Période quantifiée + tampon</v>
      </c>
      <c r="C7" s="899"/>
      <c r="D7" s="900">
        <f>D6+'General Data'!$E$30</f>
        <v>15</v>
      </c>
      <c r="E7" s="901" t="str">
        <f>'TRAD-Adults YEAR(1)'!B5</f>
        <v>mois</v>
      </c>
      <c r="G7" s="524" t="str">
        <f>'TRAD-Adults YEAR(1)'!B6</f>
        <v>Facteur multiplicateur</v>
      </c>
      <c r="I7" s="524">
        <f>D7*(D7+1)/2</f>
        <v>120</v>
      </c>
    </row>
    <row r="8" spans="1:17" s="523" customFormat="1" ht="13.5" thickBot="1" x14ac:dyDescent="0.25"/>
    <row r="9" spans="1:17" ht="77.25" thickBot="1" x14ac:dyDescent="0.25">
      <c r="B9" s="354"/>
      <c r="C9" s="691" t="str">
        <f>'TRAD-Adults YEAR(1)'!B7</f>
        <v>Schémas</v>
      </c>
      <c r="D9" s="691" t="str">
        <f>'TRAD-Adults YEAR(1)'!B8</f>
        <v>Nb de patients théoriques pour XXX patients totaux</v>
      </c>
      <c r="E9" s="692" t="str">
        <f>'TRAD-Adults YEAR(1)'!B9</f>
        <v>Proportion prévue au début de la période</v>
      </c>
    </row>
    <row r="10" spans="1:17" x14ac:dyDescent="0.2">
      <c r="B10" s="693" t="str">
        <f>'TRAD-Adults YEAR(1)'!B10</f>
        <v>1ères lignes</v>
      </c>
      <c r="C10" s="14" t="str">
        <f>'Data &amp; hypothesis Adults'!C26</f>
        <v>AZT+3TC+NVP</v>
      </c>
      <c r="D10" s="694">
        <f>'Data &amp; hypothesis Adults'!E26</f>
        <v>10529.132</v>
      </c>
      <c r="E10" s="695">
        <f>'Data &amp; hypothesis Adults'!D26</f>
        <v>0.72399999999999998</v>
      </c>
      <c r="G10" s="266" t="str">
        <f>'TRAD-Adults YEAR(1)'!B13</f>
        <v>Total Premières lignes</v>
      </c>
      <c r="H10" s="531"/>
      <c r="I10" s="532">
        <f>SUM(D10:D19)</f>
        <v>14092.166999999998</v>
      </c>
    </row>
    <row r="11" spans="1:17" ht="13.5" thickBot="1" x14ac:dyDescent="0.25">
      <c r="B11" s="696"/>
      <c r="C11" s="15" t="str">
        <f>'Data &amp; hypothesis Adults'!C27</f>
        <v>AZT+3TC+EFV</v>
      </c>
      <c r="D11" s="697">
        <f>'Data &amp; hypothesis Adults'!E27</f>
        <v>1367.0419999999999</v>
      </c>
      <c r="E11" s="698">
        <f>'Data &amp; hypothesis Adults'!D27</f>
        <v>9.4E-2</v>
      </c>
      <c r="G11" s="535"/>
      <c r="H11" s="536" t="s">
        <v>51</v>
      </c>
      <c r="I11" s="537">
        <f>I10/D29</f>
        <v>0.96899999999999997</v>
      </c>
    </row>
    <row r="12" spans="1:17" x14ac:dyDescent="0.2">
      <c r="B12" s="696"/>
      <c r="C12" s="15" t="str">
        <f>'Data &amp; hypothesis Adults'!C28</f>
        <v>AZT+3TC+ABC</v>
      </c>
      <c r="D12" s="697">
        <f>'Data &amp; hypothesis Adults'!E28</f>
        <v>29.086000000000002</v>
      </c>
      <c r="E12" s="698">
        <f>'Data &amp; hypothesis Adults'!D28</f>
        <v>2E-3</v>
      </c>
      <c r="G12" s="266" t="str">
        <f>'TRAD-Adults YEAR(1)'!B15</f>
        <v>Total Deuxièmes lignes</v>
      </c>
      <c r="H12" s="531"/>
      <c r="I12" s="532">
        <f>SUM(D20:D26)</f>
        <v>450.83299999999997</v>
      </c>
    </row>
    <row r="13" spans="1:17" ht="13.5" thickBot="1" x14ac:dyDescent="0.25">
      <c r="B13" s="696"/>
      <c r="C13" s="16" t="str">
        <f>'Data &amp; hypothesis Adults'!C29</f>
        <v>AZT+3TC+LPV/r</v>
      </c>
      <c r="D13" s="697">
        <f>'Data &amp; hypothesis Adults'!E29</f>
        <v>639.89199999999994</v>
      </c>
      <c r="E13" s="698">
        <f>'Data &amp; hypothesis Adults'!D29</f>
        <v>4.3999999999999997E-2</v>
      </c>
      <c r="G13" s="535"/>
      <c r="H13" s="536" t="s">
        <v>51</v>
      </c>
      <c r="I13" s="537">
        <f>I12/D29</f>
        <v>3.1000000000000003E-2</v>
      </c>
    </row>
    <row r="14" spans="1:17" x14ac:dyDescent="0.2">
      <c r="B14" s="696"/>
      <c r="C14" s="16" t="str">
        <f>'Data &amp; hypothesis Adults'!C30</f>
        <v>ABC+3TC+EFV</v>
      </c>
      <c r="D14" s="697">
        <f>'Data &amp; hypothesis Adults'!E30</f>
        <v>43.628999999999998</v>
      </c>
      <c r="E14" s="698">
        <f>'Data &amp; hypothesis Adults'!D30</f>
        <v>3.0000000000000001E-3</v>
      </c>
      <c r="G14" s="497"/>
      <c r="H14" s="522"/>
      <c r="I14" s="1270"/>
    </row>
    <row r="15" spans="1:17" x14ac:dyDescent="0.2">
      <c r="B15" s="696"/>
      <c r="C15" s="15" t="str">
        <f>'Data &amp; hypothesis Adults'!C31</f>
        <v>TDF+FTC/3TC+EFV</v>
      </c>
      <c r="D15" s="697">
        <f>'Data &amp; hypothesis Adults'!E31</f>
        <v>1454.3000000000002</v>
      </c>
      <c r="E15" s="698">
        <f>'Data &amp; hypothesis Adults'!D31</f>
        <v>0.1</v>
      </c>
    </row>
    <row r="16" spans="1:17" x14ac:dyDescent="0.2">
      <c r="B16" s="696"/>
      <c r="C16" s="15" t="str">
        <f>'Data &amp; hypothesis Adults'!C32</f>
        <v>TDF+FTC/3TC+LPV/r</v>
      </c>
      <c r="D16" s="697">
        <f>'Data &amp; hypothesis Adults'!E32</f>
        <v>0</v>
      </c>
      <c r="E16" s="698">
        <f>'Data &amp; hypothesis Adults'!D32</f>
        <v>0</v>
      </c>
    </row>
    <row r="17" spans="2:14" x14ac:dyDescent="0.2">
      <c r="B17" s="696"/>
      <c r="C17" s="15" t="str">
        <f>'Data &amp; hypothesis Adults'!C33</f>
        <v>ABC+3TC+LPV/r</v>
      </c>
      <c r="D17" s="697">
        <f>'Data &amp; hypothesis Adults'!E33</f>
        <v>0</v>
      </c>
      <c r="E17" s="698">
        <f>'Data &amp; hypothesis Adults'!D33</f>
        <v>0</v>
      </c>
    </row>
    <row r="18" spans="2:14" x14ac:dyDescent="0.2">
      <c r="B18" s="696"/>
      <c r="C18" s="36" t="str">
        <f>'Data &amp; hypothesis Adults'!C34</f>
        <v>TDF+3TC/FTC+ABC</v>
      </c>
      <c r="D18" s="697">
        <f>'Data &amp; hypothesis Adults'!E34</f>
        <v>29.086000000000002</v>
      </c>
      <c r="E18" s="698">
        <f>'Data &amp; hypothesis Adults'!D34</f>
        <v>2E-3</v>
      </c>
    </row>
    <row r="19" spans="2:14" x14ac:dyDescent="0.2">
      <c r="B19" s="696"/>
      <c r="C19" s="1155">
        <f>'Data &amp; hypothesis Adults'!C35</f>
        <v>0</v>
      </c>
      <c r="D19" s="699">
        <f>'Data &amp; hypothesis Adults'!E35</f>
        <v>0</v>
      </c>
      <c r="E19" s="700">
        <f>'Data &amp; hypothesis Adults'!D35</f>
        <v>0</v>
      </c>
    </row>
    <row r="20" spans="2:14" x14ac:dyDescent="0.2">
      <c r="B20" s="701" t="str">
        <f>'TRAD-Adults YEAR(1)'!B11</f>
        <v>2èmes lignes</v>
      </c>
      <c r="C20" s="18" t="str">
        <f>'Data &amp; hypothesis Adults'!C36</f>
        <v>TDF+FTC/3TC+LPV/r</v>
      </c>
      <c r="D20" s="703">
        <f>'Data &amp; hypothesis Adults'!E36</f>
        <v>415.9298</v>
      </c>
      <c r="E20" s="704">
        <f>'Data &amp; hypothesis Adults'!D36</f>
        <v>2.86E-2</v>
      </c>
    </row>
    <row r="21" spans="2:14" x14ac:dyDescent="0.2">
      <c r="B21" s="696"/>
      <c r="C21" s="16" t="str">
        <f>'Data &amp; hypothesis Adults'!C37</f>
        <v>TDF+FTC/3TC+ATV/r</v>
      </c>
      <c r="D21" s="697">
        <f>'Data &amp; hypothesis Adults'!E37</f>
        <v>34.903199999999998</v>
      </c>
      <c r="E21" s="698">
        <f>'Data &amp; hypothesis Adults'!D37</f>
        <v>2.3999999999999998E-3</v>
      </c>
    </row>
    <row r="22" spans="2:14" x14ac:dyDescent="0.2">
      <c r="B22" s="696"/>
      <c r="C22" s="16" t="str">
        <f>'Data &amp; hypothesis Adults'!C38</f>
        <v>ABC+DDI+LPV/r</v>
      </c>
      <c r="D22" s="697">
        <f>'Data &amp; hypothesis Adults'!E38</f>
        <v>0</v>
      </c>
      <c r="E22" s="698">
        <f>'Data &amp; hypothesis Adults'!D38</f>
        <v>0</v>
      </c>
    </row>
    <row r="23" spans="2:14" x14ac:dyDescent="0.2">
      <c r="B23" s="696"/>
      <c r="C23" s="15" t="str">
        <f>'Data &amp; hypothesis Adults'!C39</f>
        <v>TDF+3TC/FTC+ABC</v>
      </c>
      <c r="D23" s="697">
        <f>'Data &amp; hypothesis Adults'!E39</f>
        <v>0</v>
      </c>
      <c r="E23" s="698">
        <f>'Data &amp; hypothesis Adults'!D39</f>
        <v>0</v>
      </c>
    </row>
    <row r="24" spans="2:14" x14ac:dyDescent="0.2">
      <c r="B24" s="696"/>
      <c r="C24" s="15" t="str">
        <f>'Data &amp; hypothesis Adults'!C40</f>
        <v>AZT+3TC+LPV/r</v>
      </c>
      <c r="D24" s="697">
        <f>'Data &amp; hypothesis Adults'!E40</f>
        <v>0</v>
      </c>
      <c r="E24" s="698">
        <f>'Data &amp; hypothesis Adults'!D40</f>
        <v>0</v>
      </c>
    </row>
    <row r="25" spans="2:14" x14ac:dyDescent="0.2">
      <c r="B25" s="696"/>
      <c r="C25" s="36">
        <f>'Data &amp; hypothesis Adults'!C41</f>
        <v>0</v>
      </c>
      <c r="D25" s="697">
        <f>'Data &amp; hypothesis Adults'!E41</f>
        <v>0</v>
      </c>
      <c r="E25" s="698">
        <f>'Data &amp; hypothesis Adults'!D41</f>
        <v>0</v>
      </c>
    </row>
    <row r="26" spans="2:14" x14ac:dyDescent="0.2">
      <c r="B26" s="696"/>
      <c r="C26" s="1155">
        <f>'Data &amp; hypothesis Adults'!C42</f>
        <v>0</v>
      </c>
      <c r="D26" s="699">
        <f>'Data &amp; hypothesis Adults'!E42</f>
        <v>0</v>
      </c>
      <c r="E26" s="700">
        <f>'Data &amp; hypothesis Adults'!D42</f>
        <v>0</v>
      </c>
    </row>
    <row r="27" spans="2:14" x14ac:dyDescent="0.2">
      <c r="B27" s="701" t="str">
        <f>'TRAD-Adults YEAR(1)'!B12</f>
        <v>3èmes lignes</v>
      </c>
      <c r="C27" s="702" t="s">
        <v>195</v>
      </c>
      <c r="D27" s="703">
        <f>'Data &amp; hypothesis Adults'!E43</f>
        <v>0</v>
      </c>
      <c r="E27" s="704">
        <f>'Data &amp; hypothesis Adults'!D43</f>
        <v>0</v>
      </c>
    </row>
    <row r="28" spans="2:14" ht="13.5" thickBot="1" x14ac:dyDescent="0.25">
      <c r="B28" s="696"/>
      <c r="C28" s="497"/>
      <c r="D28" s="699">
        <f>'Data &amp; hypothesis Adults'!E44</f>
        <v>0</v>
      </c>
      <c r="E28" s="700">
        <f>'Data &amp; hypothesis Adults'!D44</f>
        <v>0</v>
      </c>
    </row>
    <row r="29" spans="2:14" ht="14.25" thickTop="1" thickBot="1" x14ac:dyDescent="0.25">
      <c r="B29" s="706"/>
      <c r="C29" s="707" t="s">
        <v>6</v>
      </c>
      <c r="D29" s="708">
        <f>'Data &amp; hypothesis Adults'!E45</f>
        <v>14542.999999999998</v>
      </c>
      <c r="E29" s="836">
        <f>SUM(E10:E28)</f>
        <v>0.99999999999999989</v>
      </c>
    </row>
    <row r="31" spans="2:14" x14ac:dyDescent="0.2">
      <c r="B31" s="290" t="str">
        <f>'TRAD-Adults YEAR(1)'!B17</f>
        <v>Commentaire</v>
      </c>
      <c r="C31" s="291"/>
      <c r="D31" s="291"/>
      <c r="E31" s="291"/>
      <c r="F31" s="291"/>
      <c r="G31" s="291"/>
      <c r="H31" s="291"/>
      <c r="I31" s="291"/>
      <c r="J31" s="291"/>
      <c r="K31" s="291"/>
      <c r="L31" s="291"/>
      <c r="M31" s="291"/>
      <c r="N31" s="497"/>
    </row>
    <row r="32" spans="2:14" x14ac:dyDescent="0.2">
      <c r="C32" s="260" t="str">
        <f>'TRAD-Adults YEAR(1)'!B18</f>
        <v>considérant que le passage en 3ème ligne est théorique, le nombre total n'en tient pas compte de manière à laisser les quantités suffisantes en 2èmes lignes</v>
      </c>
    </row>
    <row r="34" spans="1:20" ht="16.5" thickBot="1" x14ac:dyDescent="0.3">
      <c r="A34" s="2144" t="str">
        <f>'TRAD-Adults YEAR (2)'!B7</f>
        <v>Evolution de la file active de patients sous traitement à prévoir pour la 1ère année</v>
      </c>
      <c r="B34" s="2144"/>
      <c r="C34" s="2144"/>
      <c r="D34" s="2144"/>
      <c r="E34" s="2144"/>
      <c r="F34" s="2144"/>
      <c r="G34" s="2144"/>
      <c r="H34" s="2144"/>
      <c r="I34" s="2144"/>
      <c r="J34" s="2144"/>
      <c r="K34" s="2144"/>
      <c r="L34" s="2144"/>
      <c r="M34" s="497"/>
      <c r="N34" s="497"/>
      <c r="O34" s="497"/>
      <c r="P34" s="497"/>
      <c r="Q34" s="497"/>
    </row>
    <row r="36" spans="1:20" ht="15" x14ac:dyDescent="0.2">
      <c r="B36" s="2143" t="str">
        <f>'TRAD-Adults YEAR(1)'!B19</f>
        <v>Répartition des Initiations</v>
      </c>
      <c r="C36" s="2143"/>
      <c r="D36" s="2143"/>
      <c r="E36" s="2143"/>
      <c r="F36" s="2143"/>
      <c r="G36" s="2143"/>
      <c r="H36" s="2143"/>
      <c r="I36" s="2143"/>
      <c r="J36" s="2143"/>
      <c r="K36" s="2143"/>
      <c r="L36" s="2143"/>
      <c r="M36" s="2143"/>
      <c r="N36" s="961"/>
      <c r="O36" s="497"/>
      <c r="P36" s="497"/>
      <c r="Q36" s="497"/>
    </row>
    <row r="37" spans="1:20" ht="13.5" thickBot="1" x14ac:dyDescent="0.25"/>
    <row r="38" spans="1:20" s="545" customFormat="1" ht="51.75" thickBot="1" x14ac:dyDescent="0.25">
      <c r="B38" s="709" t="str">
        <f>'TRAD-Adults YEAR(1)'!B20</f>
        <v>Schémas thérap. Initiations</v>
      </c>
      <c r="C38" s="951" t="str">
        <f>'TRAD-Adults YEAR(1)'!B21</f>
        <v>Critères</v>
      </c>
      <c r="D38" s="951" t="s">
        <v>51</v>
      </c>
      <c r="E38" s="951" t="str">
        <f>'TRAD-Adults YEAR(1)'!B23</f>
        <v>Nb de patients mensuels</v>
      </c>
      <c r="F38" s="710" t="str">
        <f>'TRAD-Adults YEAR(1)'!B24</f>
        <v>Nb de patients total sur la période définie</v>
      </c>
      <c r="M38" s="962"/>
      <c r="T38" s="962"/>
    </row>
    <row r="39" spans="1:20" ht="13.5" thickBot="1" x14ac:dyDescent="0.25">
      <c r="B39" s="711" t="str">
        <f>C10</f>
        <v>AZT+3TC+NVP</v>
      </c>
      <c r="C39" s="546">
        <f>'Data &amp; hypothesis Adults'!C56</f>
        <v>0</v>
      </c>
      <c r="D39" s="1510">
        <f>'Data &amp; hypothesis Adults'!D56</f>
        <v>0.05</v>
      </c>
      <c r="E39" s="1504">
        <f>D39*E$49</f>
        <v>20.6</v>
      </c>
      <c r="F39" s="1507">
        <f>E39*$D$6</f>
        <v>247.20000000000002</v>
      </c>
    </row>
    <row r="40" spans="1:20" ht="13.5" thickBot="1" x14ac:dyDescent="0.25">
      <c r="B40" s="712" t="str">
        <f t="shared" ref="B40:B46" si="0">C11</f>
        <v>AZT+3TC+EFV</v>
      </c>
      <c r="C40" s="546">
        <f>'Data &amp; hypothesis Adults'!C57</f>
        <v>0</v>
      </c>
      <c r="D40" s="1511">
        <f>'Data &amp; hypothesis Adults'!D57</f>
        <v>5.0000000000000001E-3</v>
      </c>
      <c r="E40" s="1505">
        <f t="shared" ref="E40:E46" si="1">D40*E$49</f>
        <v>2.06</v>
      </c>
      <c r="F40" s="1508">
        <f t="shared" ref="F40:F45" si="2">E40*$D$6</f>
        <v>24.72</v>
      </c>
    </row>
    <row r="41" spans="1:20" ht="13.5" thickBot="1" x14ac:dyDescent="0.25">
      <c r="B41" s="712" t="str">
        <f t="shared" si="0"/>
        <v>AZT+3TC+ABC</v>
      </c>
      <c r="C41" s="546">
        <f>'Data &amp; hypothesis Adults'!C58</f>
        <v>0</v>
      </c>
      <c r="D41" s="1511">
        <f>'Data &amp; hypothesis Adults'!D58</f>
        <v>0.01</v>
      </c>
      <c r="E41" s="1505">
        <f t="shared" si="1"/>
        <v>4.12</v>
      </c>
      <c r="F41" s="1508">
        <f t="shared" si="2"/>
        <v>49.44</v>
      </c>
    </row>
    <row r="42" spans="1:20" ht="13.5" thickBot="1" x14ac:dyDescent="0.25">
      <c r="B42" s="712" t="str">
        <f t="shared" si="0"/>
        <v>AZT+3TC+LPV/r</v>
      </c>
      <c r="C42" s="546">
        <f>'Data &amp; hypothesis Adults'!C59</f>
        <v>0</v>
      </c>
      <c r="D42" s="1511">
        <f>'Data &amp; hypothesis Adults'!D59</f>
        <v>0.01</v>
      </c>
      <c r="E42" s="1505">
        <f t="shared" si="1"/>
        <v>4.12</v>
      </c>
      <c r="F42" s="1508">
        <f t="shared" si="2"/>
        <v>49.44</v>
      </c>
    </row>
    <row r="43" spans="1:20" ht="13.5" thickBot="1" x14ac:dyDescent="0.25">
      <c r="B43" s="713" t="str">
        <f t="shared" si="0"/>
        <v>ABC+3TC+EFV</v>
      </c>
      <c r="C43" s="546">
        <f>'Data &amp; hypothesis Adults'!C60</f>
        <v>0</v>
      </c>
      <c r="D43" s="1511">
        <f>'Data &amp; hypothesis Adults'!D60</f>
        <v>0</v>
      </c>
      <c r="E43" s="1505">
        <f t="shared" ref="E43" si="3">D43*E$49</f>
        <v>0</v>
      </c>
      <c r="F43" s="1508">
        <f t="shared" ref="F43" si="4">E43*$D$6</f>
        <v>0</v>
      </c>
    </row>
    <row r="44" spans="1:20" ht="13.5" thickBot="1" x14ac:dyDescent="0.25">
      <c r="B44" s="713" t="str">
        <f t="shared" si="0"/>
        <v>TDF+FTC/3TC+EFV</v>
      </c>
      <c r="C44" s="546">
        <f>'Data &amp; hypothesis Adults'!C61</f>
        <v>0</v>
      </c>
      <c r="D44" s="1512">
        <f>'Data &amp; hypothesis Adults'!D61</f>
        <v>0.92</v>
      </c>
      <c r="E44" s="1506">
        <f t="shared" si="1"/>
        <v>379.04</v>
      </c>
      <c r="F44" s="1509">
        <f t="shared" si="2"/>
        <v>4548.4800000000005</v>
      </c>
    </row>
    <row r="45" spans="1:20" ht="13.5" thickBot="1" x14ac:dyDescent="0.25">
      <c r="B45" s="713" t="str">
        <f t="shared" si="0"/>
        <v>TDF+FTC/3TC+LPV/r</v>
      </c>
      <c r="C45" s="546">
        <f>'Data &amp; hypothesis Adults'!C62</f>
        <v>0</v>
      </c>
      <c r="D45" s="1512">
        <f>'Data &amp; hypothesis Adults'!D62</f>
        <v>0</v>
      </c>
      <c r="E45" s="1506">
        <f t="shared" si="1"/>
        <v>0</v>
      </c>
      <c r="F45" s="1509">
        <f t="shared" si="2"/>
        <v>0</v>
      </c>
    </row>
    <row r="46" spans="1:20" ht="13.5" thickBot="1" x14ac:dyDescent="0.25">
      <c r="B46" s="713" t="str">
        <f t="shared" si="0"/>
        <v>ABC+3TC+LPV/r</v>
      </c>
      <c r="C46" s="546">
        <f>'Data &amp; hypothesis Adults'!C63</f>
        <v>0</v>
      </c>
      <c r="D46" s="1512">
        <f>'Data &amp; hypothesis Adults'!D63</f>
        <v>5.0000000000000001E-3</v>
      </c>
      <c r="E46" s="1506">
        <f t="shared" si="1"/>
        <v>2.06</v>
      </c>
      <c r="F46" s="1509">
        <f>E46*$D$6</f>
        <v>24.72</v>
      </c>
    </row>
    <row r="47" spans="1:20" ht="13.5" thickBot="1" x14ac:dyDescent="0.25">
      <c r="B47" s="713" t="str">
        <f t="shared" ref="B47:B48" si="5">C18</f>
        <v>TDF+3TC/FTC+ABC</v>
      </c>
      <c r="C47" s="546">
        <f>'Data &amp; hypothesis Adults'!C64</f>
        <v>0</v>
      </c>
      <c r="D47" s="1512">
        <f>'Data &amp; hypothesis Adults'!D64</f>
        <v>0</v>
      </c>
      <c r="E47" s="1506">
        <f t="shared" ref="E47:E48" si="6">D47*E$49</f>
        <v>0</v>
      </c>
      <c r="F47" s="1509">
        <f t="shared" ref="F47:F48" si="7">E47*$D$6</f>
        <v>0</v>
      </c>
    </row>
    <row r="48" spans="1:20" ht="13.5" thickBot="1" x14ac:dyDescent="0.25">
      <c r="B48" s="713">
        <f t="shared" si="5"/>
        <v>0</v>
      </c>
      <c r="C48" s="546">
        <f>'Data &amp; hypothesis Adults'!C65</f>
        <v>0</v>
      </c>
      <c r="D48" s="1512">
        <f>'Data &amp; hypothesis Adults'!D65</f>
        <v>0</v>
      </c>
      <c r="E48" s="1506">
        <f t="shared" si="6"/>
        <v>0</v>
      </c>
      <c r="F48" s="1509">
        <f t="shared" si="7"/>
        <v>0</v>
      </c>
    </row>
    <row r="49" spans="1:21" ht="14.25" thickTop="1" thickBot="1" x14ac:dyDescent="0.25">
      <c r="B49" s="714" t="s">
        <v>6</v>
      </c>
      <c r="C49" s="715"/>
      <c r="D49" s="716"/>
      <c r="E49" s="716">
        <f>'Data &amp; hypothesis Adults'!E8</f>
        <v>412</v>
      </c>
      <c r="F49" s="1604">
        <f>SUM(F39:F48)</f>
        <v>4944.0000000000009</v>
      </c>
    </row>
    <row r="50" spans="1:21" x14ac:dyDescent="0.2">
      <c r="A50" s="528"/>
    </row>
    <row r="51" spans="1:21" ht="13.5" thickBot="1" x14ac:dyDescent="0.25">
      <c r="B51" s="719"/>
    </row>
    <row r="52" spans="1:21" s="545" customFormat="1" ht="64.5" thickBot="1" x14ac:dyDescent="0.25">
      <c r="B52" s="709" t="str">
        <f>'TRAD-Adults YEAR(1)'!B20</f>
        <v>Schémas thérap. Initiations</v>
      </c>
      <c r="C52" s="951" t="str">
        <f>'TRAD-Adults YEAR(1)'!B21</f>
        <v>Critères</v>
      </c>
      <c r="D52" s="951" t="str">
        <f>'TRAD-Adults YEAR(1)'!B23</f>
        <v>Nb de patients mensuels</v>
      </c>
      <c r="E52" s="951" t="str">
        <f>'TRAD-Adults YEAR(1)'!B26</f>
        <v>Total patients-mois</v>
      </c>
      <c r="F52" s="1607" t="str">
        <f>'TRAD-Adults YEAR(1)'!B28</f>
        <v>Médicaments nécessaires</v>
      </c>
      <c r="G52" s="720"/>
      <c r="H52" s="951" t="str">
        <f>'TRAD-Adults YEAR(1)'!B29</f>
        <v>Total patients-mois AVEC Marge de sécurité</v>
      </c>
      <c r="I52" s="710" t="str">
        <f>'TRAD-Adults YEAR(1)'!B40</f>
        <v>Nb de patients-mois</v>
      </c>
      <c r="N52" s="962"/>
      <c r="U52" s="962"/>
    </row>
    <row r="53" spans="1:21" ht="13.5" thickBot="1" x14ac:dyDescent="0.25">
      <c r="B53" s="711" t="str">
        <f t="shared" ref="B53:B60" si="8">B39</f>
        <v>AZT+3TC+NVP</v>
      </c>
      <c r="C53" s="546">
        <f>'Data &amp; hypothesis Adults'!C56</f>
        <v>0</v>
      </c>
      <c r="D53" s="548">
        <f t="shared" ref="D53:D57" si="9">$E39</f>
        <v>20.6</v>
      </c>
      <c r="E53" s="721">
        <f t="shared" ref="E53:E60" si="10">D53*(D$6*(D$6+1)/2)</f>
        <v>1606.8000000000002</v>
      </c>
      <c r="F53" s="546" t="s">
        <v>57</v>
      </c>
      <c r="G53" s="546"/>
      <c r="H53" s="721">
        <f>D53*((D$6+'General Data'!E$30)*(D$6+'General Data'!E$30+1)/2)</f>
        <v>2472</v>
      </c>
      <c r="I53" s="722">
        <f t="shared" ref="I53:I60" si="11">H53-E53</f>
        <v>865.19999999999982</v>
      </c>
    </row>
    <row r="54" spans="1:21" ht="13.5" thickBot="1" x14ac:dyDescent="0.25">
      <c r="B54" s="712" t="str">
        <f t="shared" si="8"/>
        <v>AZT+3TC+EFV</v>
      </c>
      <c r="C54" s="546">
        <f>'Data &amp; hypothesis Adults'!C57</f>
        <v>0</v>
      </c>
      <c r="D54" s="324">
        <f t="shared" si="9"/>
        <v>2.06</v>
      </c>
      <c r="E54" s="721">
        <f t="shared" si="10"/>
        <v>160.68</v>
      </c>
      <c r="F54" s="323" t="s">
        <v>58</v>
      </c>
      <c r="G54" s="323" t="s">
        <v>17</v>
      </c>
      <c r="H54" s="721">
        <f>D54*((D$6+'General Data'!E$30)*(D$6+'General Data'!E$30+1)/2)</f>
        <v>247.20000000000002</v>
      </c>
      <c r="I54" s="722">
        <f t="shared" si="11"/>
        <v>86.52000000000001</v>
      </c>
    </row>
    <row r="55" spans="1:21" ht="13.5" thickBot="1" x14ac:dyDescent="0.25">
      <c r="B55" s="712" t="str">
        <f t="shared" si="8"/>
        <v>AZT+3TC+ABC</v>
      </c>
      <c r="C55" s="546">
        <f>'Data &amp; hypothesis Adults'!C58</f>
        <v>0</v>
      </c>
      <c r="D55" s="324">
        <f t="shared" si="9"/>
        <v>4.12</v>
      </c>
      <c r="E55" s="721">
        <f t="shared" si="10"/>
        <v>321.36</v>
      </c>
      <c r="F55" s="323" t="s">
        <v>345</v>
      </c>
      <c r="G55" s="323"/>
      <c r="H55" s="721">
        <f>D55*((D$6+'General Data'!E$30)*(D$6+'General Data'!E$30+1)/2)</f>
        <v>494.40000000000003</v>
      </c>
      <c r="I55" s="722">
        <f t="shared" si="11"/>
        <v>173.04000000000002</v>
      </c>
    </row>
    <row r="56" spans="1:21" ht="13.5" thickBot="1" x14ac:dyDescent="0.25">
      <c r="B56" s="712" t="str">
        <f t="shared" si="8"/>
        <v>AZT+3TC+LPV/r</v>
      </c>
      <c r="C56" s="546">
        <f>'Data &amp; hypothesis Adults'!C59</f>
        <v>0</v>
      </c>
      <c r="D56" s="324">
        <f t="shared" si="9"/>
        <v>4.12</v>
      </c>
      <c r="E56" s="721">
        <f t="shared" si="10"/>
        <v>321.36</v>
      </c>
      <c r="F56" s="323" t="s">
        <v>58</v>
      </c>
      <c r="G56" s="323" t="s">
        <v>33</v>
      </c>
      <c r="H56" s="721">
        <f>D56*((D$6+'General Data'!E$30)*(D$6+'General Data'!E$30+1)/2)</f>
        <v>494.40000000000003</v>
      </c>
      <c r="I56" s="722">
        <f>H56-E56</f>
        <v>173.04000000000002</v>
      </c>
    </row>
    <row r="57" spans="1:21" ht="13.5" thickBot="1" x14ac:dyDescent="0.25">
      <c r="B57" s="713" t="str">
        <f t="shared" si="8"/>
        <v>ABC+3TC+EFV</v>
      </c>
      <c r="C57" s="546">
        <f>'Data &amp; hypothesis Adults'!C60</f>
        <v>0</v>
      </c>
      <c r="D57" s="324">
        <f t="shared" si="9"/>
        <v>0</v>
      </c>
      <c r="E57" s="721">
        <f t="shared" ref="E57" si="12">D57*(D$6*(D$6+1)/2)</f>
        <v>0</v>
      </c>
      <c r="F57" s="323" t="s">
        <v>739</v>
      </c>
      <c r="G57" s="314" t="s">
        <v>17</v>
      </c>
      <c r="H57" s="721">
        <f>D57*((D$6+'General Data'!E$30)*(D$6+'General Data'!E$30+1)/2)</f>
        <v>0</v>
      </c>
      <c r="I57" s="722">
        <f>H57-E57</f>
        <v>0</v>
      </c>
    </row>
    <row r="58" spans="1:21" ht="13.5" thickBot="1" x14ac:dyDescent="0.25">
      <c r="B58" s="713" t="str">
        <f t="shared" si="8"/>
        <v>TDF+FTC/3TC+EFV</v>
      </c>
      <c r="C58" s="546">
        <f>'Data &amp; hypothesis Adults'!C61</f>
        <v>0</v>
      </c>
      <c r="D58" s="315">
        <f>$E44</f>
        <v>379.04</v>
      </c>
      <c r="E58" s="721">
        <f t="shared" si="10"/>
        <v>29565.120000000003</v>
      </c>
      <c r="F58" s="314" t="s">
        <v>59</v>
      </c>
      <c r="G58" s="314"/>
      <c r="H58" s="721">
        <f>D58*((D$6+'General Data'!E$30)*(D$6+'General Data'!E$30+1)/2)</f>
        <v>45484.800000000003</v>
      </c>
      <c r="I58" s="722">
        <f t="shared" si="11"/>
        <v>15919.68</v>
      </c>
    </row>
    <row r="59" spans="1:21" ht="13.5" thickBot="1" x14ac:dyDescent="0.25">
      <c r="B59" s="713" t="str">
        <f t="shared" si="8"/>
        <v>TDF+FTC/3TC+LPV/r</v>
      </c>
      <c r="C59" s="546">
        <f>'Data &amp; hypothesis Adults'!C62</f>
        <v>0</v>
      </c>
      <c r="D59" s="315">
        <f>$E45</f>
        <v>0</v>
      </c>
      <c r="E59" s="721">
        <f t="shared" si="10"/>
        <v>0</v>
      </c>
      <c r="F59" s="314" t="s">
        <v>201</v>
      </c>
      <c r="G59" s="314" t="s">
        <v>17</v>
      </c>
      <c r="H59" s="721">
        <f>D59*((D$6+'General Data'!E$30)*(D$6+'General Data'!E$30+1)/2)</f>
        <v>0</v>
      </c>
      <c r="I59" s="722">
        <f t="shared" si="11"/>
        <v>0</v>
      </c>
    </row>
    <row r="60" spans="1:21" ht="13.5" thickBot="1" x14ac:dyDescent="0.25">
      <c r="B60" s="713" t="str">
        <f t="shared" si="8"/>
        <v>ABC+3TC+LPV/r</v>
      </c>
      <c r="C60" s="546">
        <f>'Data &amp; hypothesis Adults'!C63</f>
        <v>0</v>
      </c>
      <c r="D60" s="315">
        <f>$E46</f>
        <v>2.06</v>
      </c>
      <c r="E60" s="721">
        <f t="shared" si="10"/>
        <v>160.68</v>
      </c>
      <c r="F60" s="314" t="s">
        <v>60</v>
      </c>
      <c r="G60" s="314" t="s">
        <v>17</v>
      </c>
      <c r="H60" s="721">
        <f>D60*((D$6+'General Data'!E$30)*(D$6+'General Data'!E$30+1)/2)</f>
        <v>247.20000000000002</v>
      </c>
      <c r="I60" s="722">
        <f t="shared" si="11"/>
        <v>86.52000000000001</v>
      </c>
    </row>
    <row r="61" spans="1:21" ht="13.5" thickBot="1" x14ac:dyDescent="0.25">
      <c r="B61" s="713" t="str">
        <f t="shared" ref="B61:B62" si="13">B47</f>
        <v>TDF+3TC/FTC+ABC</v>
      </c>
      <c r="C61" s="546">
        <f>'Data &amp; hypothesis Adults'!C64</f>
        <v>0</v>
      </c>
      <c r="D61" s="2083"/>
      <c r="E61" s="2084"/>
      <c r="F61" s="803"/>
      <c r="G61" s="803"/>
      <c r="H61" s="2084"/>
      <c r="I61" s="2085"/>
    </row>
    <row r="62" spans="1:21" ht="13.5" thickBot="1" x14ac:dyDescent="0.25">
      <c r="B62" s="713">
        <f t="shared" si="13"/>
        <v>0</v>
      </c>
      <c r="C62" s="546">
        <f>'Data &amp; hypothesis Adults'!C65</f>
        <v>0</v>
      </c>
      <c r="D62" s="552">
        <f>$E48</f>
        <v>0</v>
      </c>
      <c r="E62" s="723">
        <f>D62*(D$6*(D$6+1)/2)</f>
        <v>0</v>
      </c>
      <c r="F62" s="551" t="s">
        <v>60</v>
      </c>
      <c r="G62" s="551" t="s">
        <v>19</v>
      </c>
      <c r="H62" s="723">
        <f>D62*((D$6+'General Data'!E$30)*(D$6+'General Data'!E$30+1)/2)</f>
        <v>0</v>
      </c>
      <c r="I62" s="724">
        <f>H62-E62</f>
        <v>0</v>
      </c>
    </row>
    <row r="63" spans="1:21" ht="14.25" thickTop="1" thickBot="1" x14ac:dyDescent="0.25">
      <c r="B63" s="725" t="s">
        <v>288</v>
      </c>
      <c r="C63" s="726"/>
      <c r="D63" s="727">
        <f>SUM(D53:D62)</f>
        <v>412</v>
      </c>
      <c r="E63" s="727">
        <f>SUM(E53:E62)</f>
        <v>32136.000000000004</v>
      </c>
      <c r="F63" s="726"/>
      <c r="G63" s="726"/>
      <c r="H63" s="727"/>
      <c r="I63" s="718"/>
    </row>
    <row r="64" spans="1:21" x14ac:dyDescent="0.2">
      <c r="R64" s="292"/>
    </row>
    <row r="66" spans="2:20" ht="15" x14ac:dyDescent="0.2">
      <c r="B66" s="2143" t="str">
        <f>'TRAD-Adults YEAR(1)'!B31</f>
        <v>Passage en 2ème ligne</v>
      </c>
      <c r="C66" s="2143"/>
      <c r="D66" s="2143"/>
      <c r="E66" s="2143"/>
      <c r="F66" s="2143"/>
      <c r="G66" s="2143"/>
      <c r="H66" s="2143"/>
      <c r="I66" s="2143"/>
      <c r="J66" s="2143"/>
      <c r="K66" s="2143"/>
      <c r="L66" s="2143"/>
      <c r="M66" s="2143"/>
      <c r="N66" s="961"/>
    </row>
    <row r="68" spans="2:20" x14ac:dyDescent="0.2">
      <c r="B68" s="528" t="str">
        <f>'TRAD-Adults YEAR(1)'!B32</f>
        <v>Taux de passage en 2ème ligne</v>
      </c>
      <c r="C68" s="528"/>
      <c r="D68" s="728">
        <f>'Data &amp; hypothesis Adults'!D72</f>
        <v>5.5E-2</v>
      </c>
      <c r="E68" s="528" t="str">
        <f>'TRAD-Adults YEAR(1)'!B33</f>
        <v>des patients à la fin de l'année</v>
      </c>
      <c r="F68" s="528"/>
      <c r="G68" s="528"/>
      <c r="H68" s="566">
        <f>ROUNDUP(D68*(D29+F49), 0)</f>
        <v>1072</v>
      </c>
    </row>
    <row r="69" spans="2:20" s="523" customFormat="1" ht="13.5" thickBot="1" x14ac:dyDescent="0.25">
      <c r="E69" s="567"/>
      <c r="G69" s="565" t="str">
        <f>'TRAD-Adults YEAR(1)'!B34</f>
        <v>Nb de patients en 2ème ligne au début de l'année :</v>
      </c>
      <c r="H69" s="568">
        <f>$I$12</f>
        <v>450.83299999999997</v>
      </c>
    </row>
    <row r="70" spans="2:20" ht="13.5" thickBot="1" x14ac:dyDescent="0.25">
      <c r="B70" s="528"/>
      <c r="C70" s="528"/>
      <c r="D70" s="569"/>
      <c r="E70" s="570"/>
      <c r="F70" s="571"/>
      <c r="G70" s="572" t="str">
        <f>'TRAD-Adults YEAR(1)'!B45</f>
        <v>Nb de patients ayant switché dans l'année :</v>
      </c>
      <c r="H70" s="729">
        <f>IF((H68-$I$12)&gt;0, H68-$I$12, 0)</f>
        <v>621.16700000000003</v>
      </c>
      <c r="J70" s="730" t="str">
        <f>'TRAD-Adults YEAR(1)'!B23</f>
        <v>Nb de patients mensuels</v>
      </c>
      <c r="K70" s="570"/>
      <c r="L70" s="731">
        <f>H70/D6</f>
        <v>51.763916666666667</v>
      </c>
    </row>
    <row r="71" spans="2:20" ht="13.5" thickBot="1" x14ac:dyDescent="0.25"/>
    <row r="72" spans="2:20" s="545" customFormat="1" ht="64.5" thickBot="1" x14ac:dyDescent="0.25">
      <c r="B72" s="709" t="str">
        <f>'TRAD-Adults YEAR(1)'!B37</f>
        <v>Schémas thérap. 2èmes lignes</v>
      </c>
      <c r="C72" s="951" t="str">
        <f>'TRAD-Adults YEAR(1)'!B38</f>
        <v>TOTAL n de patients</v>
      </c>
      <c r="D72" s="951" t="str">
        <f>'TRAD-Adults YEAR(1)'!B23</f>
        <v>Nb de patients mensuels</v>
      </c>
      <c r="E72" s="951" t="s">
        <v>51</v>
      </c>
      <c r="F72" s="951" t="str">
        <f>'TRAD-Adults YEAR(1)'!B39</f>
        <v>Nb de patients-mois</v>
      </c>
      <c r="G72" s="1612" t="str">
        <f>'TRAD-Adults YEAR(1)'!B29</f>
        <v>Total patients-mois AVEC Marge de sécurité</v>
      </c>
      <c r="H72" s="710" t="str">
        <f>'TRAD-Adults YEAR(1)'!B30</f>
        <v>Nb de patients-mois Marge de sécurité SEULE</v>
      </c>
      <c r="M72" s="962"/>
      <c r="T72" s="962"/>
    </row>
    <row r="73" spans="2:20" x14ac:dyDescent="0.2">
      <c r="B73" s="1910" t="str">
        <f>C20</f>
        <v>TDF+FTC/3TC+LPV/r</v>
      </c>
      <c r="C73" s="1911">
        <f>'Data &amp; hypothesis Adults'!C106</f>
        <v>424.34186668287776</v>
      </c>
      <c r="D73" s="1911">
        <f>C73/$D$6</f>
        <v>35.361822223573149</v>
      </c>
      <c r="E73" s="1912">
        <f>C73/C$80</f>
        <v>1</v>
      </c>
      <c r="F73" s="1913">
        <f>D73*(D$6*(D$6+1)/2)</f>
        <v>2758.2221334387054</v>
      </c>
      <c r="G73" s="1913">
        <f>D73*((D$6+'General Data'!E$30)*(D$6+'General Data'!E$30+1)/2)</f>
        <v>4243.4186668287775</v>
      </c>
      <c r="H73" s="1914">
        <f>G73-F73</f>
        <v>1485.1965333900721</v>
      </c>
    </row>
    <row r="74" spans="2:20" x14ac:dyDescent="0.2">
      <c r="B74" s="1915" t="str">
        <f t="shared" ref="B74:B79" si="14">C21</f>
        <v>TDF+FTC/3TC+ATV/r</v>
      </c>
      <c r="C74" s="587">
        <f>'Data &amp; hypothesis Adults'!C107</f>
        <v>0</v>
      </c>
      <c r="D74" s="1196">
        <f>C74/$D$6</f>
        <v>0</v>
      </c>
      <c r="E74" s="534">
        <f>C74/C$80</f>
        <v>0</v>
      </c>
      <c r="F74" s="1142">
        <f>D74*(D$6*(D$6+1)/2)</f>
        <v>0</v>
      </c>
      <c r="G74" s="1142">
        <f>D74*((D$6+'General Data'!E$30)*(D$6+'General Data'!E$30+1)/2)</f>
        <v>0</v>
      </c>
      <c r="H74" s="1143">
        <f>G74-F74</f>
        <v>0</v>
      </c>
    </row>
    <row r="75" spans="2:20" x14ac:dyDescent="0.2">
      <c r="B75" s="1916" t="str">
        <f t="shared" si="14"/>
        <v>ABC+DDI+LPV/r</v>
      </c>
      <c r="C75" s="734">
        <f>'Data &amp; hypothesis Adults'!C108</f>
        <v>0</v>
      </c>
      <c r="D75" s="734">
        <f>C75/$D$6</f>
        <v>0</v>
      </c>
      <c r="E75" s="735">
        <f>C75/C$80</f>
        <v>0</v>
      </c>
      <c r="F75" s="1142">
        <f>D75*(D$6*(D$6+1)/2)</f>
        <v>0</v>
      </c>
      <c r="G75" s="1142">
        <f>D75*((D$6+'General Data'!E$30)*(D$6+'General Data'!E$30+1)/2)</f>
        <v>0</v>
      </c>
      <c r="H75" s="1143">
        <f>G75-F75</f>
        <v>0</v>
      </c>
    </row>
    <row r="76" spans="2:20" x14ac:dyDescent="0.2">
      <c r="B76" s="1915" t="str">
        <f t="shared" si="14"/>
        <v>TDF+3TC/FTC+ABC</v>
      </c>
      <c r="C76" s="734">
        <f>'Data &amp; hypothesis Adults'!C109</f>
        <v>0</v>
      </c>
      <c r="D76" s="734">
        <f>C76/$D$6</f>
        <v>0</v>
      </c>
      <c r="E76" s="735">
        <f>C76/C$80</f>
        <v>0</v>
      </c>
      <c r="F76" s="1142">
        <f>D76*(D$6*(D$6+1)/2)</f>
        <v>0</v>
      </c>
      <c r="G76" s="1142">
        <f>D76*((D$6+'General Data'!E$30)*(D$6+'General Data'!E$30+1)/2)</f>
        <v>0</v>
      </c>
      <c r="H76" s="1143">
        <f>G76-F76</f>
        <v>0</v>
      </c>
    </row>
    <row r="77" spans="2:20" x14ac:dyDescent="0.2">
      <c r="B77" s="1916" t="str">
        <f t="shared" si="14"/>
        <v>AZT+3TC+LPV/r</v>
      </c>
      <c r="C77" s="734">
        <f>'Data &amp; hypothesis Adults'!C110</f>
        <v>195.87603135967444</v>
      </c>
      <c r="D77" s="734">
        <f t="shared" ref="D77:D79" si="15">C77/$D$6</f>
        <v>16.323002613306205</v>
      </c>
      <c r="E77" s="735">
        <f t="shared" ref="E77:E79" si="16">C77/C$80</f>
        <v>0.46159958924358963</v>
      </c>
      <c r="F77" s="1142">
        <f t="shared" ref="F77:F79" si="17">D77*(D$6*(D$6+1)/2)</f>
        <v>1273.1942038378841</v>
      </c>
      <c r="G77" s="1142">
        <f>D77*((D$6+'General Data'!E$30)*(D$6+'General Data'!E$30+1)/2)</f>
        <v>1958.7603135967445</v>
      </c>
      <c r="H77" s="1143">
        <f t="shared" ref="H77:H79" si="18">G77-F77</f>
        <v>685.56610975886042</v>
      </c>
    </row>
    <row r="78" spans="2:20" x14ac:dyDescent="0.2">
      <c r="B78" s="1915">
        <f t="shared" si="14"/>
        <v>0</v>
      </c>
      <c r="C78" s="734">
        <f>'Data &amp; hypothesis Adults'!C111</f>
        <v>0</v>
      </c>
      <c r="D78" s="734">
        <f t="shared" si="15"/>
        <v>0</v>
      </c>
      <c r="E78" s="735">
        <f t="shared" si="16"/>
        <v>0</v>
      </c>
      <c r="F78" s="1142">
        <f t="shared" si="17"/>
        <v>0</v>
      </c>
      <c r="G78" s="1142">
        <f>D78*((D$6+'General Data'!E$30)*(D$6+'General Data'!E$30+1)/2)</f>
        <v>0</v>
      </c>
      <c r="H78" s="1143">
        <f t="shared" si="18"/>
        <v>0</v>
      </c>
    </row>
    <row r="79" spans="2:20" ht="13.5" thickBot="1" x14ac:dyDescent="0.25">
      <c r="B79" s="1917">
        <f t="shared" si="14"/>
        <v>0</v>
      </c>
      <c r="C79" s="1918">
        <f>'Data &amp; hypothesis Adults'!C112</f>
        <v>0</v>
      </c>
      <c r="D79" s="1918">
        <f t="shared" si="15"/>
        <v>0</v>
      </c>
      <c r="E79" s="1919">
        <f t="shared" si="16"/>
        <v>0</v>
      </c>
      <c r="F79" s="1920">
        <f t="shared" si="17"/>
        <v>0</v>
      </c>
      <c r="G79" s="1920">
        <f>D79*((D$6+'General Data'!E$30)*(D$6+'General Data'!E$30+1)/2)</f>
        <v>0</v>
      </c>
      <c r="H79" s="1921">
        <f t="shared" si="18"/>
        <v>0</v>
      </c>
    </row>
    <row r="80" spans="2:20" ht="13.5" thickBot="1" x14ac:dyDescent="0.25">
      <c r="B80" s="739" t="s">
        <v>6</v>
      </c>
      <c r="C80" s="740">
        <f>SUM(C73:C76)</f>
        <v>424.34186668287776</v>
      </c>
      <c r="D80" s="740">
        <f>SUM(D73:D76)</f>
        <v>35.361822223573149</v>
      </c>
      <c r="E80" s="726"/>
      <c r="F80" s="740">
        <f>SUM(F73:F76)</f>
        <v>2758.2221334387054</v>
      </c>
      <c r="G80" s="740">
        <f>SUM(G73:G76)</f>
        <v>4243.4186668287775</v>
      </c>
      <c r="H80" s="741"/>
    </row>
    <row r="83" spans="2:21" ht="15" x14ac:dyDescent="0.2">
      <c r="B83" s="2143" t="str">
        <f>'TRAD-Adults YEAR(1)'!B41</f>
        <v>Passage en 3ème ligne</v>
      </c>
      <c r="C83" s="2143"/>
      <c r="D83" s="2143"/>
      <c r="E83" s="2143"/>
      <c r="F83" s="2143"/>
      <c r="G83" s="2143"/>
      <c r="H83" s="2143"/>
      <c r="I83" s="2143"/>
      <c r="J83" s="2143"/>
      <c r="K83" s="2143"/>
      <c r="L83" s="2143"/>
      <c r="M83" s="2143"/>
      <c r="N83" s="961"/>
    </row>
    <row r="85" spans="2:21" x14ac:dyDescent="0.2">
      <c r="B85" s="528" t="str">
        <f>'TRAD-Adults YEAR(1)'!B42</f>
        <v>Taux de passage en 3ème ligne</v>
      </c>
      <c r="C85" s="528"/>
      <c r="D85" s="728">
        <f>'Data &amp; hypothesis Adults'!D132</f>
        <v>0</v>
      </c>
      <c r="E85" s="528" t="str">
        <f>'TRAD-Adults YEAR(1)'!B43</f>
        <v>des patients de 2ème ligne à la fin de l'année</v>
      </c>
      <c r="F85" s="528"/>
      <c r="G85" s="528"/>
      <c r="H85" s="568">
        <f>D85*MAX(H68:H69)</f>
        <v>0</v>
      </c>
    </row>
    <row r="86" spans="2:21" s="523" customFormat="1" ht="13.5" thickBot="1" x14ac:dyDescent="0.25">
      <c r="E86" s="567"/>
      <c r="G86" s="565" t="str">
        <f>'TRAD-Adults YEAR(1)'!B44</f>
        <v>Nb de patients en 3ème ligne au début de l'année :</v>
      </c>
      <c r="H86" s="568">
        <f>D27</f>
        <v>0</v>
      </c>
    </row>
    <row r="87" spans="2:21" ht="13.5" thickBot="1" x14ac:dyDescent="0.25">
      <c r="B87" s="528"/>
      <c r="C87" s="528"/>
      <c r="D87" s="569"/>
      <c r="E87" s="570"/>
      <c r="F87" s="571"/>
      <c r="G87" s="572" t="s">
        <v>282</v>
      </c>
      <c r="H87" s="729">
        <f>IF((H85-SUM(D27:D28))&gt;0, H85-SUM(D27:D28), 0)</f>
        <v>0</v>
      </c>
      <c r="J87" s="730" t="str">
        <f>'TRAD-Adults YEAR(1)'!B23</f>
        <v>Nb de patients mensuels</v>
      </c>
      <c r="K87" s="570"/>
      <c r="L87" s="731">
        <f>H87/D6</f>
        <v>0</v>
      </c>
    </row>
    <row r="89" spans="2:21" x14ac:dyDescent="0.2">
      <c r="B89" s="290" t="str">
        <f>'TRAD-Adults YEAR(1)'!B17</f>
        <v>Commentaire</v>
      </c>
      <c r="C89" s="291"/>
      <c r="D89" s="291"/>
      <c r="E89" s="291"/>
      <c r="F89" s="291"/>
      <c r="G89" s="291"/>
      <c r="H89" s="291"/>
      <c r="I89" s="291"/>
      <c r="J89" s="291"/>
      <c r="K89" s="291"/>
      <c r="L89" s="291"/>
      <c r="M89" s="291"/>
      <c r="N89" s="497"/>
    </row>
    <row r="90" spans="2:21" ht="24" customHeight="1" x14ac:dyDescent="0.2">
      <c r="C90" s="2146" t="str">
        <f>'TRAD-Adults YEAR(1)'!B46</f>
        <v>Pour les 3èmes lignes, la méthode n'est pas la même et ne repose pas sur les lignes. Nous avons considéré la proportion de patients et les molécules nécessaires pour les prendre en charge. Cela permet ainsi de faire plusieurs combinaisons.</v>
      </c>
      <c r="D90" s="2146"/>
      <c r="E90" s="2146"/>
      <c r="F90" s="2146"/>
      <c r="G90" s="2146"/>
      <c r="H90" s="2146"/>
      <c r="I90" s="2146"/>
      <c r="J90" s="2146"/>
      <c r="K90" s="2146"/>
      <c r="L90" s="2146"/>
      <c r="M90" s="2146"/>
      <c r="N90" s="1160"/>
    </row>
    <row r="91" spans="2:21" ht="13.5" thickBot="1" x14ac:dyDescent="0.25"/>
    <row r="92" spans="2:21" s="545" customFormat="1" ht="64.5" thickBot="1" x14ac:dyDescent="0.25">
      <c r="B92" s="742" t="str">
        <f>'TRAD-Adults YEAR(1)'!B47</f>
        <v>Classe pharmaco</v>
      </c>
      <c r="C92" s="544" t="str">
        <f>'TRAD-Adults YEAR(1)'!B48</f>
        <v>Molécules à avoir en plus pour des 3èmes lignes possibles</v>
      </c>
      <c r="D92" s="544" t="str">
        <f>'TRAD-Adults YEAR(1)'!B49</f>
        <v>Proportion du nombre de patients sous 3ème lignes</v>
      </c>
      <c r="E92" s="1857" t="str">
        <f>'TRAD-Adults YEAR(1)'!B50</f>
        <v>Nombre de patient par schéma par mois</v>
      </c>
      <c r="F92" s="544" t="str">
        <f>'TRAD-Adults YEAR(1)'!B51</f>
        <v>TOTAL nb de patients sur l'année</v>
      </c>
      <c r="G92" s="544" t="str">
        <f>'TRAD-Adults YEAR(1)'!B39</f>
        <v>Nb de patients-mois</v>
      </c>
      <c r="H92" s="544" t="str">
        <f>'TRAD-Adults YEAR(1)'!B29</f>
        <v>Total patients-mois AVEC Marge de sécurité</v>
      </c>
      <c r="I92" s="710" t="str">
        <f>'TRAD-Adults YEAR(1)'!B30</f>
        <v>Nb de patients-mois Marge de sécurité SEULE</v>
      </c>
      <c r="N92" s="962"/>
      <c r="U92" s="962"/>
    </row>
    <row r="93" spans="2:21" x14ac:dyDescent="0.2">
      <c r="B93" s="696" t="s">
        <v>85</v>
      </c>
      <c r="C93" s="743" t="s">
        <v>25</v>
      </c>
      <c r="D93" s="732">
        <f>'Data &amp; hypothesis Adults'!D144</f>
        <v>0</v>
      </c>
      <c r="E93" s="744">
        <f t="shared" ref="E93:E99" si="19">$D93*$L$87</f>
        <v>0</v>
      </c>
      <c r="F93" s="745">
        <f t="shared" ref="F93:F102" si="20">E93*D$6</f>
        <v>0</v>
      </c>
      <c r="G93" s="746">
        <f t="shared" ref="G93:G102" si="21">E93*(D$6*(D$6+1)/2)</f>
        <v>0</v>
      </c>
      <c r="H93" s="746">
        <f>E93*((D$6+'General Data'!E$30)*(D$6+'General Data'!E$30+1)/2)</f>
        <v>0</v>
      </c>
      <c r="I93" s="747">
        <f>H93-G93</f>
        <v>0</v>
      </c>
    </row>
    <row r="94" spans="2:21" x14ac:dyDescent="0.2">
      <c r="B94" s="696"/>
      <c r="C94" s="748" t="s">
        <v>28</v>
      </c>
      <c r="D94" s="732">
        <f>'Data &amp; hypothesis Adults'!D145</f>
        <v>0</v>
      </c>
      <c r="E94" s="744">
        <f t="shared" si="19"/>
        <v>0</v>
      </c>
      <c r="F94" s="745">
        <f t="shared" si="20"/>
        <v>0</v>
      </c>
      <c r="G94" s="746">
        <f t="shared" si="21"/>
        <v>0</v>
      </c>
      <c r="H94" s="746">
        <f>E94*((D$6+'General Data'!E$30)*(D$6+'General Data'!E$30+1)/2)</f>
        <v>0</v>
      </c>
      <c r="I94" s="747">
        <f t="shared" ref="I94:I102" si="22">H94-G94</f>
        <v>0</v>
      </c>
    </row>
    <row r="95" spans="2:21" x14ac:dyDescent="0.2">
      <c r="B95" s="696"/>
      <c r="C95" s="748" t="s">
        <v>350</v>
      </c>
      <c r="D95" s="732">
        <f>'Data &amp; hypothesis Adults'!D146</f>
        <v>0</v>
      </c>
      <c r="E95" s="744">
        <f t="shared" si="19"/>
        <v>0</v>
      </c>
      <c r="F95" s="745">
        <f t="shared" si="20"/>
        <v>0</v>
      </c>
      <c r="G95" s="746">
        <f t="shared" si="21"/>
        <v>0</v>
      </c>
      <c r="H95" s="746">
        <f>E95*((D$6+'General Data'!E$30)*(D$6+'General Data'!E$30+1)/2)</f>
        <v>0</v>
      </c>
      <c r="I95" s="747">
        <f t="shared" si="22"/>
        <v>0</v>
      </c>
    </row>
    <row r="96" spans="2:21" x14ac:dyDescent="0.2">
      <c r="B96" s="749"/>
      <c r="C96" s="750" t="s">
        <v>349</v>
      </c>
      <c r="D96" s="751">
        <f>'Data &amp; hypothesis Adults'!D147</f>
        <v>0</v>
      </c>
      <c r="E96" s="752">
        <f t="shared" si="19"/>
        <v>0</v>
      </c>
      <c r="F96" s="752">
        <f t="shared" si="20"/>
        <v>0</v>
      </c>
      <c r="G96" s="753">
        <f t="shared" si="21"/>
        <v>0</v>
      </c>
      <c r="H96" s="753">
        <f>E96*((D$6+'General Data'!E$30)*(D$6+'General Data'!E$30+1)/2)</f>
        <v>0</v>
      </c>
      <c r="I96" s="754">
        <f t="shared" si="22"/>
        <v>0</v>
      </c>
    </row>
    <row r="97" spans="1:17" x14ac:dyDescent="0.2">
      <c r="B97" s="696" t="s">
        <v>87</v>
      </c>
      <c r="C97" s="748" t="s">
        <v>69</v>
      </c>
      <c r="D97" s="732">
        <f>'Data &amp; hypothesis Adults'!D148</f>
        <v>0</v>
      </c>
      <c r="E97" s="744">
        <f t="shared" si="19"/>
        <v>0</v>
      </c>
      <c r="F97" s="744">
        <f t="shared" si="20"/>
        <v>0</v>
      </c>
      <c r="G97" s="746">
        <f t="shared" si="21"/>
        <v>0</v>
      </c>
      <c r="H97" s="746">
        <f>E97*((D$6+'General Data'!E$30)*(D$6+'General Data'!E$30+1)/2)</f>
        <v>0</v>
      </c>
      <c r="I97" s="747">
        <f t="shared" si="22"/>
        <v>0</v>
      </c>
    </row>
    <row r="98" spans="1:17" x14ac:dyDescent="0.2">
      <c r="B98" s="696"/>
      <c r="C98" s="748" t="s">
        <v>68</v>
      </c>
      <c r="D98" s="732">
        <f>'Data &amp; hypothesis Adults'!D149</f>
        <v>0</v>
      </c>
      <c r="E98" s="744">
        <f t="shared" si="19"/>
        <v>0</v>
      </c>
      <c r="F98" s="745">
        <f t="shared" si="20"/>
        <v>0</v>
      </c>
      <c r="G98" s="746">
        <f t="shared" si="21"/>
        <v>0</v>
      </c>
      <c r="H98" s="746">
        <f>E98*((D$6+'General Data'!E$30)*(D$6+'General Data'!E$30+1)/2)</f>
        <v>0</v>
      </c>
      <c r="I98" s="747">
        <f t="shared" si="22"/>
        <v>0</v>
      </c>
    </row>
    <row r="99" spans="1:17" x14ac:dyDescent="0.2">
      <c r="B99" s="696"/>
      <c r="C99" s="748" t="s">
        <v>576</v>
      </c>
      <c r="D99" s="732">
        <f>'Data &amp; hypothesis Adults'!D150</f>
        <v>0</v>
      </c>
      <c r="E99" s="744">
        <f t="shared" si="19"/>
        <v>0</v>
      </c>
      <c r="F99" s="745">
        <f t="shared" si="20"/>
        <v>0</v>
      </c>
      <c r="G99" s="746">
        <f t="shared" si="21"/>
        <v>0</v>
      </c>
      <c r="H99" s="746">
        <f>E99*((D$6+'General Data'!E$30)*(D$6+'General Data'!E$30+1)/2)</f>
        <v>0</v>
      </c>
      <c r="I99" s="747">
        <f t="shared" si="22"/>
        <v>0</v>
      </c>
    </row>
    <row r="100" spans="1:17" x14ac:dyDescent="0.2">
      <c r="B100" s="749"/>
      <c r="C100" s="750" t="s">
        <v>328</v>
      </c>
      <c r="D100" s="751">
        <f>'Data &amp; hypothesis Adults'!D151</f>
        <v>0</v>
      </c>
      <c r="E100" s="752">
        <f>$D100*$L$87</f>
        <v>0</v>
      </c>
      <c r="F100" s="752">
        <f t="shared" si="20"/>
        <v>0</v>
      </c>
      <c r="G100" s="753">
        <f t="shared" si="21"/>
        <v>0</v>
      </c>
      <c r="H100" s="753">
        <f>E100*((D$6+'General Data'!E$30)*(D$6+'General Data'!E$30+1)/2)</f>
        <v>0</v>
      </c>
      <c r="I100" s="754">
        <f>H100-G100</f>
        <v>0</v>
      </c>
    </row>
    <row r="101" spans="1:17" x14ac:dyDescent="0.2">
      <c r="B101" s="755" t="s">
        <v>331</v>
      </c>
      <c r="C101" s="756" t="s">
        <v>329</v>
      </c>
      <c r="D101" s="757">
        <f>'Data &amp; hypothesis Adults'!D152</f>
        <v>0</v>
      </c>
      <c r="E101" s="758">
        <f>$D101*$L$87</f>
        <v>0</v>
      </c>
      <c r="F101" s="758">
        <f t="shared" si="20"/>
        <v>0</v>
      </c>
      <c r="G101" s="759">
        <f t="shared" si="21"/>
        <v>0</v>
      </c>
      <c r="H101" s="759">
        <f>E101*((D$6+'General Data'!E$30)*(D$6+'General Data'!E$30+1)/2)</f>
        <v>0</v>
      </c>
      <c r="I101" s="760">
        <f>H101-G101</f>
        <v>0</v>
      </c>
    </row>
    <row r="102" spans="1:17" ht="13.5" thickBot="1" x14ac:dyDescent="0.25">
      <c r="B102" s="696" t="s">
        <v>84</v>
      </c>
      <c r="C102" s="556" t="s">
        <v>330</v>
      </c>
      <c r="D102" s="736">
        <f>'Data &amp; hypothesis Adults'!D153</f>
        <v>0</v>
      </c>
      <c r="E102" s="761">
        <f>$D102*$L$87</f>
        <v>0</v>
      </c>
      <c r="F102" s="761">
        <f t="shared" si="20"/>
        <v>0</v>
      </c>
      <c r="G102" s="762">
        <f t="shared" si="21"/>
        <v>0</v>
      </c>
      <c r="H102" s="762">
        <f>E102*((D$6+'General Data'!E$30)*(D$6+'General Data'!E$30+1)/2)</f>
        <v>0</v>
      </c>
      <c r="I102" s="763">
        <f t="shared" si="22"/>
        <v>0</v>
      </c>
    </row>
    <row r="103" spans="1:17" ht="14.25" thickTop="1" thickBot="1" x14ac:dyDescent="0.25">
      <c r="B103" s="764"/>
      <c r="C103" s="726" t="s">
        <v>6</v>
      </c>
      <c r="D103" s="765">
        <f>SUM(D93:D102)</f>
        <v>0</v>
      </c>
      <c r="E103" s="740">
        <f>SUM(E93:E102)</f>
        <v>0</v>
      </c>
      <c r="F103" s="766">
        <f>SUM(F93:F102)</f>
        <v>0</v>
      </c>
      <c r="G103" s="727"/>
      <c r="H103" s="727"/>
      <c r="I103" s="718"/>
    </row>
    <row r="106" spans="1:17" ht="16.5" thickBot="1" x14ac:dyDescent="0.3">
      <c r="A106" s="2144" t="str">
        <f>'TRAD-Adults YEAR(1)'!B52</f>
        <v>Evolution des lignes thérapeutiques sur l'année</v>
      </c>
      <c r="B106" s="2144"/>
      <c r="C106" s="2144"/>
      <c r="D106" s="2144"/>
      <c r="E106" s="2144"/>
      <c r="F106" s="2144"/>
      <c r="G106" s="2144"/>
      <c r="H106" s="2144"/>
      <c r="I106" s="2144"/>
      <c r="J106" s="2144"/>
      <c r="K106" s="2144"/>
      <c r="L106" s="2144"/>
      <c r="M106" s="497"/>
      <c r="N106" s="497"/>
      <c r="O106" s="497"/>
      <c r="P106" s="497"/>
      <c r="Q106" s="497"/>
    </row>
    <row r="108" spans="1:17" ht="13.5" thickBot="1" x14ac:dyDescent="0.25">
      <c r="C108" s="497"/>
      <c r="D108" s="497"/>
    </row>
    <row r="109" spans="1:17" ht="64.5" thickBot="1" x14ac:dyDescent="0.25">
      <c r="B109" s="354"/>
      <c r="C109" s="691" t="str">
        <f>'TRAD-Adults YEAR(1)'!B7</f>
        <v>Schémas</v>
      </c>
      <c r="D109" s="691" t="str">
        <f>'TRAD-Adults YEAR(1)'!B53</f>
        <v>Données en début d'année</v>
      </c>
      <c r="E109" s="691" t="str">
        <f>'TRAD-Adults YEAR(1)'!B54</f>
        <v xml:space="preserve">Initiations première </v>
      </c>
      <c r="F109" s="691" t="str">
        <f>'TRAD-Adults YEAR(1)'!B55</f>
        <v>Passage en 2ème ligne et défalcation des 1ères lignes [1]</v>
      </c>
      <c r="G109" s="692" t="str">
        <f>'TRAD-Adults YEAR(1)'!B56</f>
        <v>Répartition en fin de période</v>
      </c>
    </row>
    <row r="110" spans="1:17" ht="13.5" thickBot="1" x14ac:dyDescent="0.25">
      <c r="B110" s="693" t="s">
        <v>134</v>
      </c>
      <c r="C110" s="546" t="str">
        <f>C10</f>
        <v>AZT+3TC+NVP</v>
      </c>
      <c r="D110" s="767">
        <f t="shared" ref="D110:D114" si="23">D10</f>
        <v>10529.132</v>
      </c>
      <c r="E110" s="582">
        <f t="shared" ref="E110:E113" si="24">F39</f>
        <v>247.20000000000002</v>
      </c>
      <c r="F110" s="1145">
        <f>-(SUM(D110:E110)/SUM(D$110:E$119))*C$80</f>
        <v>-239.90745220169603</v>
      </c>
      <c r="G110" s="1146">
        <f>D110+E110+F110</f>
        <v>10536.424547798304</v>
      </c>
    </row>
    <row r="111" spans="1:17" x14ac:dyDescent="0.2">
      <c r="B111" s="696"/>
      <c r="C111" s="323" t="str">
        <f t="shared" ref="C111:D126" si="25">C11</f>
        <v>AZT+3TC+EFV</v>
      </c>
      <c r="D111" s="768">
        <f t="shared" si="23"/>
        <v>1367.0419999999999</v>
      </c>
      <c r="E111" s="585">
        <f t="shared" si="24"/>
        <v>24.72</v>
      </c>
      <c r="F111" s="769">
        <f t="shared" ref="F111:F119" si="26">-(SUM(D111:E111)/SUM(D$110:E$119))*C$80</f>
        <v>-30.984019004902301</v>
      </c>
      <c r="G111" s="770">
        <f t="shared" ref="G111:G119" si="27">D111+E111+F111</f>
        <v>1360.7779809950976</v>
      </c>
      <c r="I111" s="546"/>
    </row>
    <row r="112" spans="1:17" x14ac:dyDescent="0.2">
      <c r="B112" s="696"/>
      <c r="C112" s="323" t="str">
        <f t="shared" si="25"/>
        <v>AZT+3TC+ABC</v>
      </c>
      <c r="D112" s="768">
        <f t="shared" si="23"/>
        <v>29.086000000000002</v>
      </c>
      <c r="E112" s="585">
        <f t="shared" si="24"/>
        <v>49.44</v>
      </c>
      <c r="F112" s="769">
        <f t="shared" si="26"/>
        <v>-1.7481804190507848</v>
      </c>
      <c r="G112" s="770">
        <f t="shared" si="27"/>
        <v>76.777819580949213</v>
      </c>
      <c r="I112" s="323"/>
    </row>
    <row r="113" spans="2:9" x14ac:dyDescent="0.2">
      <c r="B113" s="696"/>
      <c r="C113" s="533" t="str">
        <f t="shared" si="25"/>
        <v>AZT+3TC+LPV/r</v>
      </c>
      <c r="D113" s="768">
        <f t="shared" si="23"/>
        <v>639.89199999999994</v>
      </c>
      <c r="E113" s="585">
        <f t="shared" si="24"/>
        <v>49.44</v>
      </c>
      <c r="F113" s="769">
        <f t="shared" si="26"/>
        <v>-15.346212778253259</v>
      </c>
      <c r="G113" s="770">
        <f t="shared" si="27"/>
        <v>673.98578722174659</v>
      </c>
      <c r="I113" s="323"/>
    </row>
    <row r="114" spans="2:9" x14ac:dyDescent="0.2">
      <c r="B114" s="696"/>
      <c r="C114" s="533" t="str">
        <f t="shared" si="25"/>
        <v>ABC+3TC+EFV</v>
      </c>
      <c r="D114" s="768">
        <f t="shared" si="23"/>
        <v>43.628999999999998</v>
      </c>
      <c r="E114" s="585">
        <f t="shared" ref="E114" si="28">F43</f>
        <v>0</v>
      </c>
      <c r="F114" s="769">
        <f t="shared" si="26"/>
        <v>-0.97128802565731964</v>
      </c>
      <c r="G114" s="770">
        <f t="shared" ref="G114" si="29">D114+E114+F114</f>
        <v>42.657711974342675</v>
      </c>
      <c r="I114" s="533"/>
    </row>
    <row r="115" spans="2:9" x14ac:dyDescent="0.2">
      <c r="B115" s="696"/>
      <c r="C115" s="323" t="str">
        <f t="shared" si="25"/>
        <v>TDF+FTC/3TC+EFV</v>
      </c>
      <c r="D115" s="768">
        <f t="shared" ref="D115:D123" si="30">D15</f>
        <v>1454.3000000000002</v>
      </c>
      <c r="E115" s="585">
        <f>F44</f>
        <v>4548.4800000000005</v>
      </c>
      <c r="F115" s="769">
        <f t="shared" si="26"/>
        <v>-133.63653383426725</v>
      </c>
      <c r="G115" s="770">
        <f t="shared" si="27"/>
        <v>5869.1434661657331</v>
      </c>
      <c r="I115" s="533"/>
    </row>
    <row r="116" spans="2:9" x14ac:dyDescent="0.2">
      <c r="B116" s="696"/>
      <c r="C116" s="323" t="str">
        <f t="shared" si="25"/>
        <v>TDF+FTC/3TC+LPV/r</v>
      </c>
      <c r="D116" s="768">
        <f t="shared" si="30"/>
        <v>0</v>
      </c>
      <c r="E116" s="585">
        <f>F45</f>
        <v>0</v>
      </c>
      <c r="F116" s="769">
        <f t="shared" si="26"/>
        <v>0</v>
      </c>
      <c r="G116" s="770">
        <f t="shared" si="27"/>
        <v>0</v>
      </c>
      <c r="I116" s="323"/>
    </row>
    <row r="117" spans="2:9" x14ac:dyDescent="0.2">
      <c r="B117" s="696"/>
      <c r="C117" s="323" t="str">
        <f t="shared" si="25"/>
        <v>ABC+3TC+LPV/r</v>
      </c>
      <c r="D117" s="768">
        <f t="shared" si="30"/>
        <v>0</v>
      </c>
      <c r="E117" s="585">
        <f>F46</f>
        <v>24.72</v>
      </c>
      <c r="F117" s="769">
        <f t="shared" si="26"/>
        <v>-0.55032753430628578</v>
      </c>
      <c r="G117" s="770">
        <f t="shared" si="27"/>
        <v>24.169672465693711</v>
      </c>
      <c r="I117" s="323"/>
    </row>
    <row r="118" spans="2:9" x14ac:dyDescent="0.2">
      <c r="B118" s="696"/>
      <c r="C118" s="323" t="str">
        <f t="shared" si="25"/>
        <v>TDF+3TC/FTC+ABC</v>
      </c>
      <c r="D118" s="768">
        <f t="shared" si="30"/>
        <v>29.086000000000002</v>
      </c>
      <c r="E118" s="585">
        <f>F46</f>
        <v>24.72</v>
      </c>
      <c r="F118" s="769">
        <f t="shared" si="26"/>
        <v>-1.1978528847444989</v>
      </c>
      <c r="G118" s="770">
        <f t="shared" si="27"/>
        <v>52.608147115255498</v>
      </c>
      <c r="I118" s="323"/>
    </row>
    <row r="119" spans="2:9" x14ac:dyDescent="0.2">
      <c r="B119" s="696"/>
      <c r="C119" s="705">
        <f t="shared" si="25"/>
        <v>0</v>
      </c>
      <c r="D119" s="1147">
        <f t="shared" si="30"/>
        <v>0</v>
      </c>
      <c r="E119" s="772">
        <f>F48</f>
        <v>0</v>
      </c>
      <c r="F119" s="773">
        <f t="shared" si="26"/>
        <v>0</v>
      </c>
      <c r="G119" s="774">
        <f t="shared" si="27"/>
        <v>0</v>
      </c>
      <c r="I119" s="323"/>
    </row>
    <row r="120" spans="2:9" x14ac:dyDescent="0.2">
      <c r="B120" s="701" t="s">
        <v>64</v>
      </c>
      <c r="C120" s="702" t="str">
        <f t="shared" si="25"/>
        <v>TDF+FTC/3TC+LPV/r</v>
      </c>
      <c r="D120" s="775">
        <f t="shared" si="30"/>
        <v>415.9298</v>
      </c>
      <c r="E120" s="1148"/>
      <c r="F120" s="1149">
        <f>C73</f>
        <v>424.34186668287776</v>
      </c>
      <c r="G120" s="1150">
        <f>D120+F120</f>
        <v>840.27166668287782</v>
      </c>
      <c r="I120" s="705"/>
    </row>
    <row r="121" spans="2:9" x14ac:dyDescent="0.2">
      <c r="B121" s="696"/>
      <c r="C121" s="533" t="str">
        <f t="shared" si="25"/>
        <v>TDF+FTC/3TC+ATV/r</v>
      </c>
      <c r="D121" s="768">
        <f t="shared" si="30"/>
        <v>34.903199999999998</v>
      </c>
      <c r="E121" s="585"/>
      <c r="F121" s="587">
        <f>C74</f>
        <v>0</v>
      </c>
      <c r="G121" s="770">
        <f>D121+F121</f>
        <v>34.903199999999998</v>
      </c>
      <c r="I121" s="702"/>
    </row>
    <row r="122" spans="2:9" x14ac:dyDescent="0.2">
      <c r="B122" s="696"/>
      <c r="C122" s="533" t="str">
        <f t="shared" si="25"/>
        <v>ABC+DDI+LPV/r</v>
      </c>
      <c r="D122" s="768">
        <f t="shared" si="30"/>
        <v>0</v>
      </c>
      <c r="E122" s="585"/>
      <c r="F122" s="587">
        <f>C75</f>
        <v>0</v>
      </c>
      <c r="G122" s="770">
        <f>D122+F122</f>
        <v>0</v>
      </c>
      <c r="I122" s="533"/>
    </row>
    <row r="123" spans="2:9" x14ac:dyDescent="0.2">
      <c r="B123" s="696"/>
      <c r="C123" s="533" t="str">
        <f t="shared" si="25"/>
        <v>TDF+3TC/FTC+ABC</v>
      </c>
      <c r="D123" s="585">
        <f t="shared" si="30"/>
        <v>0</v>
      </c>
      <c r="E123" s="585"/>
      <c r="F123" s="585">
        <f>C76</f>
        <v>0</v>
      </c>
      <c r="G123" s="770">
        <f>D123+F123</f>
        <v>0</v>
      </c>
      <c r="I123" s="533"/>
    </row>
    <row r="124" spans="2:9" x14ac:dyDescent="0.2">
      <c r="B124" s="696"/>
      <c r="C124" s="533" t="str">
        <f t="shared" si="25"/>
        <v>AZT+3TC+LPV/r</v>
      </c>
      <c r="D124" s="585">
        <f t="shared" si="25"/>
        <v>0</v>
      </c>
      <c r="E124" s="585"/>
      <c r="F124" s="585">
        <f t="shared" ref="F124:F126" si="31">C77</f>
        <v>195.87603135967444</v>
      </c>
      <c r="G124" s="770">
        <f t="shared" ref="G124:G126" si="32">D124+F124</f>
        <v>195.87603135967444</v>
      </c>
      <c r="I124" s="705"/>
    </row>
    <row r="125" spans="2:9" x14ac:dyDescent="0.2">
      <c r="B125" s="696"/>
      <c r="C125" s="533">
        <f t="shared" si="25"/>
        <v>0</v>
      </c>
      <c r="D125" s="585">
        <f t="shared" si="25"/>
        <v>0</v>
      </c>
      <c r="E125" s="585"/>
      <c r="F125" s="585">
        <f t="shared" si="31"/>
        <v>0</v>
      </c>
      <c r="G125" s="770">
        <f t="shared" si="32"/>
        <v>0</v>
      </c>
    </row>
    <row r="126" spans="2:9" x14ac:dyDescent="0.2">
      <c r="B126" s="696"/>
      <c r="C126" s="705">
        <f t="shared" si="25"/>
        <v>0</v>
      </c>
      <c r="D126" s="772">
        <f t="shared" si="25"/>
        <v>0</v>
      </c>
      <c r="E126" s="772"/>
      <c r="F126" s="772">
        <f t="shared" si="31"/>
        <v>0</v>
      </c>
      <c r="G126" s="774">
        <f t="shared" si="32"/>
        <v>0</v>
      </c>
    </row>
    <row r="127" spans="2:9" x14ac:dyDescent="0.2">
      <c r="B127" s="701" t="s">
        <v>187</v>
      </c>
      <c r="C127" s="533" t="str">
        <f>'TRAD-Adults YEAR(1)'!B57</f>
        <v>total divers 3èmes l</v>
      </c>
      <c r="D127" s="776">
        <f t="shared" ref="D127" si="33">D27</f>
        <v>0</v>
      </c>
      <c r="E127" s="1357"/>
      <c r="F127" s="1909">
        <f>H87</f>
        <v>0</v>
      </c>
      <c r="G127" s="1925">
        <f>D127+F127</f>
        <v>0</v>
      </c>
    </row>
    <row r="128" spans="2:9" ht="13.5" thickBot="1" x14ac:dyDescent="0.25">
      <c r="B128" s="696"/>
      <c r="C128" s="497"/>
      <c r="D128" s="776"/>
      <c r="E128" s="589"/>
      <c r="F128" s="589"/>
      <c r="G128" s="778"/>
    </row>
    <row r="129" spans="2:21" ht="14.25" thickTop="1" thickBot="1" x14ac:dyDescent="0.25">
      <c r="B129" s="706"/>
      <c r="C129" s="707" t="s">
        <v>6</v>
      </c>
      <c r="D129" s="779">
        <f>SUM(D110:D128)</f>
        <v>14542.999999999998</v>
      </c>
      <c r="E129" s="727"/>
      <c r="F129" s="727"/>
      <c r="G129" s="780">
        <f>SUM(G110:G122)</f>
        <v>19511.72</v>
      </c>
    </row>
    <row r="131" spans="2:21" x14ac:dyDescent="0.2">
      <c r="B131" s="290" t="str">
        <f>'TRAD-Adults YEAR(1)'!B17</f>
        <v>Commentaire</v>
      </c>
      <c r="C131" s="291"/>
      <c r="D131" s="291"/>
      <c r="E131" s="291"/>
      <c r="F131" s="291"/>
      <c r="G131" s="291"/>
      <c r="H131" s="291"/>
      <c r="I131" s="291"/>
      <c r="J131" s="291"/>
    </row>
    <row r="132" spans="2:21" x14ac:dyDescent="0.2">
      <c r="B132" s="292" t="s">
        <v>240</v>
      </c>
      <c r="C132" s="293" t="str">
        <f>'TRAD-Adults YEAR(1)'!B58</f>
        <v>La défalcation sur les premières lignes est obtenue par le calcul suivant :</v>
      </c>
    </row>
    <row r="133" spans="2:21" x14ac:dyDescent="0.2">
      <c r="B133" s="292"/>
      <c r="C133" s="293" t="str">
        <f>'TRAD-Adults YEAR(1)'!B59</f>
        <v xml:space="preserve"> = - Proportion du schéma dans les 1ères lignes à la fin de l'année * nb de patients passant en 2èmes lignes</v>
      </c>
    </row>
    <row r="135" spans="2:21" ht="15" x14ac:dyDescent="0.2">
      <c r="B135" s="2143" t="str">
        <f>'TRAD-Adults YEAR(1)'!B60</f>
        <v>Synthèse de la situation envisagée en fin d'année</v>
      </c>
      <c r="C135" s="2143"/>
      <c r="D135" s="2143"/>
      <c r="E135" s="2143"/>
      <c r="F135" s="2143"/>
      <c r="G135" s="781"/>
      <c r="H135" s="781"/>
      <c r="I135" s="781"/>
      <c r="J135" s="781"/>
      <c r="K135" s="781"/>
      <c r="L135" s="2143"/>
      <c r="M135" s="2143"/>
      <c r="N135" s="961"/>
    </row>
    <row r="137" spans="2:21" ht="13.5" thickBot="1" x14ac:dyDescent="0.25">
      <c r="B137" s="497"/>
      <c r="C137" s="497"/>
    </row>
    <row r="138" spans="2:21" s="545" customFormat="1" ht="57" customHeight="1" thickBot="1" x14ac:dyDescent="0.25">
      <c r="B138" s="782"/>
      <c r="C138" s="782"/>
      <c r="D138" s="2147" t="str">
        <f>'TRAD-Adults YEAR(1)'!B61</f>
        <v>SANS DEFALCATION des passages en 2èmes lignes sur les 1ères lignes</v>
      </c>
      <c r="E138" s="2148"/>
      <c r="F138" s="2147" t="str">
        <f>'TRAD-Adults YEAR(1)'!B62</f>
        <v>AVEC DEFALCATION PROPORTIONNELLE à la répartition des patients en 1ère ligne</v>
      </c>
      <c r="G138" s="2148"/>
      <c r="H138" s="2147" t="str">
        <f>'TRAD-Adults YEAR(1)'!B63</f>
        <v>AVEC DEFALCATION SUR SCHEMA MAJORITAIRE 1ère ligne</v>
      </c>
      <c r="I138" s="2148"/>
      <c r="N138" s="962"/>
      <c r="U138" s="962"/>
    </row>
    <row r="139" spans="2:21" ht="51.75" thickBot="1" x14ac:dyDescent="0.25">
      <c r="B139" s="354"/>
      <c r="C139" s="439" t="str">
        <f>'TRAD-Adults YEAR(1)'!B7</f>
        <v>Schémas</v>
      </c>
      <c r="D139" s="405" t="str">
        <f>'TRAD-Adults YEAR(1)'!B65</f>
        <v>Nb de patients</v>
      </c>
      <c r="E139" s="439" t="s">
        <v>51</v>
      </c>
      <c r="F139" s="405" t="str">
        <f>'TRAD-Adults YEAR(1)'!B67</f>
        <v>Nb de patients en fin de période</v>
      </c>
      <c r="G139" s="439" t="s">
        <v>51</v>
      </c>
      <c r="H139" s="405" t="str">
        <f>'TRAD-Adults YEAR(1)'!B67</f>
        <v>Nb de patients en fin de période</v>
      </c>
      <c r="I139" s="439" t="s">
        <v>51</v>
      </c>
    </row>
    <row r="140" spans="2:21" x14ac:dyDescent="0.2">
      <c r="B140" s="693" t="str">
        <f>'Data &amp; hypothesis Adults'!$B$26</f>
        <v>1ères lignes</v>
      </c>
      <c r="C140" s="546" t="str">
        <f>C10</f>
        <v>AZT+3TC+NVP</v>
      </c>
      <c r="D140" s="359">
        <f>D110+E110</f>
        <v>10776.332</v>
      </c>
      <c r="E140" s="269">
        <f t="shared" ref="E140:E157" si="34">D140/D$159</f>
        <v>0.53528537861463343</v>
      </c>
      <c r="F140" s="783">
        <f t="shared" ref="F140:F143" si="35">G110</f>
        <v>10536.424547798304</v>
      </c>
      <c r="G140" s="784">
        <f t="shared" ref="G140:G147" si="36">F140/F$159</f>
        <v>0.53463773719697916</v>
      </c>
      <c r="H140" s="359">
        <f>D110+E110-C80</f>
        <v>10351.990133317122</v>
      </c>
      <c r="I140" s="269">
        <f t="shared" ref="I140:I147" si="37">H140/H$159</f>
        <v>0.52527919269527013</v>
      </c>
    </row>
    <row r="141" spans="2:21" x14ac:dyDescent="0.2">
      <c r="B141" s="696"/>
      <c r="C141" s="323" t="str">
        <f t="shared" ref="C141:C156" si="38">C11</f>
        <v>AZT+3TC+EFV</v>
      </c>
      <c r="D141" s="362">
        <f>D111+E111</f>
        <v>1391.7619999999999</v>
      </c>
      <c r="E141" s="273">
        <f t="shared" si="34"/>
        <v>6.913204317679332E-2</v>
      </c>
      <c r="F141" s="785">
        <f t="shared" si="35"/>
        <v>1360.7779809950976</v>
      </c>
      <c r="G141" s="786">
        <f t="shared" si="36"/>
        <v>6.9048400364497123E-2</v>
      </c>
      <c r="H141" s="362">
        <f t="shared" ref="H141:H143" si="39">D111+E111</f>
        <v>1391.7619999999999</v>
      </c>
      <c r="I141" s="273">
        <f t="shared" si="37"/>
        <v>7.0620586995256085E-2</v>
      </c>
    </row>
    <row r="142" spans="2:21" x14ac:dyDescent="0.2">
      <c r="B142" s="696"/>
      <c r="C142" s="323" t="str">
        <f t="shared" si="38"/>
        <v>AZT+3TC+ABC</v>
      </c>
      <c r="D142" s="362">
        <f>D112+E112</f>
        <v>78.525999999999996</v>
      </c>
      <c r="E142" s="273">
        <f t="shared" si="34"/>
        <v>3.9005683604674303E-3</v>
      </c>
      <c r="F142" s="785">
        <f t="shared" si="35"/>
        <v>76.777819580949213</v>
      </c>
      <c r="G142" s="786">
        <f t="shared" si="36"/>
        <v>3.8958490654454579E-3</v>
      </c>
      <c r="H142" s="362">
        <f t="shared" si="39"/>
        <v>78.525999999999996</v>
      </c>
      <c r="I142" s="273">
        <f t="shared" si="37"/>
        <v>3.9845549845372126E-3</v>
      </c>
    </row>
    <row r="143" spans="2:21" x14ac:dyDescent="0.2">
      <c r="B143" s="696"/>
      <c r="C143" s="533" t="str">
        <f t="shared" si="38"/>
        <v>AZT+3TC+LPV/r</v>
      </c>
      <c r="D143" s="362">
        <f t="shared" ref="D143" si="40">D113+E113</f>
        <v>689.33199999999988</v>
      </c>
      <c r="E143" s="273">
        <f t="shared" si="34"/>
        <v>3.4240717584720144E-2</v>
      </c>
      <c r="F143" s="785">
        <f t="shared" si="35"/>
        <v>673.98578722174659</v>
      </c>
      <c r="G143" s="786">
        <f t="shared" si="36"/>
        <v>3.4199289763666145E-2</v>
      </c>
      <c r="H143" s="362">
        <f t="shared" si="39"/>
        <v>689.33199999999988</v>
      </c>
      <c r="I143" s="273">
        <f t="shared" si="37"/>
        <v>3.4977985082660583E-2</v>
      </c>
    </row>
    <row r="144" spans="2:21" x14ac:dyDescent="0.2">
      <c r="B144" s="696"/>
      <c r="C144" s="533" t="str">
        <f t="shared" si="38"/>
        <v>ABC+3TC+EFV</v>
      </c>
      <c r="D144" s="362">
        <f t="shared" ref="D144" si="41">D114+E114</f>
        <v>43.628999999999998</v>
      </c>
      <c r="E144" s="273">
        <f t="shared" ref="E144" si="42">D144/D$159</f>
        <v>2.1671535160180514E-3</v>
      </c>
      <c r="F144" s="785">
        <f t="shared" ref="F144" si="43">G114</f>
        <v>42.657711974342675</v>
      </c>
      <c r="G144" s="786">
        <f t="shared" ref="G144" si="44">F144/F$159</f>
        <v>2.1645314784443353E-3</v>
      </c>
      <c r="H144" s="362">
        <f t="shared" ref="H144" si="45">D114+E114</f>
        <v>43.628999999999998</v>
      </c>
      <c r="I144" s="273">
        <f t="shared" ref="I144" si="46">H144/H$159</f>
        <v>2.2138164355802411E-3</v>
      </c>
    </row>
    <row r="145" spans="2:9" x14ac:dyDescent="0.2">
      <c r="B145" s="696"/>
      <c r="C145" s="323" t="str">
        <f t="shared" si="38"/>
        <v>TDF+FTC/3TC+EFV</v>
      </c>
      <c r="D145" s="362">
        <f>D115+E115</f>
        <v>6002.7800000000007</v>
      </c>
      <c r="E145" s="273">
        <f t="shared" si="34"/>
        <v>0.29817199071449818</v>
      </c>
      <c r="F145" s="785">
        <f t="shared" ref="F145:F153" si="47">G115</f>
        <v>5869.1434661657331</v>
      </c>
      <c r="G145" s="786">
        <f t="shared" si="36"/>
        <v>0.29781123262454079</v>
      </c>
      <c r="H145" s="362">
        <f>D115+E115</f>
        <v>6002.7800000000007</v>
      </c>
      <c r="I145" s="273">
        <f t="shared" si="37"/>
        <v>0.30459219838117679</v>
      </c>
    </row>
    <row r="146" spans="2:9" x14ac:dyDescent="0.2">
      <c r="B146" s="696"/>
      <c r="C146" s="323" t="str">
        <f t="shared" si="38"/>
        <v>TDF+FTC/3TC+LPV/r</v>
      </c>
      <c r="D146" s="362">
        <f>D116+E116</f>
        <v>0</v>
      </c>
      <c r="E146" s="273">
        <f t="shared" si="34"/>
        <v>0</v>
      </c>
      <c r="F146" s="785">
        <f t="shared" si="47"/>
        <v>0</v>
      </c>
      <c r="G146" s="786">
        <f t="shared" si="36"/>
        <v>0</v>
      </c>
      <c r="H146" s="362">
        <f>D116+E116</f>
        <v>0</v>
      </c>
      <c r="I146" s="273">
        <f t="shared" si="37"/>
        <v>0</v>
      </c>
    </row>
    <row r="147" spans="2:9" x14ac:dyDescent="0.2">
      <c r="B147" s="696"/>
      <c r="C147" s="323" t="str">
        <f t="shared" si="38"/>
        <v>ABC+3TC+LPV/r</v>
      </c>
      <c r="D147" s="362">
        <f>D117+E117</f>
        <v>24.72</v>
      </c>
      <c r="E147" s="273">
        <f t="shared" si="34"/>
        <v>1.2278996748943645E-3</v>
      </c>
      <c r="F147" s="785">
        <f t="shared" si="47"/>
        <v>24.169672465693711</v>
      </c>
      <c r="G147" s="786">
        <f t="shared" si="36"/>
        <v>1.2264140399079503E-3</v>
      </c>
      <c r="H147" s="362">
        <f>D117+E117</f>
        <v>24.72</v>
      </c>
      <c r="I147" s="273">
        <f t="shared" si="37"/>
        <v>1.2543386804085256E-3</v>
      </c>
    </row>
    <row r="148" spans="2:9" x14ac:dyDescent="0.2">
      <c r="B148" s="696"/>
      <c r="C148" s="323" t="str">
        <f t="shared" si="38"/>
        <v>TDF+3TC/FTC+ABC</v>
      </c>
      <c r="D148" s="362">
        <f>D118+E118</f>
        <v>53.805999999999997</v>
      </c>
      <c r="E148" s="273">
        <f t="shared" si="34"/>
        <v>2.6726686855730658E-3</v>
      </c>
      <c r="F148" s="785">
        <f t="shared" si="47"/>
        <v>52.608147115255498</v>
      </c>
      <c r="G148" s="786">
        <f t="shared" ref="G148:G157" si="48">F148/F$159</f>
        <v>2.6694350255375074E-3</v>
      </c>
      <c r="H148" s="362">
        <f>D118+E118</f>
        <v>53.805999999999997</v>
      </c>
      <c r="I148" s="273">
        <f t="shared" ref="I148:I157" si="49">H148/H$159</f>
        <v>2.7302163041286864E-3</v>
      </c>
    </row>
    <row r="149" spans="2:9" x14ac:dyDescent="0.2">
      <c r="B149" s="696"/>
      <c r="C149" s="705">
        <f t="shared" si="38"/>
        <v>0</v>
      </c>
      <c r="D149" s="787">
        <f>D119+E119</f>
        <v>0</v>
      </c>
      <c r="E149" s="281">
        <f t="shared" si="34"/>
        <v>0</v>
      </c>
      <c r="F149" s="788">
        <f t="shared" si="47"/>
        <v>0</v>
      </c>
      <c r="G149" s="789">
        <f t="shared" si="48"/>
        <v>0</v>
      </c>
      <c r="H149" s="787">
        <f>D119+E119</f>
        <v>0</v>
      </c>
      <c r="I149" s="281">
        <f t="shared" si="49"/>
        <v>0</v>
      </c>
    </row>
    <row r="150" spans="2:9" x14ac:dyDescent="0.2">
      <c r="B150" s="701" t="str">
        <f>'Data &amp; hypothesis Adults'!$B$36</f>
        <v>2èmes lignes</v>
      </c>
      <c r="C150" s="702" t="str">
        <f t="shared" si="38"/>
        <v>TDF+FTC/3TC+LPV/r</v>
      </c>
      <c r="D150" s="1151">
        <f>D120+F120</f>
        <v>840.27166668287782</v>
      </c>
      <c r="E150" s="1140">
        <f t="shared" si="34"/>
        <v>4.1738240547849983E-2</v>
      </c>
      <c r="F150" s="1152">
        <f t="shared" si="47"/>
        <v>840.27166668287782</v>
      </c>
      <c r="G150" s="1141">
        <f t="shared" si="48"/>
        <v>4.263694391471172E-2</v>
      </c>
      <c r="H150" s="1151">
        <f>D120+F120</f>
        <v>840.27166668287782</v>
      </c>
      <c r="I150" s="1140">
        <f t="shared" si="49"/>
        <v>4.2636943914711713E-2</v>
      </c>
    </row>
    <row r="151" spans="2:9" x14ac:dyDescent="0.2">
      <c r="B151" s="696"/>
      <c r="C151" s="533" t="str">
        <f t="shared" si="38"/>
        <v>TDF+FTC/3TC+ATV/r</v>
      </c>
      <c r="D151" s="362">
        <f>D121+F121</f>
        <v>34.903199999999998</v>
      </c>
      <c r="E151" s="273">
        <f t="shared" si="34"/>
        <v>1.7337228128144412E-3</v>
      </c>
      <c r="F151" s="785">
        <f t="shared" si="47"/>
        <v>34.903199999999998</v>
      </c>
      <c r="G151" s="786">
        <f t="shared" si="48"/>
        <v>1.7710531484641933E-3</v>
      </c>
      <c r="H151" s="362">
        <f>D121+F121</f>
        <v>34.903199999999998</v>
      </c>
      <c r="I151" s="273">
        <f t="shared" si="49"/>
        <v>1.7710531484641931E-3</v>
      </c>
    </row>
    <row r="152" spans="2:9" x14ac:dyDescent="0.2">
      <c r="B152" s="696"/>
      <c r="C152" s="533" t="str">
        <f t="shared" si="38"/>
        <v>ABC+DDI+LPV/r</v>
      </c>
      <c r="D152" s="362">
        <f>D122+F122</f>
        <v>0</v>
      </c>
      <c r="E152" s="273">
        <f t="shared" si="34"/>
        <v>0</v>
      </c>
      <c r="F152" s="785">
        <f t="shared" si="47"/>
        <v>0</v>
      </c>
      <c r="G152" s="786">
        <f t="shared" si="48"/>
        <v>0</v>
      </c>
      <c r="H152" s="362">
        <f>D122+F122</f>
        <v>0</v>
      </c>
      <c r="I152" s="273">
        <f t="shared" si="49"/>
        <v>0</v>
      </c>
    </row>
    <row r="153" spans="2:9" x14ac:dyDescent="0.2">
      <c r="B153" s="696"/>
      <c r="C153" s="533" t="str">
        <f t="shared" si="38"/>
        <v>TDF+3TC/FTC+ABC</v>
      </c>
      <c r="D153" s="362">
        <f>D123+F123</f>
        <v>0</v>
      </c>
      <c r="E153" s="273">
        <f t="shared" si="34"/>
        <v>0</v>
      </c>
      <c r="F153" s="785">
        <f t="shared" si="47"/>
        <v>0</v>
      </c>
      <c r="G153" s="786">
        <f t="shared" si="48"/>
        <v>0</v>
      </c>
      <c r="H153" s="362">
        <f>D123+F123</f>
        <v>0</v>
      </c>
      <c r="I153" s="273">
        <f t="shared" si="49"/>
        <v>0</v>
      </c>
    </row>
    <row r="154" spans="2:9" x14ac:dyDescent="0.2">
      <c r="B154" s="696"/>
      <c r="C154" s="533" t="str">
        <f t="shared" si="38"/>
        <v>AZT+3TC+LPV/r</v>
      </c>
      <c r="D154" s="362">
        <f t="shared" ref="D154:D156" si="50">D124+F124</f>
        <v>195.87603135967444</v>
      </c>
      <c r="E154" s="273">
        <f t="shared" ref="E154:E156" si="51">D154/D$159</f>
        <v>9.7296163117371621E-3</v>
      </c>
      <c r="F154" s="785">
        <f>G124</f>
        <v>195.87603135967444</v>
      </c>
      <c r="G154" s="786">
        <f>F154/F$159</f>
        <v>9.9391133778055449E-3</v>
      </c>
      <c r="H154" s="362">
        <f>D124+F124</f>
        <v>195.87603135967444</v>
      </c>
      <c r="I154" s="273">
        <f>H154/H$159</f>
        <v>9.9391133778055432E-3</v>
      </c>
    </row>
    <row r="155" spans="2:9" x14ac:dyDescent="0.2">
      <c r="B155" s="696"/>
      <c r="C155" s="533">
        <f t="shared" si="38"/>
        <v>0</v>
      </c>
      <c r="D155" s="362">
        <f t="shared" si="50"/>
        <v>0</v>
      </c>
      <c r="E155" s="273">
        <f t="shared" si="51"/>
        <v>0</v>
      </c>
      <c r="F155" s="785">
        <f t="shared" ref="F155:F156" si="52">G125</f>
        <v>0</v>
      </c>
      <c r="G155" s="786">
        <f t="shared" ref="G155:G156" si="53">F155/F$159</f>
        <v>0</v>
      </c>
      <c r="H155" s="362">
        <f t="shared" ref="H155:H156" si="54">D125+F125</f>
        <v>0</v>
      </c>
      <c r="I155" s="273">
        <f t="shared" ref="I155:I156" si="55">H155/H$159</f>
        <v>0</v>
      </c>
    </row>
    <row r="156" spans="2:9" x14ac:dyDescent="0.2">
      <c r="B156" s="696"/>
      <c r="C156" s="705">
        <f t="shared" si="38"/>
        <v>0</v>
      </c>
      <c r="D156" s="787">
        <f t="shared" si="50"/>
        <v>0</v>
      </c>
      <c r="E156" s="281">
        <f t="shared" si="51"/>
        <v>0</v>
      </c>
      <c r="F156" s="785">
        <f t="shared" si="52"/>
        <v>0</v>
      </c>
      <c r="G156" s="786">
        <f t="shared" si="53"/>
        <v>0</v>
      </c>
      <c r="H156" s="362">
        <f t="shared" si="54"/>
        <v>0</v>
      </c>
      <c r="I156" s="273">
        <f t="shared" si="55"/>
        <v>0</v>
      </c>
    </row>
    <row r="157" spans="2:9" ht="25.5" x14ac:dyDescent="0.2">
      <c r="B157" s="701" t="str">
        <f>'Data &amp; hypothesis Adults'!$B$43</f>
        <v>3èmes lignes</v>
      </c>
      <c r="C157" s="790" t="str">
        <f>'TRAD-Adults YEAR(1)'!B16</f>
        <v>nb de patient total 3èmes lignes</v>
      </c>
      <c r="D157" s="791">
        <f>F127</f>
        <v>0</v>
      </c>
      <c r="E157" s="283">
        <f t="shared" si="34"/>
        <v>0</v>
      </c>
      <c r="F157" s="792">
        <f t="shared" ref="F157:F158" si="56">G127</f>
        <v>0</v>
      </c>
      <c r="G157" s="793">
        <f t="shared" si="48"/>
        <v>0</v>
      </c>
      <c r="H157" s="794">
        <f>K127</f>
        <v>0</v>
      </c>
      <c r="I157" s="283">
        <f t="shared" si="49"/>
        <v>0</v>
      </c>
    </row>
    <row r="158" spans="2:9" ht="13.5" thickBot="1" x14ac:dyDescent="0.25">
      <c r="B158" s="696"/>
      <c r="C158" s="285"/>
      <c r="D158" s="794">
        <f>G128</f>
        <v>0</v>
      </c>
      <c r="E158" s="283"/>
      <c r="F158" s="792">
        <f t="shared" si="56"/>
        <v>0</v>
      </c>
      <c r="G158" s="793"/>
      <c r="H158" s="794">
        <f>K128</f>
        <v>0</v>
      </c>
      <c r="I158" s="283"/>
    </row>
    <row r="159" spans="2:9" ht="14.25" thickTop="1" thickBot="1" x14ac:dyDescent="0.25">
      <c r="B159" s="795"/>
      <c r="C159" s="796" t="s">
        <v>6</v>
      </c>
      <c r="D159" s="797">
        <f>SUM(D140:D156)</f>
        <v>20131.937898042561</v>
      </c>
      <c r="E159" s="798"/>
      <c r="F159" s="797">
        <f>SUM(F140:F156)</f>
        <v>19707.596031359677</v>
      </c>
      <c r="G159" s="799">
        <f>SUM(G140:G156)</f>
        <v>0.99999999999999989</v>
      </c>
      <c r="H159" s="797">
        <f>SUM(H140:H156)</f>
        <v>19707.596031359681</v>
      </c>
      <c r="I159" s="798"/>
    </row>
    <row r="160" spans="2:9" x14ac:dyDescent="0.2">
      <c r="C160" s="260" t="str">
        <f>'TRAD-Adults YEAR(1)'!B69</f>
        <v>Total 1ères lignes</v>
      </c>
      <c r="D160" s="800">
        <f>SUM(D140:D148)</f>
        <v>19060.887000000006</v>
      </c>
    </row>
    <row r="163" spans="1:32" x14ac:dyDescent="0.2">
      <c r="B163" s="290" t="str">
        <f>'TRAD-Adults YEAR(1)'!B17</f>
        <v>Commentaire</v>
      </c>
      <c r="C163" s="291"/>
      <c r="D163" s="291"/>
      <c r="E163" s="291"/>
      <c r="F163" s="291"/>
      <c r="G163" s="291"/>
      <c r="H163" s="291"/>
      <c r="I163" s="291"/>
      <c r="J163" s="291"/>
      <c r="K163" s="291"/>
      <c r="L163" s="291"/>
      <c r="M163" s="291"/>
      <c r="N163" s="497"/>
    </row>
    <row r="164" spans="1:32" x14ac:dyDescent="0.2">
      <c r="B164" s="801"/>
      <c r="C164" s="293" t="str">
        <f>'TRAD-Adults YEAR(1)'!B70</f>
        <v>Le nombre de patients en 3èmes lignes n'est volontairement pas pris en compte dans le total.</v>
      </c>
    </row>
    <row r="165" spans="1:32" x14ac:dyDescent="0.2">
      <c r="B165" s="293"/>
      <c r="C165" s="293" t="str">
        <f>'TRAD-Adults YEAR(1)'!B71</f>
        <v>Pour les années suivantes, nous avons pris en compte une défalcation proportionnelle à la répartition des initiations en premières lignes (données en rouge)</v>
      </c>
    </row>
    <row r="167" spans="1:32" ht="16.5" thickBot="1" x14ac:dyDescent="0.3">
      <c r="A167" s="802" t="str">
        <f>'TRAD-Adults YEAR (2)'!B12</f>
        <v>Quantification des besoins en ARV pour la prise en charge médicale pour la première année selon la répartition envisagée</v>
      </c>
      <c r="B167" s="802"/>
      <c r="C167" s="802"/>
      <c r="D167" s="802"/>
      <c r="E167" s="802"/>
      <c r="F167" s="802"/>
      <c r="G167" s="802"/>
      <c r="H167" s="802"/>
      <c r="I167" s="802"/>
      <c r="J167" s="802"/>
      <c r="K167" s="802"/>
      <c r="L167" s="802"/>
    </row>
    <row r="169" spans="1:32" ht="15" x14ac:dyDescent="0.2">
      <c r="B169" s="2143" t="str">
        <f>'TRAD-Adults YEAR(1)'!B72</f>
        <v>Détails des calculs</v>
      </c>
      <c r="C169" s="2143"/>
      <c r="D169" s="2143"/>
      <c r="E169" s="2143"/>
      <c r="F169" s="2143"/>
      <c r="G169" s="1158"/>
      <c r="H169" s="1158"/>
      <c r="I169" s="1158"/>
      <c r="J169" s="1158"/>
      <c r="K169" s="1158"/>
      <c r="L169" s="2143"/>
      <c r="M169" s="2143"/>
      <c r="N169" s="1158"/>
    </row>
    <row r="172" spans="1:32" s="1477" customFormat="1" ht="15" x14ac:dyDescent="0.25">
      <c r="C172" s="1478"/>
      <c r="D172" s="1479" t="s">
        <v>75</v>
      </c>
      <c r="E172" s="1479"/>
      <c r="F172" s="1479"/>
      <c r="G172" s="1480"/>
      <c r="H172" s="1480"/>
      <c r="I172" s="1480"/>
      <c r="J172" s="1480"/>
      <c r="K172" s="1480"/>
      <c r="L172" s="1479"/>
      <c r="M172" s="1479" t="s">
        <v>84</v>
      </c>
      <c r="N172" s="1479"/>
      <c r="O172" s="1479" t="s">
        <v>85</v>
      </c>
      <c r="P172" s="1479"/>
      <c r="Q172" s="1479"/>
      <c r="R172" s="1480"/>
      <c r="S172" s="1480"/>
      <c r="T172" s="1479"/>
      <c r="U172" s="1479" t="s">
        <v>87</v>
      </c>
      <c r="V172" s="1480"/>
      <c r="W172" s="1480"/>
      <c r="X172" s="1480"/>
      <c r="Y172" s="1480"/>
      <c r="Z172" s="1480"/>
      <c r="AA172" s="1479" t="s">
        <v>331</v>
      </c>
      <c r="AB172" s="1479" t="str">
        <f>'TRAD-Adults YEAR(1)'!B132</f>
        <v>NNRTI 3ème ligne</v>
      </c>
    </row>
    <row r="173" spans="1:32" s="1477" customFormat="1" ht="75" x14ac:dyDescent="0.25">
      <c r="C173" s="1481" t="str">
        <f>'TRAD-Adults YEAR(1)'!B73</f>
        <v>Composition</v>
      </c>
      <c r="D173" s="1482" t="s">
        <v>7</v>
      </c>
      <c r="E173" s="1482" t="s">
        <v>140</v>
      </c>
      <c r="F173" s="1482" t="s">
        <v>731</v>
      </c>
      <c r="G173" s="1482" t="s">
        <v>11</v>
      </c>
      <c r="H173" s="1482" t="s">
        <v>586</v>
      </c>
      <c r="I173" s="1482" t="s">
        <v>50</v>
      </c>
      <c r="J173" s="1482" t="s">
        <v>81</v>
      </c>
      <c r="K173" s="1482" t="s">
        <v>348</v>
      </c>
      <c r="L173" s="1482" t="s">
        <v>349</v>
      </c>
      <c r="M173" s="1482" t="s">
        <v>17</v>
      </c>
      <c r="N173" s="1482" t="s">
        <v>19</v>
      </c>
      <c r="O173" s="1482" t="s">
        <v>39</v>
      </c>
      <c r="P173" s="1482" t="s">
        <v>350</v>
      </c>
      <c r="Q173" s="1482" t="s">
        <v>25</v>
      </c>
      <c r="R173" s="1482" t="s">
        <v>28</v>
      </c>
      <c r="S173" s="1482" t="s">
        <v>28</v>
      </c>
      <c r="T173" s="1482" t="s">
        <v>22</v>
      </c>
      <c r="U173" s="1482" t="s">
        <v>33</v>
      </c>
      <c r="V173" s="1482" t="s">
        <v>69</v>
      </c>
      <c r="W173" s="1482" t="s">
        <v>335</v>
      </c>
      <c r="X173" s="1482" t="s">
        <v>68</v>
      </c>
      <c r="Y173" s="1482" t="s">
        <v>576</v>
      </c>
      <c r="Z173" s="1482" t="s">
        <v>343</v>
      </c>
      <c r="AA173" s="1482" t="s">
        <v>329</v>
      </c>
      <c r="AB173" s="1482" t="s">
        <v>330</v>
      </c>
      <c r="AC173" s="1483" t="str">
        <f>'TRAD-Adults YEAR(1)'!B133</f>
        <v>Patients sous traitement</v>
      </c>
      <c r="AD173" s="1483" t="str">
        <f>'TRAD-Adults YEAR(1)'!B134</f>
        <v>Patients initiés/swichés / mois</v>
      </c>
      <c r="AE173" s="1483" t="str">
        <f>'TRAD-Adults YEAR(1)'!B134</f>
        <v>Patients initiés/swichés / mois</v>
      </c>
      <c r="AF173" s="1483" t="str">
        <f>'TRAD-Adults YEAR(1)'!B135</f>
        <v>Défalcation (nb patients switchés/mois)</v>
      </c>
    </row>
    <row r="174" spans="1:32" s="1477" customFormat="1" ht="15" x14ac:dyDescent="0.25">
      <c r="C174" s="1481" t="str">
        <f>'TRAD-Adults YEAR(1)'!B74</f>
        <v>Nom du médicament</v>
      </c>
      <c r="D174" s="1482" t="s">
        <v>76</v>
      </c>
      <c r="E174" s="1482"/>
      <c r="F174" s="1482"/>
      <c r="G174" s="1482" t="s">
        <v>78</v>
      </c>
      <c r="H174" s="1482"/>
      <c r="I174" s="1482" t="s">
        <v>79</v>
      </c>
      <c r="J174" s="1482" t="s">
        <v>82</v>
      </c>
      <c r="K174" s="1482"/>
      <c r="L174" s="1482"/>
      <c r="M174" s="1482"/>
      <c r="N174" s="1482"/>
      <c r="O174" s="1482"/>
      <c r="P174" s="1482"/>
      <c r="Q174" s="1482"/>
      <c r="R174" s="1482"/>
      <c r="S174" s="1482"/>
      <c r="T174" s="1482"/>
      <c r="U174" s="1482"/>
      <c r="V174" s="1482"/>
      <c r="W174" s="1482"/>
      <c r="X174" s="1482"/>
      <c r="Y174" s="1482"/>
      <c r="Z174" s="1482"/>
      <c r="AA174" s="1482"/>
      <c r="AB174" s="1482"/>
      <c r="AC174" s="1484"/>
      <c r="AD174" s="1484"/>
      <c r="AE174" s="1484"/>
      <c r="AF174" s="1484"/>
    </row>
    <row r="175" spans="1:32" s="1477" customFormat="1" ht="15" x14ac:dyDescent="0.25">
      <c r="C175" s="1481" t="str">
        <f>'TRAD-Adults YEAR(1)'!B75</f>
        <v>Forme galénique</v>
      </c>
      <c r="D175" s="1482" t="s">
        <v>521</v>
      </c>
      <c r="E175" s="1482" t="s">
        <v>521</v>
      </c>
      <c r="F175" s="1482" t="s">
        <v>521</v>
      </c>
      <c r="G175" s="1482" t="s">
        <v>521</v>
      </c>
      <c r="H175" s="1482" t="s">
        <v>521</v>
      </c>
      <c r="I175" s="1482" t="s">
        <v>521</v>
      </c>
      <c r="J175" s="1482" t="s">
        <v>521</v>
      </c>
      <c r="K175" s="1482" t="s">
        <v>521</v>
      </c>
      <c r="L175" s="1482" t="s">
        <v>521</v>
      </c>
      <c r="M175" s="1482" t="s">
        <v>521</v>
      </c>
      <c r="N175" s="1482" t="s">
        <v>521</v>
      </c>
      <c r="O175" s="1482" t="s">
        <v>521</v>
      </c>
      <c r="P175" s="1482" t="s">
        <v>521</v>
      </c>
      <c r="Q175" s="1482" t="s">
        <v>521</v>
      </c>
      <c r="R175" s="1482" t="s">
        <v>86</v>
      </c>
      <c r="S175" s="1482" t="s">
        <v>86</v>
      </c>
      <c r="T175" s="1482" t="s">
        <v>521</v>
      </c>
      <c r="U175" s="1482" t="s">
        <v>521</v>
      </c>
      <c r="V175" s="1482" t="s">
        <v>86</v>
      </c>
      <c r="W175" s="1482" t="s">
        <v>88</v>
      </c>
      <c r="X175" s="1482" t="s">
        <v>88</v>
      </c>
      <c r="Y175" s="1482" t="s">
        <v>599</v>
      </c>
      <c r="Z175" s="1482" t="s">
        <v>521</v>
      </c>
      <c r="AA175" s="1482" t="s">
        <v>521</v>
      </c>
      <c r="AB175" s="1482" t="s">
        <v>521</v>
      </c>
      <c r="AC175" s="1484"/>
      <c r="AD175" s="1484"/>
      <c r="AE175" s="1484"/>
      <c r="AF175" s="1484"/>
    </row>
    <row r="176" spans="1:32" s="1477" customFormat="1" ht="15" x14ac:dyDescent="0.25">
      <c r="C176" s="1481" t="str">
        <f>'TRAD-Adults YEAR(1)'!B76</f>
        <v>Dosage</v>
      </c>
      <c r="D176" s="1485" t="s">
        <v>9</v>
      </c>
      <c r="E176" s="1485" t="s">
        <v>334</v>
      </c>
      <c r="F176" s="1485" t="s">
        <v>734</v>
      </c>
      <c r="G176" s="1485" t="s">
        <v>12</v>
      </c>
      <c r="H176" s="1485" t="s">
        <v>649</v>
      </c>
      <c r="I176" s="1485" t="s">
        <v>80</v>
      </c>
      <c r="J176" s="1485" t="s">
        <v>83</v>
      </c>
      <c r="K176" s="1485" t="s">
        <v>244</v>
      </c>
      <c r="L176" s="1485" t="s">
        <v>24</v>
      </c>
      <c r="M176" s="1485" t="s">
        <v>18</v>
      </c>
      <c r="N176" s="1485" t="s">
        <v>20</v>
      </c>
      <c r="O176" s="1485" t="s">
        <v>23</v>
      </c>
      <c r="P176" s="1485" t="s">
        <v>16</v>
      </c>
      <c r="Q176" s="1485" t="s">
        <v>23</v>
      </c>
      <c r="R176" s="1485" t="s">
        <v>29</v>
      </c>
      <c r="S176" s="1485" t="s">
        <v>32</v>
      </c>
      <c r="T176" s="1485" t="s">
        <v>23</v>
      </c>
      <c r="U176" s="1485" t="s">
        <v>34</v>
      </c>
      <c r="V176" s="1485" t="s">
        <v>32</v>
      </c>
      <c r="W176" s="1485" t="s">
        <v>89</v>
      </c>
      <c r="X176" s="1485" t="s">
        <v>20</v>
      </c>
      <c r="Y176" s="1485" t="s">
        <v>577</v>
      </c>
      <c r="Z176" s="1485" t="s">
        <v>18</v>
      </c>
      <c r="AA176" s="1485" t="s">
        <v>32</v>
      </c>
      <c r="AB176" s="1485" t="s">
        <v>89</v>
      </c>
      <c r="AC176" s="1486"/>
      <c r="AD176" s="1486"/>
      <c r="AE176" s="1486"/>
      <c r="AF176" s="1486"/>
    </row>
    <row r="177" spans="2:32" s="1477" customFormat="1" ht="33" customHeight="1" x14ac:dyDescent="0.25">
      <c r="C177" s="1481" t="str">
        <f>'TRAD-Adults YEAR(1)'!B77</f>
        <v>Nb cdt/mois/patient</v>
      </c>
      <c r="D177" s="1487">
        <f>'Data &amp; hypothesis Adults'!$K$228</f>
        <v>1</v>
      </c>
      <c r="E177" s="1487">
        <f>'Data &amp; hypothesis Adults'!$K$229</f>
        <v>1</v>
      </c>
      <c r="F177" s="1487">
        <f>'Data &amp; hypothesis Adults'!$K$230</f>
        <v>1</v>
      </c>
      <c r="G177" s="1487">
        <f>'Data &amp; hypothesis Adults'!$K$231</f>
        <v>1</v>
      </c>
      <c r="H177" s="1487">
        <f>'Data &amp; hypothesis Adults'!$K$232</f>
        <v>1</v>
      </c>
      <c r="I177" s="1487">
        <f>'Data &amp; hypothesis Adults'!$K$233</f>
        <v>1</v>
      </c>
      <c r="J177" s="1487">
        <f>'Data &amp; hypothesis Adults'!$K$234</f>
        <v>1</v>
      </c>
      <c r="K177" s="1487">
        <f>'Data &amp; hypothesis Adults'!$K$235</f>
        <v>1</v>
      </c>
      <c r="L177" s="1487">
        <f>'Data &amp; hypothesis Adults'!$K$236</f>
        <v>1</v>
      </c>
      <c r="M177" s="1487">
        <f>'Data &amp; hypothesis Adults'!$K$237</f>
        <v>1</v>
      </c>
      <c r="N177" s="1487">
        <f>'Data &amp; hypothesis Adults'!$K$238</f>
        <v>1</v>
      </c>
      <c r="O177" s="1487">
        <f>'Data &amp; hypothesis Adults'!$K$239</f>
        <v>1</v>
      </c>
      <c r="P177" s="1487">
        <f>'Data &amp; hypothesis Adults'!$K$240</f>
        <v>1</v>
      </c>
      <c r="Q177" s="1487">
        <f>'Data &amp; hypothesis Adults'!$K$241</f>
        <v>1</v>
      </c>
      <c r="R177" s="1487">
        <f>'Data &amp; hypothesis Adults'!$K$242</f>
        <v>1</v>
      </c>
      <c r="S177" s="1487">
        <f>'Data &amp; hypothesis Adults'!$K$243</f>
        <v>1</v>
      </c>
      <c r="T177" s="1487">
        <f>'Data &amp; hypothesis Adults'!$K$244</f>
        <v>1</v>
      </c>
      <c r="U177" s="1487">
        <f>'Data &amp; hypothesis Adults'!$K$245</f>
        <v>1</v>
      </c>
      <c r="V177" s="1487">
        <f>'Data &amp; hypothesis Adults'!$K$246</f>
        <v>0.66666666666666663</v>
      </c>
      <c r="W177" s="1487">
        <f>'Data &amp; hypothesis Adults'!$K$247</f>
        <v>0.7142857142857143</v>
      </c>
      <c r="X177" s="1487">
        <f>'Data &amp; hypothesis Adults'!$K$248</f>
        <v>1</v>
      </c>
      <c r="Y177" s="1487">
        <f>'Data &amp; hypothesis Adults'!$K$249</f>
        <v>1</v>
      </c>
      <c r="Z177" s="1487">
        <f>'Data &amp; hypothesis Adults'!$K$250</f>
        <v>1</v>
      </c>
      <c r="AA177" s="1487">
        <f>'Data &amp; hypothesis Adults'!$K$251</f>
        <v>1</v>
      </c>
      <c r="AB177" s="1487">
        <f>'Data &amp; hypothesis Adults'!$K$252</f>
        <v>1</v>
      </c>
      <c r="AC177" s="1486"/>
      <c r="AD177" s="1486"/>
      <c r="AE177" s="1486"/>
      <c r="AF177" s="1486"/>
    </row>
    <row r="178" spans="2:32" s="1477" customFormat="1" ht="45" x14ac:dyDescent="0.25">
      <c r="C178" s="1481" t="str">
        <f>'TRAD-Adults YEAR(1)'!B78</f>
        <v>Répartitions spécifiques (DDI, 3ème ligne)</v>
      </c>
      <c r="D178" s="1488"/>
      <c r="E178" s="1488"/>
      <c r="F178" s="1488"/>
      <c r="G178" s="1488"/>
      <c r="H178" s="1488"/>
      <c r="I178" s="1488"/>
      <c r="J178" s="1488"/>
      <c r="K178" s="1488"/>
      <c r="L178" s="1488"/>
      <c r="M178" s="1488"/>
      <c r="N178" s="1488"/>
      <c r="O178" s="1488"/>
      <c r="P178" s="1488"/>
      <c r="Q178" s="1488"/>
      <c r="R178" s="1489">
        <f>'Data &amp; hypothesis Adults'!D168</f>
        <v>0</v>
      </c>
      <c r="S178" s="1489">
        <f>'Data &amp; hypothesis Adults'!D169</f>
        <v>1</v>
      </c>
      <c r="T178" s="1488"/>
      <c r="U178" s="1488"/>
      <c r="V178" s="1490"/>
      <c r="W178" s="1490"/>
      <c r="X178" s="1490"/>
      <c r="Y178" s="1490"/>
      <c r="Z178" s="1490"/>
      <c r="AA178" s="1490"/>
      <c r="AB178" s="1490"/>
      <c r="AC178" s="1486"/>
      <c r="AD178" s="1486"/>
      <c r="AE178" s="1486"/>
      <c r="AF178" s="1486"/>
    </row>
    <row r="179" spans="2:32" s="1477" customFormat="1" ht="45" x14ac:dyDescent="0.25">
      <c r="C179" s="1481" t="str">
        <f>'TRAD-Adults YEAR(1)'!B79</f>
        <v>Répartitions spécifiques 3ème ligne</v>
      </c>
      <c r="D179" s="1488"/>
      <c r="E179" s="1488"/>
      <c r="F179" s="1488"/>
      <c r="G179" s="1488"/>
      <c r="H179" s="1488"/>
      <c r="I179" s="1488"/>
      <c r="J179" s="1488"/>
      <c r="K179" s="1488"/>
      <c r="L179" s="1488">
        <f>'Data &amp; hypothesis Adults'!D147</f>
        <v>0</v>
      </c>
      <c r="M179" s="1488"/>
      <c r="N179" s="1488"/>
      <c r="O179" s="1488"/>
      <c r="P179" s="1488">
        <f>'Data &amp; hypothesis Adults'!D146</f>
        <v>0</v>
      </c>
      <c r="Q179" s="1488">
        <f>'Data &amp; hypothesis Adults'!D144</f>
        <v>0</v>
      </c>
      <c r="R179" s="1489">
        <f>'Data &amp; hypothesis Adults'!D145</f>
        <v>0</v>
      </c>
      <c r="S179" s="1489">
        <f>'Data &amp; hypothesis Adults'!D145</f>
        <v>0</v>
      </c>
      <c r="T179" s="1488"/>
      <c r="U179" s="1488"/>
      <c r="V179" s="1488">
        <f>'Data &amp; hypothesis Adults'!D148</f>
        <v>0</v>
      </c>
      <c r="W179" s="1488">
        <f>V179+X179+Z179</f>
        <v>0</v>
      </c>
      <c r="X179" s="1488">
        <f>'Data &amp; hypothesis Adults'!D149</f>
        <v>0</v>
      </c>
      <c r="Y179" s="1488">
        <f>'Data &amp; hypothesis Adults'!D150</f>
        <v>0</v>
      </c>
      <c r="Z179" s="1488">
        <f>'Data &amp; hypothesis Adults'!D151</f>
        <v>0</v>
      </c>
      <c r="AA179" s="1488">
        <f>'Data &amp; hypothesis Adults'!D152</f>
        <v>0</v>
      </c>
      <c r="AB179" s="1488">
        <f>'Data &amp; hypothesis Adults'!D153</f>
        <v>0</v>
      </c>
      <c r="AC179" s="1486"/>
      <c r="AD179" s="1486"/>
      <c r="AE179" s="1486"/>
      <c r="AF179" s="1486"/>
    </row>
    <row r="180" spans="2:32" s="1477" customFormat="1" ht="15" x14ac:dyDescent="0.25">
      <c r="B180" s="1491"/>
      <c r="C180" s="1481" t="str">
        <f>'TRAD-Adults YEAR(1)'!B80</f>
        <v>Schémas</v>
      </c>
      <c r="D180" s="1491"/>
      <c r="E180" s="1491"/>
      <c r="F180" s="1491"/>
      <c r="G180" s="1491"/>
      <c r="H180" s="1491"/>
      <c r="I180" s="1491"/>
      <c r="J180" s="1491"/>
      <c r="K180" s="1491"/>
      <c r="L180" s="1491"/>
      <c r="M180" s="1491"/>
      <c r="N180" s="1491"/>
      <c r="O180" s="1491"/>
      <c r="P180" s="1491"/>
      <c r="Q180" s="1491"/>
      <c r="R180" s="1492"/>
      <c r="S180" s="1492"/>
      <c r="T180" s="1491"/>
      <c r="U180" s="1491"/>
      <c r="V180" s="1491"/>
      <c r="W180" s="1491"/>
      <c r="X180" s="1491"/>
      <c r="Y180" s="1491"/>
      <c r="Z180" s="1491"/>
      <c r="AA180" s="1491"/>
      <c r="AB180" s="1491"/>
      <c r="AC180" s="1491"/>
      <c r="AD180" s="1491"/>
      <c r="AE180" s="1491"/>
      <c r="AF180" s="1491"/>
    </row>
    <row r="181" spans="2:32" s="1477" customFormat="1" ht="15" x14ac:dyDescent="0.25">
      <c r="B181" s="1493" t="str">
        <f>'TRAD-Adults YEAR(1)'!B10</f>
        <v>1ères lignes</v>
      </c>
      <c r="C181" s="1482" t="str">
        <f>C10</f>
        <v>AZT+3TC+NVP</v>
      </c>
      <c r="D181" s="1175" t="str">
        <f>'Data &amp; hypothesis Adults'!E200</f>
        <v>X</v>
      </c>
      <c r="E181" s="1175">
        <f>'Data &amp; hypothesis Adults'!F200</f>
        <v>0</v>
      </c>
      <c r="F181" s="1175">
        <f>'Data &amp; hypothesis Adults'!G200</f>
        <v>0</v>
      </c>
      <c r="G181" s="1175">
        <f>'Data &amp; hypothesis Adults'!H200</f>
        <v>0</v>
      </c>
      <c r="H181" s="1175">
        <f>'Data &amp; hypothesis Adults'!I200</f>
        <v>0</v>
      </c>
      <c r="I181" s="1175">
        <f>'Data &amp; hypothesis Adults'!J200</f>
        <v>0</v>
      </c>
      <c r="J181" s="1175">
        <f>'Data &amp; hypothesis Adults'!K200</f>
        <v>0</v>
      </c>
      <c r="K181" s="1175">
        <f>'Data &amp; hypothesis Adults'!L200</f>
        <v>0</v>
      </c>
      <c r="L181" s="1175">
        <f>'Data &amp; hypothesis Adults'!M200</f>
        <v>0</v>
      </c>
      <c r="M181" s="1175">
        <f>'Data &amp; hypothesis Adults'!N200</f>
        <v>0</v>
      </c>
      <c r="N181" s="1175">
        <f>'Data &amp; hypothesis Adults'!O200</f>
        <v>0</v>
      </c>
      <c r="O181" s="1175">
        <f>'Data &amp; hypothesis Adults'!P200</f>
        <v>0</v>
      </c>
      <c r="P181" s="1175">
        <f>'Data &amp; hypothesis Adults'!Q200</f>
        <v>0</v>
      </c>
      <c r="Q181" s="1175">
        <f>'Data &amp; hypothesis Adults'!R200</f>
        <v>0</v>
      </c>
      <c r="R181" s="1175">
        <f>'Data &amp; hypothesis Adults'!S200</f>
        <v>0</v>
      </c>
      <c r="S181" s="1175">
        <f>'Data &amp; hypothesis Adults'!T200</f>
        <v>0</v>
      </c>
      <c r="T181" s="1175">
        <f>'Data &amp; hypothesis Adults'!U200</f>
        <v>0</v>
      </c>
      <c r="U181" s="1175">
        <f>'Data &amp; hypothesis Adults'!V200</f>
        <v>0</v>
      </c>
      <c r="V181" s="1175">
        <f>'Data &amp; hypothesis Adults'!W200</f>
        <v>0</v>
      </c>
      <c r="W181" s="1175">
        <f>'Data &amp; hypothesis Adults'!X200</f>
        <v>0</v>
      </c>
      <c r="X181" s="1175">
        <f>'Data &amp; hypothesis Adults'!Y200</f>
        <v>0</v>
      </c>
      <c r="Y181" s="1175">
        <f>'Data &amp; hypothesis Adults'!Z200</f>
        <v>0</v>
      </c>
      <c r="Z181" s="1175">
        <f>'Data &amp; hypothesis Adults'!AA200</f>
        <v>0</v>
      </c>
      <c r="AA181" s="1175">
        <f>'Data &amp; hypothesis Adults'!AB200</f>
        <v>0</v>
      </c>
      <c r="AB181" s="1175">
        <f>'Data &amp; hypothesis Adults'!AC200</f>
        <v>0</v>
      </c>
      <c r="AC181" s="1494">
        <f t="shared" ref="AC181:AC194" si="57">D10</f>
        <v>10529.132</v>
      </c>
      <c r="AD181" s="1491">
        <f>E39</f>
        <v>20.6</v>
      </c>
      <c r="AE181" s="1495"/>
      <c r="AF181" s="1496">
        <f>-F110/$D$6</f>
        <v>19.992287683474668</v>
      </c>
    </row>
    <row r="182" spans="2:32" s="1477" customFormat="1" ht="15" x14ac:dyDescent="0.25">
      <c r="B182" s="1493"/>
      <c r="C182" s="1482" t="str">
        <f t="shared" ref="C182:C197" si="58">C11</f>
        <v>AZT+3TC+EFV</v>
      </c>
      <c r="D182" s="1175">
        <f>'Data &amp; hypothesis Adults'!E201</f>
        <v>0</v>
      </c>
      <c r="E182" s="1175">
        <f>'Data &amp; hypothesis Adults'!F201</f>
        <v>0</v>
      </c>
      <c r="F182" s="1175">
        <f>'Data &amp; hypothesis Adults'!G201</f>
        <v>0</v>
      </c>
      <c r="G182" s="1175" t="str">
        <f>'Data &amp; hypothesis Adults'!H201</f>
        <v>X</v>
      </c>
      <c r="H182" s="1175">
        <f>'Data &amp; hypothesis Adults'!I201</f>
        <v>0</v>
      </c>
      <c r="I182" s="1175">
        <f>'Data &amp; hypothesis Adults'!J201</f>
        <v>0</v>
      </c>
      <c r="J182" s="1175">
        <f>'Data &amp; hypothesis Adults'!K201</f>
        <v>0</v>
      </c>
      <c r="K182" s="1175">
        <f>'Data &amp; hypothesis Adults'!L201</f>
        <v>0</v>
      </c>
      <c r="L182" s="1175">
        <f>'Data &amp; hypothesis Adults'!M201</f>
        <v>0</v>
      </c>
      <c r="M182" s="1175" t="str">
        <f>'Data &amp; hypothesis Adults'!N201</f>
        <v>X</v>
      </c>
      <c r="N182" s="1175">
        <f>'Data &amp; hypothesis Adults'!O201</f>
        <v>0</v>
      </c>
      <c r="O182" s="1175">
        <f>'Data &amp; hypothesis Adults'!P201</f>
        <v>0</v>
      </c>
      <c r="P182" s="1175">
        <f>'Data &amp; hypothesis Adults'!Q201</f>
        <v>0</v>
      </c>
      <c r="Q182" s="1175">
        <f>'Data &amp; hypothesis Adults'!R201</f>
        <v>0</v>
      </c>
      <c r="R182" s="1175">
        <f>'Data &amp; hypothesis Adults'!S201</f>
        <v>0</v>
      </c>
      <c r="S182" s="1175">
        <f>'Data &amp; hypothesis Adults'!T201</f>
        <v>0</v>
      </c>
      <c r="T182" s="1175">
        <f>'Data &amp; hypothesis Adults'!U201</f>
        <v>0</v>
      </c>
      <c r="U182" s="1175">
        <f>'Data &amp; hypothesis Adults'!V201</f>
        <v>0</v>
      </c>
      <c r="V182" s="1175">
        <f>'Data &amp; hypothesis Adults'!W201</f>
        <v>0</v>
      </c>
      <c r="W182" s="1175">
        <f>'Data &amp; hypothesis Adults'!X201</f>
        <v>0</v>
      </c>
      <c r="X182" s="1175">
        <f>'Data &amp; hypothesis Adults'!Y201</f>
        <v>0</v>
      </c>
      <c r="Y182" s="1175">
        <f>'Data &amp; hypothesis Adults'!Z201</f>
        <v>0</v>
      </c>
      <c r="Z182" s="1175">
        <f>'Data &amp; hypothesis Adults'!AA201</f>
        <v>0</v>
      </c>
      <c r="AA182" s="1175">
        <f>'Data &amp; hypothesis Adults'!AB201</f>
        <v>0</v>
      </c>
      <c r="AB182" s="1175">
        <f>'Data &amp; hypothesis Adults'!AC201</f>
        <v>0</v>
      </c>
      <c r="AC182" s="1491">
        <f t="shared" si="57"/>
        <v>1367.0419999999999</v>
      </c>
      <c r="AD182" s="1491">
        <f>E40</f>
        <v>2.06</v>
      </c>
      <c r="AE182" s="1495"/>
      <c r="AF182" s="1496">
        <f>-F111/$D$6</f>
        <v>2.5820015837418584</v>
      </c>
    </row>
    <row r="183" spans="2:32" s="1477" customFormat="1" ht="15" x14ac:dyDescent="0.25">
      <c r="B183" s="1493"/>
      <c r="C183" s="1482" t="str">
        <f t="shared" si="58"/>
        <v>AZT+3TC+ABC</v>
      </c>
      <c r="D183" s="1175">
        <f>'Data &amp; hypothesis Adults'!E202</f>
        <v>0</v>
      </c>
      <c r="E183" s="1175" t="str">
        <f>'Data &amp; hypothesis Adults'!F202</f>
        <v>X</v>
      </c>
      <c r="F183" s="1175">
        <f>'Data &amp; hypothesis Adults'!G202</f>
        <v>0</v>
      </c>
      <c r="G183" s="1175">
        <f>'Data &amp; hypothesis Adults'!H202</f>
        <v>0</v>
      </c>
      <c r="H183" s="1175">
        <f>'Data &amp; hypothesis Adults'!I202</f>
        <v>0</v>
      </c>
      <c r="I183" s="1175">
        <f>'Data &amp; hypothesis Adults'!J202</f>
        <v>0</v>
      </c>
      <c r="J183" s="1175">
        <f>'Data &amp; hypothesis Adults'!K202</f>
        <v>0</v>
      </c>
      <c r="K183" s="1175">
        <f>'Data &amp; hypothesis Adults'!L202</f>
        <v>0</v>
      </c>
      <c r="L183" s="1175">
        <f>'Data &amp; hypothesis Adults'!M202</f>
        <v>0</v>
      </c>
      <c r="M183" s="1175">
        <f>'Data &amp; hypothesis Adults'!N202</f>
        <v>0</v>
      </c>
      <c r="N183" s="1175">
        <f>'Data &amp; hypothesis Adults'!O202</f>
        <v>0</v>
      </c>
      <c r="O183" s="1175">
        <f>'Data &amp; hypothesis Adults'!P202</f>
        <v>0</v>
      </c>
      <c r="P183" s="1175">
        <f>'Data &amp; hypothesis Adults'!Q202</f>
        <v>0</v>
      </c>
      <c r="Q183" s="1175">
        <f>'Data &amp; hypothesis Adults'!R202</f>
        <v>0</v>
      </c>
      <c r="R183" s="1175">
        <f>'Data &amp; hypothesis Adults'!S202</f>
        <v>0</v>
      </c>
      <c r="S183" s="1175">
        <f>'Data &amp; hypothesis Adults'!T202</f>
        <v>0</v>
      </c>
      <c r="T183" s="1175">
        <f>'Data &amp; hypothesis Adults'!U202</f>
        <v>0</v>
      </c>
      <c r="U183" s="1175">
        <f>'Data &amp; hypothesis Adults'!V202</f>
        <v>0</v>
      </c>
      <c r="V183" s="1175">
        <f>'Data &amp; hypothesis Adults'!W202</f>
        <v>0</v>
      </c>
      <c r="W183" s="1175">
        <f>'Data &amp; hypothesis Adults'!X202</f>
        <v>0</v>
      </c>
      <c r="X183" s="1175">
        <f>'Data &amp; hypothesis Adults'!Y202</f>
        <v>0</v>
      </c>
      <c r="Y183" s="1175">
        <f>'Data &amp; hypothesis Adults'!Z202</f>
        <v>0</v>
      </c>
      <c r="Z183" s="1175">
        <f>'Data &amp; hypothesis Adults'!AA202</f>
        <v>0</v>
      </c>
      <c r="AA183" s="1175">
        <f>'Data &amp; hypothesis Adults'!AB202</f>
        <v>0</v>
      </c>
      <c r="AB183" s="1175">
        <f>'Data &amp; hypothesis Adults'!AC202</f>
        <v>0</v>
      </c>
      <c r="AC183" s="1491">
        <f t="shared" si="57"/>
        <v>29.086000000000002</v>
      </c>
      <c r="AD183" s="1491">
        <f>E41</f>
        <v>4.12</v>
      </c>
      <c r="AE183" s="1495"/>
      <c r="AF183" s="1496">
        <f>-F112/$D$6</f>
        <v>0.14568170158756541</v>
      </c>
    </row>
    <row r="184" spans="2:32" s="1477" customFormat="1" ht="15" x14ac:dyDescent="0.25">
      <c r="B184" s="1493"/>
      <c r="C184" s="1482" t="str">
        <f t="shared" si="58"/>
        <v>AZT+3TC+LPV/r</v>
      </c>
      <c r="D184" s="1175">
        <f>'Data &amp; hypothesis Adults'!E203</f>
        <v>0</v>
      </c>
      <c r="E184" s="1175">
        <f>'Data &amp; hypothesis Adults'!F203</f>
        <v>0</v>
      </c>
      <c r="F184" s="1175">
        <f>'Data &amp; hypothesis Adults'!G203</f>
        <v>0</v>
      </c>
      <c r="G184" s="1175" t="str">
        <f>'Data &amp; hypothesis Adults'!H203</f>
        <v>X</v>
      </c>
      <c r="H184" s="1175">
        <f>'Data &amp; hypothesis Adults'!I203</f>
        <v>0</v>
      </c>
      <c r="I184" s="1175">
        <f>'Data &amp; hypothesis Adults'!J203</f>
        <v>0</v>
      </c>
      <c r="J184" s="1175">
        <f>'Data &amp; hypothesis Adults'!K203</f>
        <v>0</v>
      </c>
      <c r="K184" s="1175">
        <f>'Data &amp; hypothesis Adults'!L203</f>
        <v>0</v>
      </c>
      <c r="L184" s="1175">
        <f>'Data &amp; hypothesis Adults'!M203</f>
        <v>0</v>
      </c>
      <c r="M184" s="1175">
        <f>'Data &amp; hypothesis Adults'!N203</f>
        <v>0</v>
      </c>
      <c r="N184" s="1175">
        <f>'Data &amp; hypothesis Adults'!O203</f>
        <v>0</v>
      </c>
      <c r="O184" s="1175">
        <f>'Data &amp; hypothesis Adults'!P203</f>
        <v>0</v>
      </c>
      <c r="P184" s="1175">
        <f>'Data &amp; hypothesis Adults'!Q203</f>
        <v>0</v>
      </c>
      <c r="Q184" s="1175">
        <f>'Data &amp; hypothesis Adults'!R203</f>
        <v>0</v>
      </c>
      <c r="R184" s="1175">
        <f>'Data &amp; hypothesis Adults'!S203</f>
        <v>0</v>
      </c>
      <c r="S184" s="1175">
        <f>'Data &amp; hypothesis Adults'!T203</f>
        <v>0</v>
      </c>
      <c r="T184" s="1175">
        <f>'Data &amp; hypothesis Adults'!U203</f>
        <v>0</v>
      </c>
      <c r="U184" s="1175" t="str">
        <f>'Data &amp; hypothesis Adults'!V203</f>
        <v>X</v>
      </c>
      <c r="V184" s="1175">
        <f>'Data &amp; hypothesis Adults'!W203</f>
        <v>0</v>
      </c>
      <c r="W184" s="1175">
        <f>'Data &amp; hypothesis Adults'!X203</f>
        <v>0</v>
      </c>
      <c r="X184" s="1175">
        <f>'Data &amp; hypothesis Adults'!Y203</f>
        <v>0</v>
      </c>
      <c r="Y184" s="1175">
        <f>'Data &amp; hypothesis Adults'!Z203</f>
        <v>0</v>
      </c>
      <c r="Z184" s="1175">
        <f>'Data &amp; hypothesis Adults'!AA203</f>
        <v>0</v>
      </c>
      <c r="AA184" s="1175">
        <f>'Data &amp; hypothesis Adults'!AB203</f>
        <v>0</v>
      </c>
      <c r="AB184" s="1175">
        <f>'Data &amp; hypothesis Adults'!AC203</f>
        <v>0</v>
      </c>
      <c r="AC184" s="1491">
        <f t="shared" si="57"/>
        <v>639.89199999999994</v>
      </c>
      <c r="AD184" s="1491">
        <f>E42</f>
        <v>4.12</v>
      </c>
      <c r="AE184" s="1495"/>
      <c r="AF184" s="1496">
        <f>-F113/$D$6</f>
        <v>1.2788510648544382</v>
      </c>
    </row>
    <row r="185" spans="2:32" s="1477" customFormat="1" ht="15" x14ac:dyDescent="0.25">
      <c r="B185" s="1493"/>
      <c r="C185" s="1482" t="str">
        <f t="shared" si="58"/>
        <v>ABC+3TC+EFV</v>
      </c>
      <c r="D185" s="1175">
        <f>'Data &amp; hypothesis Adults'!E204</f>
        <v>0</v>
      </c>
      <c r="E185" s="1175">
        <f>'Data &amp; hypothesis Adults'!F204</f>
        <v>0</v>
      </c>
      <c r="F185" s="1175">
        <f>'Data &amp; hypothesis Adults'!G204</f>
        <v>0</v>
      </c>
      <c r="G185" s="1175">
        <f>'Data &amp; hypothesis Adults'!H204</f>
        <v>0</v>
      </c>
      <c r="H185" s="1175" t="str">
        <f>'Data &amp; hypothesis Adults'!I204</f>
        <v>X</v>
      </c>
      <c r="I185" s="1175">
        <f>'Data &amp; hypothesis Adults'!J204</f>
        <v>0</v>
      </c>
      <c r="J185" s="1175">
        <f>'Data &amp; hypothesis Adults'!K204</f>
        <v>0</v>
      </c>
      <c r="K185" s="1175">
        <f>'Data &amp; hypothesis Adults'!L204</f>
        <v>0</v>
      </c>
      <c r="L185" s="1175">
        <f>'Data &amp; hypothesis Adults'!M204</f>
        <v>0</v>
      </c>
      <c r="M185" s="1175" t="str">
        <f>'Data &amp; hypothesis Adults'!N204</f>
        <v>X</v>
      </c>
      <c r="N185" s="1175">
        <f>'Data &amp; hypothesis Adults'!O204</f>
        <v>0</v>
      </c>
      <c r="O185" s="1175">
        <f>'Data &amp; hypothesis Adults'!P204</f>
        <v>0</v>
      </c>
      <c r="P185" s="1175">
        <f>'Data &amp; hypothesis Adults'!Q204</f>
        <v>0</v>
      </c>
      <c r="Q185" s="1175">
        <f>'Data &amp; hypothesis Adults'!R204</f>
        <v>0</v>
      </c>
      <c r="R185" s="1175">
        <f>'Data &amp; hypothesis Adults'!S204</f>
        <v>0</v>
      </c>
      <c r="S185" s="1175">
        <f>'Data &amp; hypothesis Adults'!T204</f>
        <v>0</v>
      </c>
      <c r="T185" s="1175">
        <f>'Data &amp; hypothesis Adults'!U204</f>
        <v>0</v>
      </c>
      <c r="U185" s="1175">
        <f>'Data &amp; hypothesis Adults'!V204</f>
        <v>0</v>
      </c>
      <c r="V185" s="1175">
        <f>'Data &amp; hypothesis Adults'!W204</f>
        <v>0</v>
      </c>
      <c r="W185" s="1175">
        <f>'Data &amp; hypothesis Adults'!X204</f>
        <v>0</v>
      </c>
      <c r="X185" s="1175">
        <f>'Data &amp; hypothesis Adults'!Y204</f>
        <v>0</v>
      </c>
      <c r="Y185" s="1175">
        <f>'Data &amp; hypothesis Adults'!Z204</f>
        <v>0</v>
      </c>
      <c r="Z185" s="1175">
        <f>'Data &amp; hypothesis Adults'!AA204</f>
        <v>0</v>
      </c>
      <c r="AA185" s="1175">
        <f>'Data &amp; hypothesis Adults'!AB204</f>
        <v>0</v>
      </c>
      <c r="AB185" s="1175">
        <f>'Data &amp; hypothesis Adults'!AC204</f>
        <v>0</v>
      </c>
      <c r="AC185" s="1491">
        <f t="shared" si="57"/>
        <v>43.628999999999998</v>
      </c>
      <c r="AD185" s="1491">
        <f>E43</f>
        <v>0</v>
      </c>
      <c r="AE185" s="1495"/>
      <c r="AF185" s="1496">
        <f>-F114/$D$6</f>
        <v>8.0940668804776641E-2</v>
      </c>
    </row>
    <row r="186" spans="2:32" s="1477" customFormat="1" ht="15" x14ac:dyDescent="0.25">
      <c r="B186" s="1493"/>
      <c r="C186" s="1482" t="str">
        <f t="shared" si="58"/>
        <v>TDF+FTC/3TC+EFV</v>
      </c>
      <c r="D186" s="1175">
        <f>'Data &amp; hypothesis Adults'!E205</f>
        <v>0</v>
      </c>
      <c r="E186" s="1175">
        <f>'Data &amp; hypothesis Adults'!F205</f>
        <v>0</v>
      </c>
      <c r="F186" s="1175">
        <f>'Data &amp; hypothesis Adults'!G205</f>
        <v>0</v>
      </c>
      <c r="G186" s="1175">
        <f>'Data &amp; hypothesis Adults'!H205</f>
        <v>0</v>
      </c>
      <c r="H186" s="1175">
        <f>'Data &amp; hypothesis Adults'!I205</f>
        <v>0</v>
      </c>
      <c r="I186" s="1175">
        <f>'Data &amp; hypothesis Adults'!J205</f>
        <v>0</v>
      </c>
      <c r="J186" s="1175">
        <f>'Data &amp; hypothesis Adults'!K205</f>
        <v>0</v>
      </c>
      <c r="K186" s="1175" t="str">
        <f>'Data &amp; hypothesis Adults'!L205</f>
        <v>X</v>
      </c>
      <c r="L186" s="1175">
        <f>'Data &amp; hypothesis Adults'!M205</f>
        <v>0</v>
      </c>
      <c r="M186" s="1175">
        <f>'Data &amp; hypothesis Adults'!N205</f>
        <v>0</v>
      </c>
      <c r="N186" s="1175">
        <f>'Data &amp; hypothesis Adults'!O205</f>
        <v>0</v>
      </c>
      <c r="O186" s="1175">
        <f>'Data &amp; hypothesis Adults'!P205</f>
        <v>0</v>
      </c>
      <c r="P186" s="1175">
        <f>'Data &amp; hypothesis Adults'!Q205</f>
        <v>0</v>
      </c>
      <c r="Q186" s="1175">
        <f>'Data &amp; hypothesis Adults'!R205</f>
        <v>0</v>
      </c>
      <c r="R186" s="1175">
        <f>'Data &amp; hypothesis Adults'!S205</f>
        <v>0</v>
      </c>
      <c r="S186" s="1175">
        <f>'Data &amp; hypothesis Adults'!T205</f>
        <v>0</v>
      </c>
      <c r="T186" s="1175">
        <f>'Data &amp; hypothesis Adults'!U205</f>
        <v>0</v>
      </c>
      <c r="U186" s="1175">
        <f>'Data &amp; hypothesis Adults'!V205</f>
        <v>0</v>
      </c>
      <c r="V186" s="1175">
        <f>'Data &amp; hypothesis Adults'!W205</f>
        <v>0</v>
      </c>
      <c r="W186" s="1175">
        <f>'Data &amp; hypothesis Adults'!X205</f>
        <v>0</v>
      </c>
      <c r="X186" s="1175">
        <f>'Data &amp; hypothesis Adults'!Y205</f>
        <v>0</v>
      </c>
      <c r="Y186" s="1175">
        <f>'Data &amp; hypothesis Adults'!Z205</f>
        <v>0</v>
      </c>
      <c r="Z186" s="1175">
        <f>'Data &amp; hypothesis Adults'!AA205</f>
        <v>0</v>
      </c>
      <c r="AA186" s="1175">
        <f>'Data &amp; hypothesis Adults'!AB205</f>
        <v>0</v>
      </c>
      <c r="AB186" s="1175">
        <f>'Data &amp; hypothesis Adults'!AC205</f>
        <v>0</v>
      </c>
      <c r="AC186" s="1491">
        <f t="shared" si="57"/>
        <v>1454.3000000000002</v>
      </c>
      <c r="AD186" s="1491">
        <f t="shared" ref="AD186:AD187" si="59">E44</f>
        <v>379.04</v>
      </c>
      <c r="AE186" s="1495"/>
      <c r="AF186" s="1496">
        <f t="shared" ref="AF186:AF190" si="60">-F115/$D$6</f>
        <v>11.136377819522272</v>
      </c>
    </row>
    <row r="187" spans="2:32" s="1477" customFormat="1" ht="15" x14ac:dyDescent="0.25">
      <c r="B187" s="1493"/>
      <c r="C187" s="1482" t="str">
        <f t="shared" si="58"/>
        <v>TDF+FTC/3TC+LPV/r</v>
      </c>
      <c r="D187" s="1175">
        <f>'Data &amp; hypothesis Adults'!E206</f>
        <v>0</v>
      </c>
      <c r="E187" s="1175">
        <f>'Data &amp; hypothesis Adults'!F206</f>
        <v>0</v>
      </c>
      <c r="F187" s="1175">
        <f>'Data &amp; hypothesis Adults'!G206</f>
        <v>0</v>
      </c>
      <c r="G187" s="1175">
        <f>'Data &amp; hypothesis Adults'!H206</f>
        <v>0</v>
      </c>
      <c r="H187" s="1175">
        <f>'Data &amp; hypothesis Adults'!I206</f>
        <v>0</v>
      </c>
      <c r="I187" s="1175">
        <f>'Data &amp; hypothesis Adults'!J206</f>
        <v>0</v>
      </c>
      <c r="J187" s="1175">
        <f>'Data &amp; hypothesis Adults'!K206</f>
        <v>0</v>
      </c>
      <c r="K187" s="1175">
        <f>'Data &amp; hypothesis Adults'!L206</f>
        <v>0</v>
      </c>
      <c r="L187" s="1175" t="str">
        <f>'Data &amp; hypothesis Adults'!M206</f>
        <v>X</v>
      </c>
      <c r="M187" s="1175">
        <f>'Data &amp; hypothesis Adults'!N206</f>
        <v>0</v>
      </c>
      <c r="N187" s="1175">
        <f>'Data &amp; hypothesis Adults'!O206</f>
        <v>0</v>
      </c>
      <c r="O187" s="1175">
        <f>'Data &amp; hypothesis Adults'!P206</f>
        <v>0</v>
      </c>
      <c r="P187" s="1175">
        <f>'Data &amp; hypothesis Adults'!Q206</f>
        <v>0</v>
      </c>
      <c r="Q187" s="1175">
        <f>'Data &amp; hypothesis Adults'!R206</f>
        <v>0</v>
      </c>
      <c r="R187" s="1175">
        <f>'Data &amp; hypothesis Adults'!S206</f>
        <v>0</v>
      </c>
      <c r="S187" s="1175">
        <f>'Data &amp; hypothesis Adults'!T206</f>
        <v>0</v>
      </c>
      <c r="T187" s="1175">
        <f>'Data &amp; hypothesis Adults'!U206</f>
        <v>0</v>
      </c>
      <c r="U187" s="1175" t="str">
        <f>'Data &amp; hypothesis Adults'!V206</f>
        <v>X</v>
      </c>
      <c r="V187" s="1175">
        <f>'Data &amp; hypothesis Adults'!W206</f>
        <v>0</v>
      </c>
      <c r="W187" s="1175">
        <f>'Data &amp; hypothesis Adults'!X206</f>
        <v>0</v>
      </c>
      <c r="X187" s="1175">
        <f>'Data &amp; hypothesis Adults'!Y206</f>
        <v>0</v>
      </c>
      <c r="Y187" s="1175">
        <f>'Data &amp; hypothesis Adults'!Z206</f>
        <v>0</v>
      </c>
      <c r="Z187" s="1175">
        <f>'Data &amp; hypothesis Adults'!AA206</f>
        <v>0</v>
      </c>
      <c r="AA187" s="1175">
        <f>'Data &amp; hypothesis Adults'!AB206</f>
        <v>0</v>
      </c>
      <c r="AB187" s="1175">
        <f>'Data &amp; hypothesis Adults'!AC206</f>
        <v>0</v>
      </c>
      <c r="AC187" s="1491">
        <f t="shared" si="57"/>
        <v>0</v>
      </c>
      <c r="AD187" s="1491">
        <f t="shared" si="59"/>
        <v>0</v>
      </c>
      <c r="AE187" s="1495"/>
      <c r="AF187" s="1496">
        <f t="shared" si="60"/>
        <v>0</v>
      </c>
    </row>
    <row r="188" spans="2:32" s="1477" customFormat="1" ht="15" x14ac:dyDescent="0.25">
      <c r="B188" s="1493"/>
      <c r="C188" s="1482" t="str">
        <f t="shared" si="58"/>
        <v>ABC+3TC+LPV/r</v>
      </c>
      <c r="D188" s="1175">
        <f>'Data &amp; hypothesis Adults'!E207</f>
        <v>0</v>
      </c>
      <c r="E188" s="1175">
        <f>'Data &amp; hypothesis Adults'!F207</f>
        <v>0</v>
      </c>
      <c r="F188" s="1175">
        <f>'Data &amp; hypothesis Adults'!G207</f>
        <v>0</v>
      </c>
      <c r="G188" s="1175">
        <f>'Data &amp; hypothesis Adults'!H207</f>
        <v>0</v>
      </c>
      <c r="H188" s="1175" t="str">
        <f>'Data &amp; hypothesis Adults'!I207</f>
        <v>X</v>
      </c>
      <c r="I188" s="1175">
        <f>'Data &amp; hypothesis Adults'!J207</f>
        <v>0</v>
      </c>
      <c r="J188" s="1175">
        <f>'Data &amp; hypothesis Adults'!K207</f>
        <v>0</v>
      </c>
      <c r="K188" s="1175">
        <f>'Data &amp; hypothesis Adults'!L207</f>
        <v>0</v>
      </c>
      <c r="L188" s="1175">
        <f>'Data &amp; hypothesis Adults'!M207</f>
        <v>0</v>
      </c>
      <c r="M188" s="1175">
        <f>'Data &amp; hypothesis Adults'!N207</f>
        <v>0</v>
      </c>
      <c r="N188" s="1175">
        <f>'Data &amp; hypothesis Adults'!O207</f>
        <v>0</v>
      </c>
      <c r="O188" s="1175">
        <f>'Data &amp; hypothesis Adults'!P207</f>
        <v>0</v>
      </c>
      <c r="P188" s="1175">
        <f>'Data &amp; hypothesis Adults'!Q207</f>
        <v>0</v>
      </c>
      <c r="Q188" s="1175">
        <f>'Data &amp; hypothesis Adults'!R207</f>
        <v>0</v>
      </c>
      <c r="R188" s="1175">
        <f>'Data &amp; hypothesis Adults'!S207</f>
        <v>0</v>
      </c>
      <c r="S188" s="1175">
        <f>'Data &amp; hypothesis Adults'!T207</f>
        <v>0</v>
      </c>
      <c r="T188" s="1175">
        <f>'Data &amp; hypothesis Adults'!U207</f>
        <v>0</v>
      </c>
      <c r="U188" s="1175" t="str">
        <f>'Data &amp; hypothesis Adults'!V207</f>
        <v>X</v>
      </c>
      <c r="V188" s="1175">
        <f>'Data &amp; hypothesis Adults'!W207</f>
        <v>0</v>
      </c>
      <c r="W188" s="1175">
        <f>'Data &amp; hypothesis Adults'!X207</f>
        <v>0</v>
      </c>
      <c r="X188" s="1175">
        <f>'Data &amp; hypothesis Adults'!Y207</f>
        <v>0</v>
      </c>
      <c r="Y188" s="1175">
        <f>'Data &amp; hypothesis Adults'!Z207</f>
        <v>0</v>
      </c>
      <c r="Z188" s="1175">
        <f>'Data &amp; hypothesis Adults'!AA207</f>
        <v>0</v>
      </c>
      <c r="AA188" s="1175">
        <f>'Data &amp; hypothesis Adults'!AB207</f>
        <v>0</v>
      </c>
      <c r="AB188" s="1175">
        <f>'Data &amp; hypothesis Adults'!AC207</f>
        <v>0</v>
      </c>
      <c r="AC188" s="1491">
        <f t="shared" si="57"/>
        <v>0</v>
      </c>
      <c r="AD188" s="1495"/>
      <c r="AE188" s="1495"/>
      <c r="AF188" s="1496">
        <f t="shared" si="60"/>
        <v>4.5860627858857146E-2</v>
      </c>
    </row>
    <row r="189" spans="2:32" s="1477" customFormat="1" ht="15" x14ac:dyDescent="0.25">
      <c r="B189" s="1493"/>
      <c r="C189" s="1482" t="str">
        <f t="shared" si="58"/>
        <v>TDF+3TC/FTC+ABC</v>
      </c>
      <c r="D189" s="1175">
        <f>'Data &amp; hypothesis Adults'!E208</f>
        <v>0</v>
      </c>
      <c r="E189" s="1175">
        <f>'Data &amp; hypothesis Adults'!F208</f>
        <v>0</v>
      </c>
      <c r="F189" s="1175">
        <f>'Data &amp; hypothesis Adults'!G208</f>
        <v>0</v>
      </c>
      <c r="G189" s="1175">
        <f>'Data &amp; hypothesis Adults'!H208</f>
        <v>0</v>
      </c>
      <c r="H189" s="1175">
        <f>'Data &amp; hypothesis Adults'!I208</f>
        <v>0</v>
      </c>
      <c r="I189" s="1175">
        <f>'Data &amp; hypothesis Adults'!J208</f>
        <v>0</v>
      </c>
      <c r="J189" s="1175">
        <f>'Data &amp; hypothesis Adults'!K208</f>
        <v>0</v>
      </c>
      <c r="K189" s="1175">
        <f>'Data &amp; hypothesis Adults'!L208</f>
        <v>0</v>
      </c>
      <c r="L189" s="1175">
        <f>'Data &amp; hypothesis Adults'!M208</f>
        <v>0</v>
      </c>
      <c r="M189" s="1175">
        <f>'Data &amp; hypothesis Adults'!N208</f>
        <v>0</v>
      </c>
      <c r="N189" s="1175">
        <f>'Data &amp; hypothesis Adults'!O208</f>
        <v>0</v>
      </c>
      <c r="O189" s="1175">
        <f>'Data &amp; hypothesis Adults'!P208</f>
        <v>0</v>
      </c>
      <c r="P189" s="1175">
        <f>'Data &amp; hypothesis Adults'!Q208</f>
        <v>0</v>
      </c>
      <c r="Q189" s="1175">
        <f>'Data &amp; hypothesis Adults'!R208</f>
        <v>0</v>
      </c>
      <c r="R189" s="1175">
        <f>'Data &amp; hypothesis Adults'!S208</f>
        <v>0</v>
      </c>
      <c r="S189" s="1175">
        <f>'Data &amp; hypothesis Adults'!T208</f>
        <v>0</v>
      </c>
      <c r="T189" s="1175">
        <f>'Data &amp; hypothesis Adults'!U208</f>
        <v>0</v>
      </c>
      <c r="U189" s="1175">
        <f>'Data &amp; hypothesis Adults'!V208</f>
        <v>0</v>
      </c>
      <c r="V189" s="1175">
        <f>'Data &amp; hypothesis Adults'!W208</f>
        <v>0</v>
      </c>
      <c r="W189" s="1175">
        <f>'Data &amp; hypothesis Adults'!X208</f>
        <v>0</v>
      </c>
      <c r="X189" s="1175">
        <f>'Data &amp; hypothesis Adults'!Y208</f>
        <v>0</v>
      </c>
      <c r="Y189" s="1175">
        <f>'Data &amp; hypothesis Adults'!Z208</f>
        <v>0</v>
      </c>
      <c r="Z189" s="1175">
        <f>'Data &amp; hypothesis Adults'!AA208</f>
        <v>0</v>
      </c>
      <c r="AA189" s="1175">
        <f>'Data &amp; hypothesis Adults'!AB208</f>
        <v>0</v>
      </c>
      <c r="AB189" s="1175">
        <f>'Data &amp; hypothesis Adults'!AC208</f>
        <v>0</v>
      </c>
      <c r="AC189" s="1491">
        <f t="shared" si="57"/>
        <v>29.086000000000002</v>
      </c>
      <c r="AD189" s="1491">
        <f>E46</f>
        <v>2.06</v>
      </c>
      <c r="AE189" s="1495"/>
      <c r="AF189" s="1496">
        <f t="shared" si="60"/>
        <v>9.9821073728708243E-2</v>
      </c>
    </row>
    <row r="190" spans="2:32" s="1477" customFormat="1" ht="15" x14ac:dyDescent="0.25">
      <c r="B190" s="1493"/>
      <c r="C190" s="1482">
        <f t="shared" si="58"/>
        <v>0</v>
      </c>
      <c r="D190" s="1175">
        <f>'Data &amp; hypothesis Adults'!E209</f>
        <v>0</v>
      </c>
      <c r="E190" s="1175">
        <f>'Data &amp; hypothesis Adults'!F209</f>
        <v>0</v>
      </c>
      <c r="F190" s="1175">
        <f>'Data &amp; hypothesis Adults'!G209</f>
        <v>0</v>
      </c>
      <c r="G190" s="1175">
        <f>'Data &amp; hypothesis Adults'!H209</f>
        <v>0</v>
      </c>
      <c r="H190" s="1175">
        <f>'Data &amp; hypothesis Adults'!I209</f>
        <v>0</v>
      </c>
      <c r="I190" s="1175">
        <f>'Data &amp; hypothesis Adults'!J209</f>
        <v>0</v>
      </c>
      <c r="J190" s="1175">
        <f>'Data &amp; hypothesis Adults'!K209</f>
        <v>0</v>
      </c>
      <c r="K190" s="1175">
        <f>'Data &amp; hypothesis Adults'!L209</f>
        <v>0</v>
      </c>
      <c r="L190" s="1175">
        <f>'Data &amp; hypothesis Adults'!M209</f>
        <v>0</v>
      </c>
      <c r="M190" s="1175">
        <f>'Data &amp; hypothesis Adults'!N209</f>
        <v>0</v>
      </c>
      <c r="N190" s="1175">
        <f>'Data &amp; hypothesis Adults'!O209</f>
        <v>0</v>
      </c>
      <c r="O190" s="1175">
        <f>'Data &amp; hypothesis Adults'!P209</f>
        <v>0</v>
      </c>
      <c r="P190" s="1175">
        <f>'Data &amp; hypothesis Adults'!Q209</f>
        <v>0</v>
      </c>
      <c r="Q190" s="1175">
        <f>'Data &amp; hypothesis Adults'!R209</f>
        <v>0</v>
      </c>
      <c r="R190" s="1175">
        <f>'Data &amp; hypothesis Adults'!S209</f>
        <v>0</v>
      </c>
      <c r="S190" s="1175">
        <f>'Data &amp; hypothesis Adults'!T209</f>
        <v>0</v>
      </c>
      <c r="T190" s="1175">
        <f>'Data &amp; hypothesis Adults'!U209</f>
        <v>0</v>
      </c>
      <c r="U190" s="1175">
        <f>'Data &amp; hypothesis Adults'!V209</f>
        <v>0</v>
      </c>
      <c r="V190" s="1175">
        <f>'Data &amp; hypothesis Adults'!W209</f>
        <v>0</v>
      </c>
      <c r="W190" s="1175">
        <f>'Data &amp; hypothesis Adults'!X209</f>
        <v>0</v>
      </c>
      <c r="X190" s="1175">
        <f>'Data &amp; hypothesis Adults'!Y209</f>
        <v>0</v>
      </c>
      <c r="Y190" s="1175">
        <f>'Data &amp; hypothesis Adults'!Z209</f>
        <v>0</v>
      </c>
      <c r="Z190" s="1175">
        <f>'Data &amp; hypothesis Adults'!AA209</f>
        <v>0</v>
      </c>
      <c r="AA190" s="1175">
        <f>'Data &amp; hypothesis Adults'!AB209</f>
        <v>0</v>
      </c>
      <c r="AB190" s="1175">
        <f>'Data &amp; hypothesis Adults'!AC209</f>
        <v>0</v>
      </c>
      <c r="AC190" s="1491">
        <f t="shared" si="57"/>
        <v>0</v>
      </c>
      <c r="AD190" s="1491">
        <f>E48</f>
        <v>0</v>
      </c>
      <c r="AE190" s="1495"/>
      <c r="AF190" s="1496">
        <f t="shared" si="60"/>
        <v>0</v>
      </c>
    </row>
    <row r="191" spans="2:32" s="1477" customFormat="1" ht="15" x14ac:dyDescent="0.25">
      <c r="B191" s="1493" t="str">
        <f>'TRAD-Adults YEAR(1)'!B11</f>
        <v>2èmes lignes</v>
      </c>
      <c r="C191" s="1482" t="str">
        <f t="shared" si="58"/>
        <v>TDF+FTC/3TC+LPV/r</v>
      </c>
      <c r="D191" s="1175">
        <f>'Data &amp; hypothesis Adults'!E210</f>
        <v>0</v>
      </c>
      <c r="E191" s="1175">
        <f>'Data &amp; hypothesis Adults'!F210</f>
        <v>0</v>
      </c>
      <c r="F191" s="1175">
        <f>'Data &amp; hypothesis Adults'!G210</f>
        <v>0</v>
      </c>
      <c r="G191" s="1175">
        <f>'Data &amp; hypothesis Adults'!H210</f>
        <v>0</v>
      </c>
      <c r="H191" s="1175">
        <f>'Data &amp; hypothesis Adults'!I210</f>
        <v>0</v>
      </c>
      <c r="I191" s="1175">
        <f>'Data &amp; hypothesis Adults'!J210</f>
        <v>0</v>
      </c>
      <c r="J191" s="1175">
        <f>'Data &amp; hypothesis Adults'!K210</f>
        <v>0</v>
      </c>
      <c r="K191" s="1175">
        <f>'Data &amp; hypothesis Adults'!L210</f>
        <v>0</v>
      </c>
      <c r="L191" s="1175" t="str">
        <f>'Data &amp; hypothesis Adults'!M210</f>
        <v>X</v>
      </c>
      <c r="M191" s="1175">
        <f>'Data &amp; hypothesis Adults'!N210</f>
        <v>0</v>
      </c>
      <c r="N191" s="1175">
        <f>'Data &amp; hypothesis Adults'!O210</f>
        <v>0</v>
      </c>
      <c r="O191" s="1175">
        <f>'Data &amp; hypothesis Adults'!P210</f>
        <v>0</v>
      </c>
      <c r="P191" s="1175">
        <f>'Data &amp; hypothesis Adults'!Q210</f>
        <v>0</v>
      </c>
      <c r="Q191" s="1175">
        <f>'Data &amp; hypothesis Adults'!R210</f>
        <v>0</v>
      </c>
      <c r="R191" s="1175">
        <f>'Data &amp; hypothesis Adults'!S210</f>
        <v>0</v>
      </c>
      <c r="S191" s="1175">
        <f>'Data &amp; hypothesis Adults'!T210</f>
        <v>0</v>
      </c>
      <c r="T191" s="1175">
        <f>'Data &amp; hypothesis Adults'!U210</f>
        <v>0</v>
      </c>
      <c r="U191" s="1175" t="str">
        <f>'Data &amp; hypothesis Adults'!V210</f>
        <v>X</v>
      </c>
      <c r="V191" s="1175">
        <f>'Data &amp; hypothesis Adults'!W210</f>
        <v>0</v>
      </c>
      <c r="W191" s="1175">
        <f>'Data &amp; hypothesis Adults'!X210</f>
        <v>0</v>
      </c>
      <c r="X191" s="1175">
        <f>'Data &amp; hypothesis Adults'!Y210</f>
        <v>0</v>
      </c>
      <c r="Y191" s="1175">
        <f>'Data &amp; hypothesis Adults'!Z210</f>
        <v>0</v>
      </c>
      <c r="Z191" s="1175">
        <f>'Data &amp; hypothesis Adults'!AA210</f>
        <v>0</v>
      </c>
      <c r="AA191" s="1175">
        <f>'Data &amp; hypothesis Adults'!AB210</f>
        <v>0</v>
      </c>
      <c r="AB191" s="1175">
        <f>'Data &amp; hypothesis Adults'!AC210</f>
        <v>0</v>
      </c>
      <c r="AC191" s="1491">
        <f t="shared" si="57"/>
        <v>415.9298</v>
      </c>
      <c r="AD191" s="1495"/>
      <c r="AE191" s="1497">
        <f>D73</f>
        <v>35.361822223573149</v>
      </c>
      <c r="AF191" s="1498"/>
    </row>
    <row r="192" spans="2:32" s="1477" customFormat="1" ht="15" x14ac:dyDescent="0.25">
      <c r="B192" s="1493"/>
      <c r="C192" s="1482" t="str">
        <f t="shared" si="58"/>
        <v>TDF+FTC/3TC+ATV/r</v>
      </c>
      <c r="D192" s="1175">
        <f>'Data &amp; hypothesis Adults'!E211</f>
        <v>0</v>
      </c>
      <c r="E192" s="1175">
        <f>'Data &amp; hypothesis Adults'!F211</f>
        <v>0</v>
      </c>
      <c r="F192" s="1175">
        <f>'Data &amp; hypothesis Adults'!G211</f>
        <v>0</v>
      </c>
      <c r="G192" s="1175">
        <f>'Data &amp; hypothesis Adults'!H211</f>
        <v>0</v>
      </c>
      <c r="H192" s="1175">
        <f>'Data &amp; hypothesis Adults'!I211</f>
        <v>0</v>
      </c>
      <c r="I192" s="1175">
        <f>'Data &amp; hypothesis Adults'!J211</f>
        <v>0</v>
      </c>
      <c r="J192" s="1175">
        <f>'Data &amp; hypothesis Adults'!K211</f>
        <v>0</v>
      </c>
      <c r="K192" s="1175">
        <f>'Data &amp; hypothesis Adults'!L211</f>
        <v>0</v>
      </c>
      <c r="L192" s="1175" t="str">
        <f>'Data &amp; hypothesis Adults'!M211</f>
        <v>X</v>
      </c>
      <c r="M192" s="1175">
        <f>'Data &amp; hypothesis Adults'!N211</f>
        <v>0</v>
      </c>
      <c r="N192" s="1175">
        <f>'Data &amp; hypothesis Adults'!O211</f>
        <v>0</v>
      </c>
      <c r="O192" s="1175">
        <f>'Data &amp; hypothesis Adults'!P211</f>
        <v>0</v>
      </c>
      <c r="P192" s="1175">
        <f>'Data &amp; hypothesis Adults'!Q211</f>
        <v>0</v>
      </c>
      <c r="Q192" s="1175">
        <f>'Data &amp; hypothesis Adults'!R211</f>
        <v>0</v>
      </c>
      <c r="R192" s="1175">
        <f>'Data &amp; hypothesis Adults'!S211</f>
        <v>0</v>
      </c>
      <c r="S192" s="1175">
        <f>'Data &amp; hypothesis Adults'!T211</f>
        <v>0</v>
      </c>
      <c r="T192" s="1175">
        <f>'Data &amp; hypothesis Adults'!U211</f>
        <v>0</v>
      </c>
      <c r="U192" s="1175">
        <f>'Data &amp; hypothesis Adults'!V211</f>
        <v>0</v>
      </c>
      <c r="V192" s="1175">
        <f>'Data &amp; hypothesis Adults'!W211</f>
        <v>0</v>
      </c>
      <c r="W192" s="1175">
        <f>'Data &amp; hypothesis Adults'!X211</f>
        <v>0</v>
      </c>
      <c r="X192" s="1175">
        <f>'Data &amp; hypothesis Adults'!Y211</f>
        <v>0</v>
      </c>
      <c r="Y192" s="1175" t="str">
        <f>'Data &amp; hypothesis Adults'!Z211</f>
        <v>X</v>
      </c>
      <c r="Z192" s="1175">
        <f>'Data &amp; hypothesis Adults'!AA211</f>
        <v>0</v>
      </c>
      <c r="AA192" s="1175">
        <f>'Data &amp; hypothesis Adults'!AB211</f>
        <v>0</v>
      </c>
      <c r="AB192" s="1175">
        <f>'Data &amp; hypothesis Adults'!AC211</f>
        <v>0</v>
      </c>
      <c r="AC192" s="1491">
        <f t="shared" si="57"/>
        <v>34.903199999999998</v>
      </c>
      <c r="AD192" s="1495"/>
      <c r="AE192" s="1497">
        <f>D74</f>
        <v>0</v>
      </c>
      <c r="AF192" s="1498"/>
    </row>
    <row r="193" spans="1:32" s="1477" customFormat="1" ht="15" x14ac:dyDescent="0.25">
      <c r="B193" s="1493"/>
      <c r="C193" s="1482" t="str">
        <f t="shared" si="58"/>
        <v>ABC+DDI+LPV/r</v>
      </c>
      <c r="D193" s="1175">
        <f>'Data &amp; hypothesis Adults'!E212</f>
        <v>0</v>
      </c>
      <c r="E193" s="1175">
        <f>'Data &amp; hypothesis Adults'!F212</f>
        <v>0</v>
      </c>
      <c r="F193" s="1175">
        <f>'Data &amp; hypothesis Adults'!G212</f>
        <v>0</v>
      </c>
      <c r="G193" s="1175">
        <f>'Data &amp; hypothesis Adults'!H212</f>
        <v>0</v>
      </c>
      <c r="H193" s="1175">
        <f>'Data &amp; hypothesis Adults'!I212</f>
        <v>0</v>
      </c>
      <c r="I193" s="1175">
        <f>'Data &amp; hypothesis Adults'!J212</f>
        <v>0</v>
      </c>
      <c r="J193" s="1175">
        <f>'Data &amp; hypothesis Adults'!K212</f>
        <v>0</v>
      </c>
      <c r="K193" s="1175">
        <f>'Data &amp; hypothesis Adults'!L212</f>
        <v>0</v>
      </c>
      <c r="L193" s="1175">
        <f>'Data &amp; hypothesis Adults'!M212</f>
        <v>0</v>
      </c>
      <c r="M193" s="1175">
        <f>'Data &amp; hypothesis Adults'!N212</f>
        <v>0</v>
      </c>
      <c r="N193" s="1175">
        <f>'Data &amp; hypothesis Adults'!O212</f>
        <v>0</v>
      </c>
      <c r="O193" s="1175">
        <f>'Data &amp; hypothesis Adults'!P212</f>
        <v>0</v>
      </c>
      <c r="P193" s="1175">
        <f>'Data &amp; hypothesis Adults'!Q212</f>
        <v>0</v>
      </c>
      <c r="Q193" s="1175">
        <f>'Data &amp; hypothesis Adults'!R212</f>
        <v>0</v>
      </c>
      <c r="R193" s="1175">
        <f>'Data &amp; hypothesis Adults'!S212</f>
        <v>0</v>
      </c>
      <c r="S193" s="1175">
        <f>'Data &amp; hypothesis Adults'!T212</f>
        <v>0</v>
      </c>
      <c r="T193" s="1175">
        <f>'Data &amp; hypothesis Adults'!U212</f>
        <v>0</v>
      </c>
      <c r="U193" s="1175">
        <f>'Data &amp; hypothesis Adults'!V212</f>
        <v>0</v>
      </c>
      <c r="V193" s="1175">
        <f>'Data &amp; hypothesis Adults'!W212</f>
        <v>0</v>
      </c>
      <c r="W193" s="1175">
        <f>'Data &amp; hypothesis Adults'!X212</f>
        <v>0</v>
      </c>
      <c r="X193" s="1175">
        <f>'Data &amp; hypothesis Adults'!Y212</f>
        <v>0</v>
      </c>
      <c r="Y193" s="1175">
        <f>'Data &amp; hypothesis Adults'!Z212</f>
        <v>0</v>
      </c>
      <c r="Z193" s="1175">
        <f>'Data &amp; hypothesis Adults'!AA212</f>
        <v>0</v>
      </c>
      <c r="AA193" s="1175">
        <f>'Data &amp; hypothesis Adults'!AB212</f>
        <v>0</v>
      </c>
      <c r="AB193" s="1175">
        <f>'Data &amp; hypothesis Adults'!AC212</f>
        <v>0</v>
      </c>
      <c r="AC193" s="1491">
        <f t="shared" si="57"/>
        <v>0</v>
      </c>
      <c r="AD193" s="1495"/>
      <c r="AE193" s="1497">
        <f>D75</f>
        <v>0</v>
      </c>
      <c r="AF193" s="1498"/>
    </row>
    <row r="194" spans="1:32" s="1477" customFormat="1" ht="15" x14ac:dyDescent="0.25">
      <c r="B194" s="1493"/>
      <c r="C194" s="1482" t="str">
        <f t="shared" si="58"/>
        <v>TDF+3TC/FTC+ABC</v>
      </c>
      <c r="D194" s="1175">
        <f>'Data &amp; hypothesis Adults'!E213</f>
        <v>0</v>
      </c>
      <c r="E194" s="1175">
        <f>'Data &amp; hypothesis Adults'!F213</f>
        <v>0</v>
      </c>
      <c r="F194" s="1175">
        <f>'Data &amp; hypothesis Adults'!G213</f>
        <v>0</v>
      </c>
      <c r="G194" s="1175">
        <f>'Data &amp; hypothesis Adults'!H213</f>
        <v>0</v>
      </c>
      <c r="H194" s="1175">
        <f>'Data &amp; hypothesis Adults'!I213</f>
        <v>0</v>
      </c>
      <c r="I194" s="1175">
        <f>'Data &amp; hypothesis Adults'!J213</f>
        <v>0</v>
      </c>
      <c r="J194" s="1175">
        <f>'Data &amp; hypothesis Adults'!K213</f>
        <v>0</v>
      </c>
      <c r="K194" s="1175">
        <f>'Data &amp; hypothesis Adults'!L213</f>
        <v>0</v>
      </c>
      <c r="L194" s="1175" t="str">
        <f>'Data &amp; hypothesis Adults'!M213</f>
        <v>X</v>
      </c>
      <c r="M194" s="1175">
        <f>'Data &amp; hypothesis Adults'!N213</f>
        <v>0</v>
      </c>
      <c r="N194" s="1175">
        <f>'Data &amp; hypothesis Adults'!O213</f>
        <v>0</v>
      </c>
      <c r="O194" s="1175">
        <f>'Data &amp; hypothesis Adults'!P213</f>
        <v>0</v>
      </c>
      <c r="P194" s="1175">
        <f>'Data &amp; hypothesis Adults'!Q213</f>
        <v>0</v>
      </c>
      <c r="Q194" s="1175" t="str">
        <f>'Data &amp; hypothesis Adults'!R213</f>
        <v>X</v>
      </c>
      <c r="R194" s="1175">
        <f>'Data &amp; hypothesis Adults'!S213</f>
        <v>0</v>
      </c>
      <c r="S194" s="1175">
        <f>'Data &amp; hypothesis Adults'!T213</f>
        <v>0</v>
      </c>
      <c r="T194" s="1175">
        <f>'Data &amp; hypothesis Adults'!U213</f>
        <v>0</v>
      </c>
      <c r="U194" s="1175">
        <f>'Data &amp; hypothesis Adults'!V213</f>
        <v>0</v>
      </c>
      <c r="V194" s="1175">
        <f>'Data &amp; hypothesis Adults'!W213</f>
        <v>0</v>
      </c>
      <c r="W194" s="1175">
        <f>'Data &amp; hypothesis Adults'!X213</f>
        <v>0</v>
      </c>
      <c r="X194" s="1175">
        <f>'Data &amp; hypothesis Adults'!Y213</f>
        <v>0</v>
      </c>
      <c r="Y194" s="1175">
        <f>'Data &amp; hypothesis Adults'!Z213</f>
        <v>0</v>
      </c>
      <c r="Z194" s="1175">
        <f>'Data &amp; hypothesis Adults'!AA213</f>
        <v>0</v>
      </c>
      <c r="AA194" s="1175">
        <f>'Data &amp; hypothesis Adults'!AB213</f>
        <v>0</v>
      </c>
      <c r="AB194" s="1175">
        <f>'Data &amp; hypothesis Adults'!AC213</f>
        <v>0</v>
      </c>
      <c r="AC194" s="1491">
        <f t="shared" si="57"/>
        <v>0</v>
      </c>
      <c r="AD194" s="1495"/>
      <c r="AE194" s="1497">
        <f>D76</f>
        <v>0</v>
      </c>
      <c r="AF194" s="1498"/>
    </row>
    <row r="195" spans="1:32" s="1477" customFormat="1" ht="15" x14ac:dyDescent="0.25">
      <c r="B195" s="1499"/>
      <c r="C195" s="1482" t="str">
        <f t="shared" si="58"/>
        <v>AZT+3TC+LPV/r</v>
      </c>
      <c r="D195" s="1175">
        <f>'Data &amp; hypothesis Adults'!E214</f>
        <v>0</v>
      </c>
      <c r="E195" s="1175">
        <f>'Data &amp; hypothesis Adults'!F214</f>
        <v>0</v>
      </c>
      <c r="F195" s="1175">
        <f>'Data &amp; hypothesis Adults'!G214</f>
        <v>0</v>
      </c>
      <c r="G195" s="1175">
        <f>'Data &amp; hypothesis Adults'!H214</f>
        <v>0</v>
      </c>
      <c r="H195" s="1175">
        <f>'Data &amp; hypothesis Adults'!I214</f>
        <v>0</v>
      </c>
      <c r="I195" s="1175">
        <f>'Data &amp; hypothesis Adults'!J214</f>
        <v>0</v>
      </c>
      <c r="J195" s="1175">
        <f>'Data &amp; hypothesis Adults'!K214</f>
        <v>0</v>
      </c>
      <c r="K195" s="1175">
        <f>'Data &amp; hypothesis Adults'!L214</f>
        <v>0</v>
      </c>
      <c r="L195" s="1175">
        <f>'Data &amp; hypothesis Adults'!M214</f>
        <v>0</v>
      </c>
      <c r="M195" s="1175">
        <f>'Data &amp; hypothesis Adults'!N214</f>
        <v>0</v>
      </c>
      <c r="N195" s="1175">
        <f>'Data &amp; hypothesis Adults'!O214</f>
        <v>0</v>
      </c>
      <c r="O195" s="1175">
        <f>'Data &amp; hypothesis Adults'!P214</f>
        <v>0</v>
      </c>
      <c r="P195" s="1175">
        <f>'Data &amp; hypothesis Adults'!Q214</f>
        <v>0</v>
      </c>
      <c r="Q195" s="1175">
        <f>'Data &amp; hypothesis Adults'!R214</f>
        <v>0</v>
      </c>
      <c r="R195" s="1175">
        <f>'Data &amp; hypothesis Adults'!S214</f>
        <v>0</v>
      </c>
      <c r="S195" s="1175">
        <f>'Data &amp; hypothesis Adults'!T214</f>
        <v>0</v>
      </c>
      <c r="T195" s="1175">
        <f>'Data &amp; hypothesis Adults'!U214</f>
        <v>0</v>
      </c>
      <c r="U195" s="1175">
        <f>'Data &amp; hypothesis Adults'!V214</f>
        <v>0</v>
      </c>
      <c r="V195" s="1175">
        <f>'Data &amp; hypothesis Adults'!W214</f>
        <v>0</v>
      </c>
      <c r="W195" s="1175">
        <f>'Data &amp; hypothesis Adults'!X214</f>
        <v>0</v>
      </c>
      <c r="X195" s="1175">
        <f>'Data &amp; hypothesis Adults'!Y214</f>
        <v>0</v>
      </c>
      <c r="Y195" s="1175">
        <f>'Data &amp; hypothesis Adults'!Z214</f>
        <v>0</v>
      </c>
      <c r="Z195" s="1175">
        <f>'Data &amp; hypothesis Adults'!AA214</f>
        <v>0</v>
      </c>
      <c r="AA195" s="1175">
        <f>'Data &amp; hypothesis Adults'!AB214</f>
        <v>0</v>
      </c>
      <c r="AB195" s="1175">
        <f>'Data &amp; hypothesis Adults'!AC214</f>
        <v>0</v>
      </c>
      <c r="AC195" s="1491">
        <f t="shared" ref="AC195:AC197" si="61">D24</f>
        <v>0</v>
      </c>
      <c r="AD195" s="1495"/>
      <c r="AE195" s="1497">
        <f t="shared" ref="AE195:AE197" si="62">D77</f>
        <v>16.323002613306205</v>
      </c>
      <c r="AF195" s="1498"/>
    </row>
    <row r="196" spans="1:32" s="1477" customFormat="1" ht="15" x14ac:dyDescent="0.25">
      <c r="B196" s="1499"/>
      <c r="C196" s="1482">
        <f t="shared" si="58"/>
        <v>0</v>
      </c>
      <c r="D196" s="1175">
        <f>'Data &amp; hypothesis Adults'!E215</f>
        <v>0</v>
      </c>
      <c r="E196" s="1175">
        <f>'Data &amp; hypothesis Adults'!F215</f>
        <v>0</v>
      </c>
      <c r="F196" s="1175">
        <f>'Data &amp; hypothesis Adults'!G215</f>
        <v>0</v>
      </c>
      <c r="G196" s="1175">
        <f>'Data &amp; hypothesis Adults'!H215</f>
        <v>0</v>
      </c>
      <c r="H196" s="1175">
        <f>'Data &amp; hypothesis Adults'!I215</f>
        <v>0</v>
      </c>
      <c r="I196" s="1175">
        <f>'Data &amp; hypothesis Adults'!J215</f>
        <v>0</v>
      </c>
      <c r="J196" s="1175">
        <f>'Data &amp; hypothesis Adults'!K215</f>
        <v>0</v>
      </c>
      <c r="K196" s="1175">
        <f>'Data &amp; hypothesis Adults'!L215</f>
        <v>0</v>
      </c>
      <c r="L196" s="1175">
        <f>'Data &amp; hypothesis Adults'!M215</f>
        <v>0</v>
      </c>
      <c r="M196" s="1175">
        <f>'Data &amp; hypothesis Adults'!N215</f>
        <v>0</v>
      </c>
      <c r="N196" s="1175">
        <f>'Data &amp; hypothesis Adults'!O215</f>
        <v>0</v>
      </c>
      <c r="O196" s="1175">
        <f>'Data &amp; hypothesis Adults'!P215</f>
        <v>0</v>
      </c>
      <c r="P196" s="1175">
        <f>'Data &amp; hypothesis Adults'!Q215</f>
        <v>0</v>
      </c>
      <c r="Q196" s="1175">
        <f>'Data &amp; hypothesis Adults'!R215</f>
        <v>0</v>
      </c>
      <c r="R196" s="1175">
        <f>'Data &amp; hypothesis Adults'!S215</f>
        <v>0</v>
      </c>
      <c r="S196" s="1175">
        <f>'Data &amp; hypothesis Adults'!T215</f>
        <v>0</v>
      </c>
      <c r="T196" s="1175">
        <f>'Data &amp; hypothesis Adults'!U215</f>
        <v>0</v>
      </c>
      <c r="U196" s="1175">
        <f>'Data &amp; hypothesis Adults'!V215</f>
        <v>0</v>
      </c>
      <c r="V196" s="1175">
        <f>'Data &amp; hypothesis Adults'!W215</f>
        <v>0</v>
      </c>
      <c r="W196" s="1175">
        <f>'Data &amp; hypothesis Adults'!X215</f>
        <v>0</v>
      </c>
      <c r="X196" s="1175">
        <f>'Data &amp; hypothesis Adults'!Y215</f>
        <v>0</v>
      </c>
      <c r="Y196" s="1175">
        <f>'Data &amp; hypothesis Adults'!Z215</f>
        <v>0</v>
      </c>
      <c r="Z196" s="1175">
        <f>'Data &amp; hypothesis Adults'!AA215</f>
        <v>0</v>
      </c>
      <c r="AA196" s="1175">
        <f>'Data &amp; hypothesis Adults'!AB215</f>
        <v>0</v>
      </c>
      <c r="AB196" s="1175">
        <f>'Data &amp; hypothesis Adults'!AC215</f>
        <v>0</v>
      </c>
      <c r="AC196" s="1491">
        <f t="shared" si="61"/>
        <v>0</v>
      </c>
      <c r="AD196" s="1495"/>
      <c r="AE196" s="1497">
        <f t="shared" si="62"/>
        <v>0</v>
      </c>
      <c r="AF196" s="1498"/>
    </row>
    <row r="197" spans="1:32" s="1477" customFormat="1" ht="15" x14ac:dyDescent="0.25">
      <c r="B197" s="1499"/>
      <c r="C197" s="1482">
        <f t="shared" si="58"/>
        <v>0</v>
      </c>
      <c r="D197" s="1175">
        <f>'Data &amp; hypothesis Adults'!E216</f>
        <v>0</v>
      </c>
      <c r="E197" s="1175">
        <f>'Data &amp; hypothesis Adults'!F216</f>
        <v>0</v>
      </c>
      <c r="F197" s="1175">
        <f>'Data &amp; hypothesis Adults'!G216</f>
        <v>0</v>
      </c>
      <c r="G197" s="1175">
        <f>'Data &amp; hypothesis Adults'!H216</f>
        <v>0</v>
      </c>
      <c r="H197" s="1175">
        <f>'Data &amp; hypothesis Adults'!I216</f>
        <v>0</v>
      </c>
      <c r="I197" s="1175">
        <f>'Data &amp; hypothesis Adults'!J216</f>
        <v>0</v>
      </c>
      <c r="J197" s="1175">
        <f>'Data &amp; hypothesis Adults'!K216</f>
        <v>0</v>
      </c>
      <c r="K197" s="1175">
        <f>'Data &amp; hypothesis Adults'!L216</f>
        <v>0</v>
      </c>
      <c r="L197" s="1175">
        <f>'Data &amp; hypothesis Adults'!M216</f>
        <v>0</v>
      </c>
      <c r="M197" s="1175">
        <f>'Data &amp; hypothesis Adults'!N216</f>
        <v>0</v>
      </c>
      <c r="N197" s="1175">
        <f>'Data &amp; hypothesis Adults'!O216</f>
        <v>0</v>
      </c>
      <c r="O197" s="1175">
        <f>'Data &amp; hypothesis Adults'!P216</f>
        <v>0</v>
      </c>
      <c r="P197" s="1175">
        <f>'Data &amp; hypothesis Adults'!Q216</f>
        <v>0</v>
      </c>
      <c r="Q197" s="1175">
        <f>'Data &amp; hypothesis Adults'!R216</f>
        <v>0</v>
      </c>
      <c r="R197" s="1175">
        <f>'Data &amp; hypothesis Adults'!S216</f>
        <v>0</v>
      </c>
      <c r="S197" s="1175">
        <f>'Data &amp; hypothesis Adults'!T216</f>
        <v>0</v>
      </c>
      <c r="T197" s="1175">
        <f>'Data &amp; hypothesis Adults'!U216</f>
        <v>0</v>
      </c>
      <c r="U197" s="1175">
        <f>'Data &amp; hypothesis Adults'!V216</f>
        <v>0</v>
      </c>
      <c r="V197" s="1175">
        <f>'Data &amp; hypothesis Adults'!W216</f>
        <v>0</v>
      </c>
      <c r="W197" s="1175">
        <f>'Data &amp; hypothesis Adults'!X216</f>
        <v>0</v>
      </c>
      <c r="X197" s="1175">
        <f>'Data &amp; hypothesis Adults'!Y216</f>
        <v>0</v>
      </c>
      <c r="Y197" s="1175">
        <f>'Data &amp; hypothesis Adults'!Z216</f>
        <v>0</v>
      </c>
      <c r="Z197" s="1175">
        <f>'Data &amp; hypothesis Adults'!AA216</f>
        <v>0</v>
      </c>
      <c r="AA197" s="1175">
        <f>'Data &amp; hypothesis Adults'!AB216</f>
        <v>0</v>
      </c>
      <c r="AB197" s="1175">
        <f>'Data &amp; hypothesis Adults'!AC216</f>
        <v>0</v>
      </c>
      <c r="AC197" s="1491">
        <f t="shared" si="61"/>
        <v>0</v>
      </c>
      <c r="AD197" s="1495"/>
      <c r="AE197" s="1497">
        <f t="shared" si="62"/>
        <v>0</v>
      </c>
      <c r="AF197" s="1498"/>
    </row>
    <row r="198" spans="1:32" s="1477" customFormat="1" ht="15.75" thickBot="1" x14ac:dyDescent="0.3">
      <c r="B198" s="1499" t="str">
        <f>'TRAD-Adults YEAR(1)'!B12</f>
        <v>3èmes lignes</v>
      </c>
      <c r="C198" s="1500" t="s">
        <v>197</v>
      </c>
      <c r="D198" s="1198"/>
      <c r="E198" s="1198"/>
      <c r="F198" s="1198"/>
      <c r="G198" s="1198"/>
      <c r="H198" s="1198"/>
      <c r="I198" s="1198"/>
      <c r="J198" s="1198"/>
      <c r="K198" s="1198"/>
      <c r="L198" s="1198" t="s">
        <v>225</v>
      </c>
      <c r="M198" s="1198"/>
      <c r="N198" s="1198"/>
      <c r="O198" s="1198"/>
      <c r="P198" s="1198" t="s">
        <v>225</v>
      </c>
      <c r="Q198" s="1198" t="s">
        <v>225</v>
      </c>
      <c r="R198" s="1198" t="s">
        <v>623</v>
      </c>
      <c r="S198" s="1198" t="s">
        <v>623</v>
      </c>
      <c r="T198" s="1198" t="s">
        <v>225</v>
      </c>
      <c r="U198" s="1198"/>
      <c r="V198" s="1198" t="s">
        <v>225</v>
      </c>
      <c r="W198" s="1198" t="s">
        <v>225</v>
      </c>
      <c r="X198" s="1198" t="s">
        <v>225</v>
      </c>
      <c r="Y198" s="1198" t="s">
        <v>225</v>
      </c>
      <c r="Z198" s="1198" t="s">
        <v>225</v>
      </c>
      <c r="AA198" s="1198" t="s">
        <v>225</v>
      </c>
      <c r="AB198" s="1198" t="s">
        <v>225</v>
      </c>
      <c r="AC198" s="1491">
        <f t="shared" ref="AC198" si="63">D27</f>
        <v>0</v>
      </c>
      <c r="AD198" s="1495"/>
      <c r="AE198" s="1497">
        <f>L87</f>
        <v>0</v>
      </c>
      <c r="AF198" s="1498"/>
    </row>
    <row r="199" spans="1:32" ht="26.25" thickBot="1" x14ac:dyDescent="0.25">
      <c r="A199" s="696"/>
      <c r="B199" s="2149" t="str">
        <f>'TRAD-Adults YEAR(1)'!B130</f>
        <v>Patients suivis</v>
      </c>
      <c r="C199" s="1189" t="str">
        <f>'TRAD-Adults YEAR(1)'!B81</f>
        <v>Nb de patients suivis recevant l'ARV</v>
      </c>
      <c r="D199" s="1203">
        <f t="shared" ref="D199:U199" si="64">SUMIF(D181:D198, "X", $AC181:$AC198)+SUMIF(D181:D198, "A", $AC181:$AC198)*D178</f>
        <v>10529.132</v>
      </c>
      <c r="E199" s="1203">
        <f t="shared" si="64"/>
        <v>29.086000000000002</v>
      </c>
      <c r="F199" s="1203">
        <f t="shared" si="64"/>
        <v>0</v>
      </c>
      <c r="G199" s="1203">
        <f t="shared" si="64"/>
        <v>2006.9339999999997</v>
      </c>
      <c r="H199" s="1203">
        <f t="shared" si="64"/>
        <v>43.628999999999998</v>
      </c>
      <c r="I199" s="1203">
        <f t="shared" si="64"/>
        <v>0</v>
      </c>
      <c r="J199" s="1203">
        <f t="shared" si="64"/>
        <v>0</v>
      </c>
      <c r="K199" s="1203">
        <f t="shared" si="64"/>
        <v>1454.3000000000002</v>
      </c>
      <c r="L199" s="1203">
        <f t="shared" si="64"/>
        <v>450.83299999999997</v>
      </c>
      <c r="M199" s="1203">
        <f t="shared" si="64"/>
        <v>1410.6709999999998</v>
      </c>
      <c r="N199" s="1203">
        <f t="shared" si="64"/>
        <v>0</v>
      </c>
      <c r="O199" s="1203">
        <f t="shared" si="64"/>
        <v>0</v>
      </c>
      <c r="P199" s="1203">
        <f t="shared" si="64"/>
        <v>0</v>
      </c>
      <c r="Q199" s="1203">
        <f t="shared" si="64"/>
        <v>0</v>
      </c>
      <c r="R199" s="1203">
        <f t="shared" si="64"/>
        <v>0</v>
      </c>
      <c r="S199" s="1203">
        <f t="shared" si="64"/>
        <v>0</v>
      </c>
      <c r="T199" s="1203">
        <f t="shared" si="64"/>
        <v>0</v>
      </c>
      <c r="U199" s="1203">
        <f t="shared" si="64"/>
        <v>1055.8217999999999</v>
      </c>
      <c r="V199" s="1203">
        <f t="shared" ref="V199:AB199" si="65">SUMIF(V181:V198, "X", $AC181:$AC198)+SUMIF(V181:V198, "A", $AC181:$AC198)*V179</f>
        <v>0</v>
      </c>
      <c r="W199" s="1203">
        <f t="shared" si="65"/>
        <v>0</v>
      </c>
      <c r="X199" s="1203">
        <f t="shared" si="65"/>
        <v>0</v>
      </c>
      <c r="Y199" s="1203">
        <f t="shared" si="65"/>
        <v>34.903199999999998</v>
      </c>
      <c r="Z199" s="1203">
        <f t="shared" si="65"/>
        <v>0</v>
      </c>
      <c r="AA199" s="1203">
        <f t="shared" si="65"/>
        <v>0</v>
      </c>
      <c r="AB199" s="1204">
        <f t="shared" si="65"/>
        <v>0</v>
      </c>
      <c r="AC199" s="1186"/>
      <c r="AD199" s="1172"/>
    </row>
    <row r="200" spans="1:32" ht="77.25" thickBot="1" x14ac:dyDescent="0.25">
      <c r="B200" s="2150"/>
      <c r="C200" s="1189" t="str">
        <f>'TRAD-Adults YEAR(1)'!B82</f>
        <v>Quantités de conditionnements nécessaires pour l'ensemble des patients suivis pour 1 mois</v>
      </c>
      <c r="D200" s="1205">
        <f>D199*D177</f>
        <v>10529.132</v>
      </c>
      <c r="E200" s="1205">
        <f t="shared" ref="E200:L200" si="66">E199*E177</f>
        <v>29.086000000000002</v>
      </c>
      <c r="F200" s="1205">
        <f t="shared" ref="F200" si="67">F199*F177</f>
        <v>0</v>
      </c>
      <c r="G200" s="1205">
        <f t="shared" si="66"/>
        <v>2006.9339999999997</v>
      </c>
      <c r="H200" s="1205">
        <f t="shared" ref="H200" si="68">H199*H177</f>
        <v>43.628999999999998</v>
      </c>
      <c r="I200" s="1205">
        <f t="shared" si="66"/>
        <v>0</v>
      </c>
      <c r="J200" s="1205">
        <f t="shared" si="66"/>
        <v>0</v>
      </c>
      <c r="K200" s="1205">
        <f t="shared" si="66"/>
        <v>1454.3000000000002</v>
      </c>
      <c r="L200" s="1205">
        <f t="shared" si="66"/>
        <v>450.83299999999997</v>
      </c>
      <c r="M200" s="1205">
        <f t="shared" ref="M200:AB200" si="69">M199*M177</f>
        <v>1410.6709999999998</v>
      </c>
      <c r="N200" s="1205">
        <f t="shared" si="69"/>
        <v>0</v>
      </c>
      <c r="O200" s="1205">
        <f t="shared" si="69"/>
        <v>0</v>
      </c>
      <c r="P200" s="1205">
        <f t="shared" si="69"/>
        <v>0</v>
      </c>
      <c r="Q200" s="1205">
        <f t="shared" si="69"/>
        <v>0</v>
      </c>
      <c r="R200" s="1205">
        <f t="shared" si="69"/>
        <v>0</v>
      </c>
      <c r="S200" s="1205">
        <f t="shared" si="69"/>
        <v>0</v>
      </c>
      <c r="T200" s="1205">
        <f t="shared" si="69"/>
        <v>0</v>
      </c>
      <c r="U200" s="1205">
        <f t="shared" si="69"/>
        <v>1055.8217999999999</v>
      </c>
      <c r="V200" s="1205">
        <f t="shared" si="69"/>
        <v>0</v>
      </c>
      <c r="W200" s="1205">
        <f t="shared" si="69"/>
        <v>0</v>
      </c>
      <c r="X200" s="1205">
        <f t="shared" si="69"/>
        <v>0</v>
      </c>
      <c r="Y200" s="1205">
        <f t="shared" si="69"/>
        <v>34.903199999999998</v>
      </c>
      <c r="Z200" s="1205">
        <f t="shared" si="69"/>
        <v>0</v>
      </c>
      <c r="AA200" s="1205">
        <f t="shared" si="69"/>
        <v>0</v>
      </c>
      <c r="AB200" s="1206">
        <f t="shared" si="69"/>
        <v>0</v>
      </c>
      <c r="AC200" s="1186"/>
      <c r="AD200" s="1172"/>
    </row>
    <row r="201" spans="1:32" ht="64.5" thickBot="1" x14ac:dyDescent="0.25">
      <c r="B201" s="2150"/>
      <c r="C201" s="1189" t="str">
        <f>'TRAD-Adults YEAR(1)'!B83</f>
        <v>Qtés conditionnements pour l'ensemble des patients sur toute la période hors SS</v>
      </c>
      <c r="D201" s="1205">
        <f>D200*$D$6</f>
        <v>126349.584</v>
      </c>
      <c r="E201" s="1205">
        <f t="shared" ref="E201:AB201" si="70">E200*$D$6</f>
        <v>349.03200000000004</v>
      </c>
      <c r="F201" s="1205">
        <f t="shared" ref="F201" si="71">F200*$D$6</f>
        <v>0</v>
      </c>
      <c r="G201" s="1205">
        <f t="shared" si="70"/>
        <v>24083.207999999999</v>
      </c>
      <c r="H201" s="1205">
        <f t="shared" ref="H201" si="72">H200*$D$6</f>
        <v>523.548</v>
      </c>
      <c r="I201" s="1205">
        <f t="shared" si="70"/>
        <v>0</v>
      </c>
      <c r="J201" s="1205">
        <f t="shared" si="70"/>
        <v>0</v>
      </c>
      <c r="K201" s="1205">
        <f t="shared" si="70"/>
        <v>17451.600000000002</v>
      </c>
      <c r="L201" s="1205">
        <f t="shared" si="70"/>
        <v>5409.9959999999992</v>
      </c>
      <c r="M201" s="1205">
        <f t="shared" si="70"/>
        <v>16928.051999999996</v>
      </c>
      <c r="N201" s="1205">
        <f t="shared" si="70"/>
        <v>0</v>
      </c>
      <c r="O201" s="1205">
        <f t="shared" si="70"/>
        <v>0</v>
      </c>
      <c r="P201" s="1205">
        <f t="shared" si="70"/>
        <v>0</v>
      </c>
      <c r="Q201" s="1205">
        <f t="shared" si="70"/>
        <v>0</v>
      </c>
      <c r="R201" s="1205">
        <f t="shared" si="70"/>
        <v>0</v>
      </c>
      <c r="S201" s="1205">
        <f t="shared" si="70"/>
        <v>0</v>
      </c>
      <c r="T201" s="1205">
        <f t="shared" si="70"/>
        <v>0</v>
      </c>
      <c r="U201" s="1205">
        <f t="shared" si="70"/>
        <v>12669.8616</v>
      </c>
      <c r="V201" s="1205">
        <f t="shared" si="70"/>
        <v>0</v>
      </c>
      <c r="W201" s="1205">
        <f t="shared" si="70"/>
        <v>0</v>
      </c>
      <c r="X201" s="1205">
        <f t="shared" si="70"/>
        <v>0</v>
      </c>
      <c r="Y201" s="1205">
        <f t="shared" si="70"/>
        <v>418.83839999999998</v>
      </c>
      <c r="Z201" s="1205">
        <f t="shared" si="70"/>
        <v>0</v>
      </c>
      <c r="AA201" s="1205">
        <f t="shared" si="70"/>
        <v>0</v>
      </c>
      <c r="AB201" s="1206">
        <f t="shared" si="70"/>
        <v>0</v>
      </c>
      <c r="AC201" s="1186"/>
      <c r="AD201" s="1172"/>
    </row>
    <row r="202" spans="1:32" ht="64.5" thickBot="1" x14ac:dyDescent="0.25">
      <c r="B202" s="2151"/>
      <c r="C202" s="1189" t="str">
        <f>'TRAD-Adults YEAR(1)'!B84</f>
        <v>Qtés conditionnements pour l'ensemble des patients sur toute la période avec SS</v>
      </c>
      <c r="D202" s="1207">
        <f>(D200*$D$7)</f>
        <v>157936.97999999998</v>
      </c>
      <c r="E202" s="1207">
        <f t="shared" ref="E202:AB202" si="73">(E200*$D$7)</f>
        <v>436.29</v>
      </c>
      <c r="F202" s="1207">
        <f t="shared" ref="F202" si="74">(F200*$D$7)</f>
        <v>0</v>
      </c>
      <c r="G202" s="1207">
        <f t="shared" si="73"/>
        <v>30104.009999999995</v>
      </c>
      <c r="H202" s="1207">
        <f t="shared" ref="H202" si="75">(H200*$D$7)</f>
        <v>654.43499999999995</v>
      </c>
      <c r="I202" s="1207">
        <f t="shared" si="73"/>
        <v>0</v>
      </c>
      <c r="J202" s="1207">
        <f t="shared" si="73"/>
        <v>0</v>
      </c>
      <c r="K202" s="1207">
        <f t="shared" si="73"/>
        <v>21814.500000000004</v>
      </c>
      <c r="L202" s="1207">
        <f t="shared" si="73"/>
        <v>6762.4949999999999</v>
      </c>
      <c r="M202" s="1207">
        <f t="shared" si="73"/>
        <v>21160.064999999999</v>
      </c>
      <c r="N202" s="1207">
        <f t="shared" si="73"/>
        <v>0</v>
      </c>
      <c r="O202" s="1207">
        <f t="shared" si="73"/>
        <v>0</v>
      </c>
      <c r="P202" s="1207">
        <f t="shared" si="73"/>
        <v>0</v>
      </c>
      <c r="Q202" s="1207">
        <f t="shared" si="73"/>
        <v>0</v>
      </c>
      <c r="R202" s="1207">
        <f t="shared" si="73"/>
        <v>0</v>
      </c>
      <c r="S202" s="1207">
        <f t="shared" si="73"/>
        <v>0</v>
      </c>
      <c r="T202" s="1207">
        <f t="shared" si="73"/>
        <v>0</v>
      </c>
      <c r="U202" s="1207">
        <f t="shared" si="73"/>
        <v>15837.326999999999</v>
      </c>
      <c r="V202" s="1207">
        <f t="shared" si="73"/>
        <v>0</v>
      </c>
      <c r="W202" s="1207">
        <f t="shared" si="73"/>
        <v>0</v>
      </c>
      <c r="X202" s="1207">
        <f t="shared" si="73"/>
        <v>0</v>
      </c>
      <c r="Y202" s="1207">
        <f t="shared" si="73"/>
        <v>523.548</v>
      </c>
      <c r="Z202" s="1207">
        <f t="shared" si="73"/>
        <v>0</v>
      </c>
      <c r="AA202" s="1207">
        <f t="shared" si="73"/>
        <v>0</v>
      </c>
      <c r="AB202" s="1208">
        <f t="shared" si="73"/>
        <v>0</v>
      </c>
      <c r="AC202" s="1186"/>
      <c r="AD202" s="1172"/>
    </row>
    <row r="203" spans="1:32" ht="39" thickBot="1" x14ac:dyDescent="0.25">
      <c r="B203" s="2149" t="str">
        <f>'TRAD-Adults YEAR(1)'!B90</f>
        <v>Patients initiés</v>
      </c>
      <c r="C203" s="1189" t="str">
        <f>'TRAD-Adults YEAR(1)'!B85</f>
        <v>Nb de patients initiés par mois recevant l'ARV</v>
      </c>
      <c r="D203" s="1203">
        <f t="shared" ref="D203:AB203" si="76">SUMIF(D181:D198, "X", $AD181:$AD198)+SUMIF(D181:D198, "A", $AD181:$AD198)*D178</f>
        <v>20.6</v>
      </c>
      <c r="E203" s="1203">
        <f t="shared" si="76"/>
        <v>4.12</v>
      </c>
      <c r="F203" s="1203">
        <f t="shared" si="76"/>
        <v>0</v>
      </c>
      <c r="G203" s="1203">
        <f t="shared" si="76"/>
        <v>6.18</v>
      </c>
      <c r="H203" s="1203">
        <f t="shared" si="76"/>
        <v>0</v>
      </c>
      <c r="I203" s="1203">
        <f t="shared" si="76"/>
        <v>0</v>
      </c>
      <c r="J203" s="1203">
        <f t="shared" si="76"/>
        <v>0</v>
      </c>
      <c r="K203" s="1203">
        <f t="shared" si="76"/>
        <v>379.04</v>
      </c>
      <c r="L203" s="1203">
        <f t="shared" si="76"/>
        <v>0</v>
      </c>
      <c r="M203" s="1203">
        <f t="shared" si="76"/>
        <v>2.06</v>
      </c>
      <c r="N203" s="1203">
        <f t="shared" si="76"/>
        <v>0</v>
      </c>
      <c r="O203" s="1203">
        <f t="shared" si="76"/>
        <v>0</v>
      </c>
      <c r="P203" s="1203">
        <f t="shared" si="76"/>
        <v>0</v>
      </c>
      <c r="Q203" s="1203">
        <f t="shared" si="76"/>
        <v>0</v>
      </c>
      <c r="R203" s="1203">
        <f t="shared" si="76"/>
        <v>0</v>
      </c>
      <c r="S203" s="1203">
        <f t="shared" si="76"/>
        <v>0</v>
      </c>
      <c r="T203" s="1203">
        <f t="shared" si="76"/>
        <v>0</v>
      </c>
      <c r="U203" s="1203">
        <f t="shared" si="76"/>
        <v>4.12</v>
      </c>
      <c r="V203" s="1203">
        <f t="shared" si="76"/>
        <v>0</v>
      </c>
      <c r="W203" s="1203">
        <f t="shared" si="76"/>
        <v>0</v>
      </c>
      <c r="X203" s="1203">
        <f t="shared" si="76"/>
        <v>0</v>
      </c>
      <c r="Y203" s="1203">
        <f t="shared" si="76"/>
        <v>0</v>
      </c>
      <c r="Z203" s="1203">
        <f t="shared" si="76"/>
        <v>0</v>
      </c>
      <c r="AA203" s="1203">
        <f t="shared" si="76"/>
        <v>0</v>
      </c>
      <c r="AB203" s="1204">
        <f t="shared" si="76"/>
        <v>0</v>
      </c>
      <c r="AC203" s="1186"/>
      <c r="AD203" s="1172"/>
    </row>
    <row r="204" spans="1:32" ht="77.25" thickBot="1" x14ac:dyDescent="0.25">
      <c r="B204" s="2150"/>
      <c r="C204" s="1189" t="str">
        <f>'TRAD-Adults YEAR(1)'!B86</f>
        <v>Quantités de conditionnements nécessaires pour l'ensemble des patients initiés sur 1 mois</v>
      </c>
      <c r="D204" s="1205">
        <f t="shared" ref="D204:AB204" si="77">D203*D177</f>
        <v>20.6</v>
      </c>
      <c r="E204" s="1205">
        <f t="shared" si="77"/>
        <v>4.12</v>
      </c>
      <c r="F204" s="1205">
        <f t="shared" ref="F204" si="78">F203*F177</f>
        <v>0</v>
      </c>
      <c r="G204" s="1205">
        <f t="shared" si="77"/>
        <v>6.18</v>
      </c>
      <c r="H204" s="1205">
        <f t="shared" ref="H204" si="79">H203*H177</f>
        <v>0</v>
      </c>
      <c r="I204" s="1205">
        <f t="shared" si="77"/>
        <v>0</v>
      </c>
      <c r="J204" s="1205">
        <f t="shared" si="77"/>
        <v>0</v>
      </c>
      <c r="K204" s="1205">
        <f t="shared" si="77"/>
        <v>379.04</v>
      </c>
      <c r="L204" s="1205">
        <f t="shared" si="77"/>
        <v>0</v>
      </c>
      <c r="M204" s="1205">
        <f t="shared" si="77"/>
        <v>2.06</v>
      </c>
      <c r="N204" s="1205">
        <f t="shared" si="77"/>
        <v>0</v>
      </c>
      <c r="O204" s="1205">
        <f t="shared" si="77"/>
        <v>0</v>
      </c>
      <c r="P204" s="1205">
        <f t="shared" si="77"/>
        <v>0</v>
      </c>
      <c r="Q204" s="1205">
        <f t="shared" si="77"/>
        <v>0</v>
      </c>
      <c r="R204" s="1205">
        <f t="shared" si="77"/>
        <v>0</v>
      </c>
      <c r="S204" s="1205">
        <f t="shared" si="77"/>
        <v>0</v>
      </c>
      <c r="T204" s="1205">
        <f t="shared" si="77"/>
        <v>0</v>
      </c>
      <c r="U204" s="1205">
        <f t="shared" si="77"/>
        <v>4.12</v>
      </c>
      <c r="V204" s="1205">
        <f t="shared" si="77"/>
        <v>0</v>
      </c>
      <c r="W204" s="1205">
        <f t="shared" si="77"/>
        <v>0</v>
      </c>
      <c r="X204" s="1205">
        <f t="shared" si="77"/>
        <v>0</v>
      </c>
      <c r="Y204" s="1205">
        <f t="shared" si="77"/>
        <v>0</v>
      </c>
      <c r="Z204" s="1205">
        <f t="shared" si="77"/>
        <v>0</v>
      </c>
      <c r="AA204" s="1205">
        <f t="shared" si="77"/>
        <v>0</v>
      </c>
      <c r="AB204" s="1206">
        <f t="shared" si="77"/>
        <v>0</v>
      </c>
      <c r="AC204" s="1186"/>
      <c r="AD204" s="1172"/>
    </row>
    <row r="205" spans="1:32" ht="64.5" thickBot="1" x14ac:dyDescent="0.25">
      <c r="B205" s="2150"/>
      <c r="C205" s="1189" t="str">
        <f>'TRAD-Adults YEAR(1)'!B87</f>
        <v>Quantités conditionnements nécessaires Spécificités 3èmes lignes pour 1 mois</v>
      </c>
      <c r="D205" s="1205">
        <f t="shared" ref="D205:AB205" si="80">(IF(D198="X", $AE$198*D179, "0")+IF(D198="A", $AE$198*D178*D179, "0"))*D177</f>
        <v>0</v>
      </c>
      <c r="E205" s="1205">
        <f t="shared" si="80"/>
        <v>0</v>
      </c>
      <c r="F205" s="1205">
        <f t="shared" si="80"/>
        <v>0</v>
      </c>
      <c r="G205" s="1205">
        <f t="shared" si="80"/>
        <v>0</v>
      </c>
      <c r="H205" s="1205">
        <f t="shared" si="80"/>
        <v>0</v>
      </c>
      <c r="I205" s="1205">
        <f t="shared" si="80"/>
        <v>0</v>
      </c>
      <c r="J205" s="1205">
        <f t="shared" si="80"/>
        <v>0</v>
      </c>
      <c r="K205" s="1205">
        <f t="shared" si="80"/>
        <v>0</v>
      </c>
      <c r="L205" s="1205">
        <f t="shared" si="80"/>
        <v>0</v>
      </c>
      <c r="M205" s="1205">
        <f t="shared" si="80"/>
        <v>0</v>
      </c>
      <c r="N205" s="1205">
        <f t="shared" si="80"/>
        <v>0</v>
      </c>
      <c r="O205" s="1205">
        <f t="shared" si="80"/>
        <v>0</v>
      </c>
      <c r="P205" s="1205">
        <f t="shared" si="80"/>
        <v>0</v>
      </c>
      <c r="Q205" s="1205">
        <f t="shared" si="80"/>
        <v>0</v>
      </c>
      <c r="R205" s="1205">
        <f t="shared" si="80"/>
        <v>0</v>
      </c>
      <c r="S205" s="1205">
        <f t="shared" si="80"/>
        <v>0</v>
      </c>
      <c r="T205" s="1205">
        <f t="shared" si="80"/>
        <v>0</v>
      </c>
      <c r="U205" s="1205">
        <f t="shared" si="80"/>
        <v>0</v>
      </c>
      <c r="V205" s="1205">
        <f t="shared" si="80"/>
        <v>0</v>
      </c>
      <c r="W205" s="1205">
        <f t="shared" si="80"/>
        <v>0</v>
      </c>
      <c r="X205" s="1205">
        <f t="shared" si="80"/>
        <v>0</v>
      </c>
      <c r="Y205" s="1205">
        <f t="shared" si="80"/>
        <v>0</v>
      </c>
      <c r="Z205" s="1205">
        <f t="shared" si="80"/>
        <v>0</v>
      </c>
      <c r="AA205" s="1205">
        <f t="shared" si="80"/>
        <v>0</v>
      </c>
      <c r="AB205" s="1206">
        <f t="shared" si="80"/>
        <v>0</v>
      </c>
      <c r="AC205" s="1186"/>
      <c r="AD205" s="1172"/>
    </row>
    <row r="206" spans="1:32" ht="77.25" thickBot="1" x14ac:dyDescent="0.25">
      <c r="B206" s="2150"/>
      <c r="C206" s="1189" t="str">
        <f>'TRAD-Adults YEAR(1)'!B88</f>
        <v>Qtés conditionnements pour l'ensemble des patients initiés sur toute la période sans SS</v>
      </c>
      <c r="D206" s="1205">
        <f>(D204+D205)*$I$6</f>
        <v>1606.8000000000002</v>
      </c>
      <c r="E206" s="1205">
        <f t="shared" ref="E206:AB206" si="81">(E204+E205)*$I$6</f>
        <v>321.36</v>
      </c>
      <c r="F206" s="1205">
        <f t="shared" ref="F206" si="82">(F204+F205)*$I$6</f>
        <v>0</v>
      </c>
      <c r="G206" s="1205">
        <f t="shared" si="81"/>
        <v>482.03999999999996</v>
      </c>
      <c r="H206" s="1205">
        <f t="shared" ref="H206" si="83">(H204+H205)*$I$6</f>
        <v>0</v>
      </c>
      <c r="I206" s="1205">
        <f t="shared" si="81"/>
        <v>0</v>
      </c>
      <c r="J206" s="1205">
        <f t="shared" si="81"/>
        <v>0</v>
      </c>
      <c r="K206" s="1205">
        <f t="shared" si="81"/>
        <v>29565.120000000003</v>
      </c>
      <c r="L206" s="1205">
        <f>(L204+L205)*$I$6</f>
        <v>0</v>
      </c>
      <c r="M206" s="1205">
        <f t="shared" si="81"/>
        <v>160.68</v>
      </c>
      <c r="N206" s="1205">
        <f>(N204+N205)*$I$6</f>
        <v>0</v>
      </c>
      <c r="O206" s="1205">
        <f t="shared" si="81"/>
        <v>0</v>
      </c>
      <c r="P206" s="1205">
        <f t="shared" si="81"/>
        <v>0</v>
      </c>
      <c r="Q206" s="1205">
        <f>(Q204+Q205)*$I$6</f>
        <v>0</v>
      </c>
      <c r="R206" s="1205">
        <f t="shared" si="81"/>
        <v>0</v>
      </c>
      <c r="S206" s="1205">
        <f t="shared" si="81"/>
        <v>0</v>
      </c>
      <c r="T206" s="1205">
        <f t="shared" si="81"/>
        <v>0</v>
      </c>
      <c r="U206" s="1205">
        <f t="shared" si="81"/>
        <v>321.36</v>
      </c>
      <c r="V206" s="1205">
        <f t="shared" si="81"/>
        <v>0</v>
      </c>
      <c r="W206" s="1205">
        <f t="shared" si="81"/>
        <v>0</v>
      </c>
      <c r="X206" s="1205">
        <f t="shared" si="81"/>
        <v>0</v>
      </c>
      <c r="Y206" s="1205">
        <f t="shared" si="81"/>
        <v>0</v>
      </c>
      <c r="Z206" s="1205">
        <f t="shared" si="81"/>
        <v>0</v>
      </c>
      <c r="AA206" s="1205">
        <f t="shared" si="81"/>
        <v>0</v>
      </c>
      <c r="AB206" s="1206">
        <f t="shared" si="81"/>
        <v>0</v>
      </c>
      <c r="AC206" s="1186"/>
      <c r="AD206" s="1172"/>
    </row>
    <row r="207" spans="1:32" ht="77.25" thickBot="1" x14ac:dyDescent="0.25">
      <c r="B207" s="2151"/>
      <c r="C207" s="1189" t="str">
        <f>'TRAD-Adults YEAR(1)'!B89</f>
        <v>Qtés conditionnements pour l'ensemble des patients initiés sur toute la période avec SS</v>
      </c>
      <c r="D207" s="1207">
        <f>(D204+D205)*$I$7</f>
        <v>2472</v>
      </c>
      <c r="E207" s="1207">
        <f t="shared" ref="E207:AB207" si="84">(E204+E205)*$I$7</f>
        <v>494.40000000000003</v>
      </c>
      <c r="F207" s="1207">
        <f t="shared" ref="F207" si="85">(F204+F205)*$I$7</f>
        <v>0</v>
      </c>
      <c r="G207" s="1207">
        <f t="shared" si="84"/>
        <v>741.59999999999991</v>
      </c>
      <c r="H207" s="1207">
        <f t="shared" ref="H207" si="86">(H204+H205)*$I$7</f>
        <v>0</v>
      </c>
      <c r="I207" s="1207">
        <f t="shared" si="84"/>
        <v>0</v>
      </c>
      <c r="J207" s="1207">
        <f t="shared" si="84"/>
        <v>0</v>
      </c>
      <c r="K207" s="1207">
        <f t="shared" si="84"/>
        <v>45484.800000000003</v>
      </c>
      <c r="L207" s="1207">
        <f t="shared" si="84"/>
        <v>0</v>
      </c>
      <c r="M207" s="1207">
        <f t="shared" si="84"/>
        <v>247.20000000000002</v>
      </c>
      <c r="N207" s="1207">
        <f t="shared" si="84"/>
        <v>0</v>
      </c>
      <c r="O207" s="1207">
        <f t="shared" si="84"/>
        <v>0</v>
      </c>
      <c r="P207" s="1207">
        <f t="shared" si="84"/>
        <v>0</v>
      </c>
      <c r="Q207" s="1207">
        <f t="shared" si="84"/>
        <v>0</v>
      </c>
      <c r="R207" s="1207">
        <f t="shared" si="84"/>
        <v>0</v>
      </c>
      <c r="S207" s="1207">
        <f t="shared" si="84"/>
        <v>0</v>
      </c>
      <c r="T207" s="1207">
        <f t="shared" si="84"/>
        <v>0</v>
      </c>
      <c r="U207" s="1207">
        <f t="shared" si="84"/>
        <v>494.40000000000003</v>
      </c>
      <c r="V207" s="1207">
        <f t="shared" si="84"/>
        <v>0</v>
      </c>
      <c r="W207" s="1207">
        <f t="shared" si="84"/>
        <v>0</v>
      </c>
      <c r="X207" s="1207">
        <f t="shared" si="84"/>
        <v>0</v>
      </c>
      <c r="Y207" s="1207">
        <f t="shared" si="84"/>
        <v>0</v>
      </c>
      <c r="Z207" s="1207">
        <f t="shared" si="84"/>
        <v>0</v>
      </c>
      <c r="AA207" s="1207">
        <f t="shared" si="84"/>
        <v>0</v>
      </c>
      <c r="AB207" s="1208">
        <f t="shared" si="84"/>
        <v>0</v>
      </c>
      <c r="AC207" s="1186"/>
      <c r="AD207" s="1172"/>
    </row>
    <row r="208" spans="1:32" ht="38.25" x14ac:dyDescent="0.2">
      <c r="B208" s="2149" t="str">
        <f>'TRAD-Adults YEAR(1)'!B93</f>
        <v>Patients switchés</v>
      </c>
      <c r="C208" s="1189" t="str">
        <f>'TRAD-Adults YEAR(1)'!B85</f>
        <v>Nb de patients initiés par mois recevant l'ARV</v>
      </c>
      <c r="D208" s="1203">
        <f t="shared" ref="D208:AB208" si="87">SUMIF(D181:D198, "X", $AE181:$AE198)+SUMIF(D181:D198, "A", $AE181:$AE198)*D178</f>
        <v>0</v>
      </c>
      <c r="E208" s="1203">
        <f t="shared" si="87"/>
        <v>0</v>
      </c>
      <c r="F208" s="1203">
        <f t="shared" si="87"/>
        <v>0</v>
      </c>
      <c r="G208" s="1203">
        <f t="shared" si="87"/>
        <v>0</v>
      </c>
      <c r="H208" s="1203">
        <f t="shared" si="87"/>
        <v>0</v>
      </c>
      <c r="I208" s="1203">
        <f t="shared" si="87"/>
        <v>0</v>
      </c>
      <c r="J208" s="1203">
        <f t="shared" si="87"/>
        <v>0</v>
      </c>
      <c r="K208" s="1203">
        <f t="shared" si="87"/>
        <v>0</v>
      </c>
      <c r="L208" s="1203">
        <f t="shared" si="87"/>
        <v>35.361822223573149</v>
      </c>
      <c r="M208" s="1203">
        <f t="shared" si="87"/>
        <v>0</v>
      </c>
      <c r="N208" s="1203">
        <f t="shared" si="87"/>
        <v>0</v>
      </c>
      <c r="O208" s="1203">
        <f t="shared" si="87"/>
        <v>0</v>
      </c>
      <c r="P208" s="1203">
        <f t="shared" si="87"/>
        <v>0</v>
      </c>
      <c r="Q208" s="1203">
        <f t="shared" si="87"/>
        <v>0</v>
      </c>
      <c r="R208" s="1203">
        <f t="shared" si="87"/>
        <v>0</v>
      </c>
      <c r="S208" s="1203">
        <f t="shared" si="87"/>
        <v>0</v>
      </c>
      <c r="T208" s="1203">
        <f t="shared" si="87"/>
        <v>0</v>
      </c>
      <c r="U208" s="1203">
        <f t="shared" si="87"/>
        <v>35.361822223573149</v>
      </c>
      <c r="V208" s="1203">
        <f t="shared" si="87"/>
        <v>0</v>
      </c>
      <c r="W208" s="1203">
        <f t="shared" si="87"/>
        <v>0</v>
      </c>
      <c r="X208" s="1203">
        <f t="shared" si="87"/>
        <v>0</v>
      </c>
      <c r="Y208" s="1203">
        <f t="shared" si="87"/>
        <v>0</v>
      </c>
      <c r="Z208" s="1203">
        <f t="shared" si="87"/>
        <v>0</v>
      </c>
      <c r="AA208" s="1203">
        <f t="shared" si="87"/>
        <v>0</v>
      </c>
      <c r="AB208" s="1204">
        <f t="shared" si="87"/>
        <v>0</v>
      </c>
      <c r="AC208" s="1186"/>
      <c r="AD208" s="1172"/>
    </row>
    <row r="209" spans="2:30" ht="76.5" x14ac:dyDescent="0.2">
      <c r="B209" s="2150"/>
      <c r="C209" s="1176" t="str">
        <f>'TRAD-Adults YEAR(1)'!B86</f>
        <v>Quantités de conditionnements nécessaires pour l'ensemble des patients initiés sur 1 mois</v>
      </c>
      <c r="D209" s="1205">
        <f>D208*D177</f>
        <v>0</v>
      </c>
      <c r="E209" s="1205">
        <f t="shared" ref="E209:AB209" si="88">E208*E177</f>
        <v>0</v>
      </c>
      <c r="F209" s="1205">
        <f t="shared" ref="F209" si="89">F208*F177</f>
        <v>0</v>
      </c>
      <c r="G209" s="1205">
        <f t="shared" si="88"/>
        <v>0</v>
      </c>
      <c r="H209" s="1205">
        <f t="shared" ref="H209" si="90">H208*H177</f>
        <v>0</v>
      </c>
      <c r="I209" s="1205">
        <f t="shared" si="88"/>
        <v>0</v>
      </c>
      <c r="J209" s="1205">
        <f t="shared" si="88"/>
        <v>0</v>
      </c>
      <c r="K209" s="1205">
        <f t="shared" si="88"/>
        <v>0</v>
      </c>
      <c r="L209" s="1205">
        <f t="shared" si="88"/>
        <v>35.361822223573149</v>
      </c>
      <c r="M209" s="1205">
        <f t="shared" si="88"/>
        <v>0</v>
      </c>
      <c r="N209" s="1205">
        <f t="shared" si="88"/>
        <v>0</v>
      </c>
      <c r="O209" s="1205">
        <f t="shared" si="88"/>
        <v>0</v>
      </c>
      <c r="P209" s="1205">
        <f t="shared" si="88"/>
        <v>0</v>
      </c>
      <c r="Q209" s="1205">
        <f t="shared" si="88"/>
        <v>0</v>
      </c>
      <c r="R209" s="1205">
        <f t="shared" si="88"/>
        <v>0</v>
      </c>
      <c r="S209" s="1205">
        <f t="shared" si="88"/>
        <v>0</v>
      </c>
      <c r="T209" s="1205">
        <f t="shared" si="88"/>
        <v>0</v>
      </c>
      <c r="U209" s="1205">
        <f t="shared" si="88"/>
        <v>35.361822223573149</v>
      </c>
      <c r="V209" s="1205">
        <f t="shared" si="88"/>
        <v>0</v>
      </c>
      <c r="W209" s="1205">
        <f t="shared" si="88"/>
        <v>0</v>
      </c>
      <c r="X209" s="1205">
        <f t="shared" si="88"/>
        <v>0</v>
      </c>
      <c r="Y209" s="1205">
        <f t="shared" si="88"/>
        <v>0</v>
      </c>
      <c r="Z209" s="1205">
        <f t="shared" si="88"/>
        <v>0</v>
      </c>
      <c r="AA209" s="1205">
        <f t="shared" si="88"/>
        <v>0</v>
      </c>
      <c r="AB209" s="1206">
        <f t="shared" si="88"/>
        <v>0</v>
      </c>
      <c r="AC209" s="1186"/>
      <c r="AD209" s="1172"/>
    </row>
    <row r="210" spans="2:30" ht="63.75" x14ac:dyDescent="0.2">
      <c r="B210" s="2150"/>
      <c r="C210" s="1176" t="str">
        <f>'TRAD-Adults YEAR(1)'!B87</f>
        <v>Quantités conditionnements nécessaires Spécificités 3èmes lignes pour 1 mois</v>
      </c>
      <c r="D210" s="1205">
        <f t="shared" ref="D210:AB210" si="91">(IF(D198="X", $AE$198*D179, "0")+IF(D198="A", $AE$198*D178*D179, "0"))*D177</f>
        <v>0</v>
      </c>
      <c r="E210" s="1205">
        <f t="shared" si="91"/>
        <v>0</v>
      </c>
      <c r="F210" s="1205">
        <f t="shared" si="91"/>
        <v>0</v>
      </c>
      <c r="G210" s="1205">
        <f t="shared" si="91"/>
        <v>0</v>
      </c>
      <c r="H210" s="1205">
        <f t="shared" si="91"/>
        <v>0</v>
      </c>
      <c r="I210" s="1205">
        <f t="shared" si="91"/>
        <v>0</v>
      </c>
      <c r="J210" s="1205">
        <f t="shared" si="91"/>
        <v>0</v>
      </c>
      <c r="K210" s="1205">
        <f t="shared" si="91"/>
        <v>0</v>
      </c>
      <c r="L210" s="1205">
        <f t="shared" si="91"/>
        <v>0</v>
      </c>
      <c r="M210" s="1205">
        <f t="shared" si="91"/>
        <v>0</v>
      </c>
      <c r="N210" s="1205">
        <f t="shared" si="91"/>
        <v>0</v>
      </c>
      <c r="O210" s="1205">
        <f t="shared" si="91"/>
        <v>0</v>
      </c>
      <c r="P210" s="1205">
        <f t="shared" si="91"/>
        <v>0</v>
      </c>
      <c r="Q210" s="1205">
        <f t="shared" si="91"/>
        <v>0</v>
      </c>
      <c r="R210" s="1205">
        <f t="shared" si="91"/>
        <v>0</v>
      </c>
      <c r="S210" s="1205">
        <f t="shared" si="91"/>
        <v>0</v>
      </c>
      <c r="T210" s="1205">
        <f t="shared" si="91"/>
        <v>0</v>
      </c>
      <c r="U210" s="1205">
        <f t="shared" si="91"/>
        <v>0</v>
      </c>
      <c r="V210" s="1205">
        <f t="shared" si="91"/>
        <v>0</v>
      </c>
      <c r="W210" s="1205">
        <f t="shared" si="91"/>
        <v>0</v>
      </c>
      <c r="X210" s="1205">
        <f t="shared" si="91"/>
        <v>0</v>
      </c>
      <c r="Y210" s="1205">
        <f t="shared" si="91"/>
        <v>0</v>
      </c>
      <c r="Z210" s="1205">
        <f t="shared" si="91"/>
        <v>0</v>
      </c>
      <c r="AA210" s="1205">
        <f t="shared" si="91"/>
        <v>0</v>
      </c>
      <c r="AB210" s="1206">
        <f t="shared" si="91"/>
        <v>0</v>
      </c>
      <c r="AC210" s="1186"/>
      <c r="AD210" s="1172"/>
    </row>
    <row r="211" spans="2:30" ht="51" x14ac:dyDescent="0.2">
      <c r="B211" s="2150"/>
      <c r="C211" s="1608" t="str">
        <f>'TRAD-Adults YEAR(1)'!B88</f>
        <v>Qtés conditionnements pour l'ensemble des patients initiés sur toute la période sans SS</v>
      </c>
      <c r="D211" s="1205">
        <f>(D209+D210)*$I$6</f>
        <v>0</v>
      </c>
      <c r="E211" s="1205">
        <f t="shared" ref="E211:AB211" si="92">(E209+E210)*$I$6</f>
        <v>0</v>
      </c>
      <c r="F211" s="1205">
        <f t="shared" ref="F211" si="93">(F209+F210)*$I$6</f>
        <v>0</v>
      </c>
      <c r="G211" s="1205">
        <f t="shared" si="92"/>
        <v>0</v>
      </c>
      <c r="H211" s="1205">
        <f t="shared" ref="H211" si="94">(H209+H210)*$I$6</f>
        <v>0</v>
      </c>
      <c r="I211" s="1205">
        <f t="shared" si="92"/>
        <v>0</v>
      </c>
      <c r="J211" s="1205">
        <f t="shared" si="92"/>
        <v>0</v>
      </c>
      <c r="K211" s="1205">
        <f t="shared" si="92"/>
        <v>0</v>
      </c>
      <c r="L211" s="1205">
        <f t="shared" si="92"/>
        <v>2758.2221334387054</v>
      </c>
      <c r="M211" s="1205">
        <f t="shared" si="92"/>
        <v>0</v>
      </c>
      <c r="N211" s="1205">
        <f t="shared" si="92"/>
        <v>0</v>
      </c>
      <c r="O211" s="1205">
        <f t="shared" si="92"/>
        <v>0</v>
      </c>
      <c r="P211" s="1205">
        <f t="shared" si="92"/>
        <v>0</v>
      </c>
      <c r="Q211" s="1205">
        <f t="shared" si="92"/>
        <v>0</v>
      </c>
      <c r="R211" s="1205">
        <f t="shared" si="92"/>
        <v>0</v>
      </c>
      <c r="S211" s="1205">
        <f t="shared" si="92"/>
        <v>0</v>
      </c>
      <c r="T211" s="1205">
        <f t="shared" si="92"/>
        <v>0</v>
      </c>
      <c r="U211" s="1205">
        <f t="shared" si="92"/>
        <v>2758.2221334387054</v>
      </c>
      <c r="V211" s="1205">
        <f t="shared" si="92"/>
        <v>0</v>
      </c>
      <c r="W211" s="1205">
        <f t="shared" si="92"/>
        <v>0</v>
      </c>
      <c r="X211" s="1205">
        <f t="shared" si="92"/>
        <v>0</v>
      </c>
      <c r="Y211" s="1205">
        <f t="shared" si="92"/>
        <v>0</v>
      </c>
      <c r="Z211" s="1205">
        <f t="shared" si="92"/>
        <v>0</v>
      </c>
      <c r="AA211" s="1205">
        <f t="shared" si="92"/>
        <v>0</v>
      </c>
      <c r="AB211" s="1206">
        <f t="shared" si="92"/>
        <v>0</v>
      </c>
      <c r="AC211" s="1186"/>
      <c r="AD211" s="1172"/>
    </row>
    <row r="212" spans="2:30" ht="51.75" thickBot="1" x14ac:dyDescent="0.25">
      <c r="B212" s="2151"/>
      <c r="C212" s="1608" t="str">
        <f>'TRAD-Adults YEAR(1)'!B89</f>
        <v>Qtés conditionnements pour l'ensemble des patients initiés sur toute la période avec SS</v>
      </c>
      <c r="D212" s="1207">
        <f>(D209+D210)*$I$7</f>
        <v>0</v>
      </c>
      <c r="E212" s="1207">
        <f t="shared" ref="E212:AB212" si="95">(E209+E210)*$I$7</f>
        <v>0</v>
      </c>
      <c r="F212" s="1207">
        <f t="shared" ref="F212" si="96">(F209+F210)*$I$7</f>
        <v>0</v>
      </c>
      <c r="G212" s="1207">
        <f t="shared" si="95"/>
        <v>0</v>
      </c>
      <c r="H212" s="1207">
        <f t="shared" ref="H212" si="97">(H209+H210)*$I$7</f>
        <v>0</v>
      </c>
      <c r="I212" s="1207">
        <f t="shared" si="95"/>
        <v>0</v>
      </c>
      <c r="J212" s="1207">
        <f t="shared" si="95"/>
        <v>0</v>
      </c>
      <c r="K212" s="1207">
        <f t="shared" si="95"/>
        <v>0</v>
      </c>
      <c r="L212" s="1207">
        <f t="shared" si="95"/>
        <v>4243.4186668287775</v>
      </c>
      <c r="M212" s="1207">
        <f t="shared" si="95"/>
        <v>0</v>
      </c>
      <c r="N212" s="1207">
        <f t="shared" si="95"/>
        <v>0</v>
      </c>
      <c r="O212" s="1207">
        <f t="shared" si="95"/>
        <v>0</v>
      </c>
      <c r="P212" s="1207">
        <f t="shared" si="95"/>
        <v>0</v>
      </c>
      <c r="Q212" s="1207">
        <f t="shared" si="95"/>
        <v>0</v>
      </c>
      <c r="R212" s="1207">
        <f t="shared" si="95"/>
        <v>0</v>
      </c>
      <c r="S212" s="1207">
        <f t="shared" si="95"/>
        <v>0</v>
      </c>
      <c r="T212" s="1207">
        <f t="shared" si="95"/>
        <v>0</v>
      </c>
      <c r="U212" s="1207">
        <f t="shared" si="95"/>
        <v>4243.4186668287775</v>
      </c>
      <c r="V212" s="1207">
        <f t="shared" si="95"/>
        <v>0</v>
      </c>
      <c r="W212" s="1207">
        <f t="shared" si="95"/>
        <v>0</v>
      </c>
      <c r="X212" s="1207">
        <f t="shared" si="95"/>
        <v>0</v>
      </c>
      <c r="Y212" s="1207">
        <f t="shared" si="95"/>
        <v>0</v>
      </c>
      <c r="Z212" s="1207">
        <f t="shared" si="95"/>
        <v>0</v>
      </c>
      <c r="AA212" s="1207">
        <f t="shared" si="95"/>
        <v>0</v>
      </c>
      <c r="AB212" s="1208">
        <f t="shared" si="95"/>
        <v>0</v>
      </c>
      <c r="AC212" s="1186"/>
      <c r="AD212" s="1172"/>
    </row>
    <row r="213" spans="2:30" ht="26.25" thickBot="1" x14ac:dyDescent="0.25">
      <c r="B213" s="2152" t="str">
        <f>'TRAD-Adults YEAR(1)'!B96</f>
        <v>Initiation NVP</v>
      </c>
      <c r="C213" s="1189" t="str">
        <f>'TRAD-Adults YEAR(1)'!B98</f>
        <v>Besoins pour initiation NVP sans SS</v>
      </c>
      <c r="D213" s="1203">
        <f>IF('Data &amp; hypothesis Adults'!D184="X", 'Adults YEAR1'!AD181*0.25, "0")*$D$6</f>
        <v>61.800000000000004</v>
      </c>
      <c r="E213" s="1203"/>
      <c r="F213" s="1582"/>
      <c r="G213" s="1203">
        <f>IF('Data &amp; hypothesis Adults'!D184="X", 'Adults YEAR1'!AD181*0.25, IF('Data &amp; hypothesis Adults'!D185="X", 'Adults YEAR1'!AD181*0.5, "0"))*$D$6</f>
        <v>61.800000000000004</v>
      </c>
      <c r="H213" s="1582"/>
      <c r="I213" s="1203">
        <f>IF('Data &amp; hypothesis Adults'!D186="X", 'Adults YEAR1'!AD186*0.25, "0")*$D$6</f>
        <v>0</v>
      </c>
      <c r="J213" s="1203">
        <f>IF('Data &amp; hypothesis Adults'!D186="X", 'Adults YEAR1'!AD186*0.25, IF('Data &amp; hypothesis Adults'!D187="X", 'Adults YEAR1'!AD186*0.5, "0"))*$D$6</f>
        <v>0</v>
      </c>
      <c r="K213" s="1203"/>
      <c r="L213" s="1203"/>
      <c r="M213" s="1203"/>
      <c r="N213" s="1203">
        <f>(IF('Data &amp; hypothesis Adults'!D185="X",'Adults YEAR1'!AD181*0.25,"0")+IF('Data &amp; hypothesis Adults'!D187="X",'Adults YEAR1'!AD186*0.25,"0"))*$D$6</f>
        <v>0</v>
      </c>
      <c r="O213" s="1203"/>
      <c r="P213" s="1203"/>
      <c r="Q213" s="1203"/>
      <c r="R213" s="1203"/>
      <c r="S213" s="1203"/>
      <c r="T213" s="1203"/>
      <c r="U213" s="1203"/>
      <c r="V213" s="1203"/>
      <c r="W213" s="1203"/>
      <c r="X213" s="1203"/>
      <c r="Y213" s="1203"/>
      <c r="Z213" s="1203"/>
      <c r="AA213" s="1203"/>
      <c r="AB213" s="1204"/>
      <c r="AC213" s="1186"/>
      <c r="AD213" s="1172"/>
    </row>
    <row r="214" spans="2:30" ht="26.25" thickBot="1" x14ac:dyDescent="0.25">
      <c r="B214" s="2153"/>
      <c r="C214" s="1189" t="str">
        <f>'TRAD-Adults YEAR(1)'!B99</f>
        <v>Besoins pour initiation NVP avec SS</v>
      </c>
      <c r="D214" s="1209">
        <f>IF('Data &amp; hypothesis Adults'!D184="X", 'Adults YEAR1'!AD181*0.25, "0")*$D$7</f>
        <v>77.25</v>
      </c>
      <c r="E214" s="1209"/>
      <c r="F214" s="1209"/>
      <c r="G214" s="1209">
        <f>IF('Data &amp; hypothesis Adults'!D184="X", 'Adults YEAR1'!AD181*0.25, IF('Data &amp; hypothesis Adults'!D185="X", 'Adults YEAR1'!AD181*0.5, "0"))*$D$7</f>
        <v>77.25</v>
      </c>
      <c r="H214" s="1209"/>
      <c r="I214" s="1209">
        <f>IF('Data &amp; hypothesis Adults'!D186="X", 'Adults YEAR1'!AD186*0.25, "0")*$D$7</f>
        <v>0</v>
      </c>
      <c r="J214" s="1209">
        <f>IF('Data &amp; hypothesis Adults'!D186="X", 'Adults YEAR1'!AD186*0.25, IF('Data &amp; hypothesis Adults'!D187="X", 'Adults YEAR1'!AD186*0.5, "0"))*$D$7</f>
        <v>0</v>
      </c>
      <c r="K214" s="1209"/>
      <c r="L214" s="1209"/>
      <c r="M214" s="1209"/>
      <c r="N214" s="1209">
        <f>(IF('Data &amp; hypothesis Adults'!D185="X",'Adults YEAR1'!AD181*0.25,"0")+IF('Data &amp; hypothesis Adults'!D187="X",'Adults YEAR1'!AD186*0.25,"0"))*$D$7</f>
        <v>0</v>
      </c>
      <c r="O214" s="1209"/>
      <c r="P214" s="1209"/>
      <c r="Q214" s="1209"/>
      <c r="R214" s="1209"/>
      <c r="S214" s="1209"/>
      <c r="T214" s="1209"/>
      <c r="U214" s="1209"/>
      <c r="V214" s="1209"/>
      <c r="W214" s="1209"/>
      <c r="X214" s="1209"/>
      <c r="Y214" s="1209"/>
      <c r="Z214" s="1209"/>
      <c r="AA214" s="1209"/>
      <c r="AB214" s="1210"/>
      <c r="AC214" s="1186"/>
      <c r="AD214" s="1172"/>
    </row>
    <row r="215" spans="2:30" ht="75.75" thickBot="1" x14ac:dyDescent="0.3">
      <c r="B215" s="1201" t="str">
        <f>'TRAD-Adults YEAR(1)'!B97</f>
        <v>Défalcation retrait du passage en 2ème sur les 1ères lignes (ATTENTION négatif)</v>
      </c>
      <c r="C215" s="1189" t="str">
        <f>'TRAD-Adults YEAR(1)'!B100</f>
        <v>Défalcation sans SS</v>
      </c>
      <c r="D215" s="1203" t="str">
        <f>IF('Data &amp; hypothesis Adults'!$G$124="X", SUMIF(D181:D198, "X", $AF181:$AF198)*$I$6*'Data &amp; hypothesis Adults'!$G$126*D177, "0")</f>
        <v>0</v>
      </c>
      <c r="E215" s="1203" t="str">
        <f>IF('Data &amp; hypothesis Adults'!$G$124="X", SUMIF(E181:E198, "X", $AF181:$AF198)*$I$6*'Data &amp; hypothesis Adults'!$G$126*E177, "0")</f>
        <v>0</v>
      </c>
      <c r="F215" s="1203" t="str">
        <f>IF('Data &amp; hypothesis Adults'!$G$124="X", SUMIF(F181:F198, "X", $AF181:$AF198)*$I$6*'Data &amp; hypothesis Adults'!$G$126*F177, "0")</f>
        <v>0</v>
      </c>
      <c r="G215" s="1203" t="str">
        <f>IF('Data &amp; hypothesis Adults'!$G$124="X", SUMIF(G181:G198, "X", $AF181:$AF198)*$I$6*'Data &amp; hypothesis Adults'!$G$126*G177, "0")</f>
        <v>0</v>
      </c>
      <c r="H215" s="1203" t="str">
        <f>IF('Data &amp; hypothesis Adults'!$G$124="X", SUMIF(H181:H198, "X", $AF181:$AF198)*$I$6*'Data &amp; hypothesis Adults'!$G$126*H177, "0")</f>
        <v>0</v>
      </c>
      <c r="I215" s="1203" t="str">
        <f>IF('Data &amp; hypothesis Adults'!$G$124="X", SUMIF(I181:I198, "X", $AF181:$AF198)*$I$6*'Data &amp; hypothesis Adults'!$G$126*I177, "0")</f>
        <v>0</v>
      </c>
      <c r="J215" s="1203" t="str">
        <f>IF('Data &amp; hypothesis Adults'!$G$124="X", SUMIF(J181:J198, "X", $AF181:$AF198)*$I$6*'Data &amp; hypothesis Adults'!$G$126*J177, "0")</f>
        <v>0</v>
      </c>
      <c r="K215" s="1203" t="str">
        <f>IF('Data &amp; hypothesis Adults'!$G$124="X", SUMIF(K181:K198, "X", $AF181:$AF198)*$I$6*'Data &amp; hypothesis Adults'!$G$126*K177, "0")</f>
        <v>0</v>
      </c>
      <c r="L215" s="1203" t="str">
        <f>IF('Data &amp; hypothesis Adults'!$G$124="X", SUMIF(L181:L198, "X", $AF181:$AF198)*$I$6*'Data &amp; hypothesis Adults'!$G$126*L177, "0")</f>
        <v>0</v>
      </c>
      <c r="M215" s="1203" t="str">
        <f>IF('Data &amp; hypothesis Adults'!$G$124="X", SUMIF(M181:M198, "X", $AF181:$AF198)*$I$6*'Data &amp; hypothesis Adults'!$G$126*M177, "0")</f>
        <v>0</v>
      </c>
      <c r="N215" s="1203" t="str">
        <f>IF('Data &amp; hypothesis Adults'!$G$124="X", SUMIF(N181:N198, "X", $AF181:$AF198)*$I$6*'Data &amp; hypothesis Adults'!$G$126*N177, "0")</f>
        <v>0</v>
      </c>
      <c r="O215" s="1203" t="str">
        <f>IF('Data &amp; hypothesis Adults'!$G$124="X", SUMIF(O181:O198, "X", $AF181:$AF198)*$I$6*'Data &amp; hypothesis Adults'!$G$126*O177, "0")</f>
        <v>0</v>
      </c>
      <c r="P215" s="1203" t="str">
        <f>IF('Data &amp; hypothesis Adults'!$G$124="X", SUMIF(P181:P198, "X", $AF181:$AF198)*$I$6*'Data &amp; hypothesis Adults'!$G$126*P177, "0")</f>
        <v>0</v>
      </c>
      <c r="Q215" s="1203" t="str">
        <f>IF('Data &amp; hypothesis Adults'!$G$124="X", SUMIF(Q181:Q198, "X", $AF181:$AF198)*$I$6*'Data &amp; hypothesis Adults'!$G$126*Q177, "0")</f>
        <v>0</v>
      </c>
      <c r="R215" s="1203" t="str">
        <f>IF('Data &amp; hypothesis Adults'!$G$124="X", SUMIF(R181:R198, "X", $AF181:$AF198)*$I$6*'Data &amp; hypothesis Adults'!$G$126*R177, "0")</f>
        <v>0</v>
      </c>
      <c r="S215" s="1203" t="str">
        <f>IF('Data &amp; hypothesis Adults'!$G$124="X", SUMIF(S181:S198, "X", $AF181:$AF198)*$I$6*'Data &amp; hypothesis Adults'!$G$126*S177, "0")</f>
        <v>0</v>
      </c>
      <c r="T215" s="1203" t="str">
        <f>IF('Data &amp; hypothesis Adults'!$G$124="X", SUMIF(T181:T198, "X", $AF181:$AF198)*$I$6*'Data &amp; hypothesis Adults'!$G$126*T177, "0")</f>
        <v>0</v>
      </c>
      <c r="U215" s="1203" t="str">
        <f>IF('Data &amp; hypothesis Adults'!$G$124="X", SUMIF(U181:U198, "X", $AF181:$AF198)*$I$6*'Data &amp; hypothesis Adults'!$G$126*U177, "0")</f>
        <v>0</v>
      </c>
      <c r="V215" s="1203" t="str">
        <f>IF('Data &amp; hypothesis Adults'!$G$124="X", SUMIF(V181:V198, "X", $AF181:$AF198)*$I$6*'Data &amp; hypothesis Adults'!$G$126*V177, "0")</f>
        <v>0</v>
      </c>
      <c r="W215" s="1203" t="str">
        <f>IF('Data &amp; hypothesis Adults'!$G$124="X", SUMIF(W181:W198, "X", $AF181:$AF198)*$I$6*'Data &amp; hypothesis Adults'!$G$126*W177, "0")</f>
        <v>0</v>
      </c>
      <c r="X215" s="1203" t="str">
        <f>IF('Data &amp; hypothesis Adults'!$G$124="X", SUMIF(X181:X198, "X", $AF181:$AF198)*$I$6*'Data &amp; hypothesis Adults'!$G$126*X177, "0")</f>
        <v>0</v>
      </c>
      <c r="Y215" s="1203" t="str">
        <f>IF('Data &amp; hypothesis Adults'!$G$124="X", SUMIF(Y181:Y198, "X", $AF181:$AF198)*$I$6*'Data &amp; hypothesis Adults'!$G$126*Y177, "0")</f>
        <v>0</v>
      </c>
      <c r="Z215" s="1203" t="str">
        <f>IF('Data &amp; hypothesis Adults'!$G$124="X", SUMIF(Z181:Z198, "X", $AF181:$AF198)*$I$6*'Data &amp; hypothesis Adults'!$G$126*Z177, "0")</f>
        <v>0</v>
      </c>
      <c r="AA215" s="1203" t="str">
        <f>IF('Data &amp; hypothesis Adults'!$G$124="X", SUMIF(AA181:AA198, "X", $AF181:$AF198)*$I$6*'Data &amp; hypothesis Adults'!$G$126*AA177, "0")</f>
        <v>0</v>
      </c>
      <c r="AB215" s="1204" t="str">
        <f>IF('Data &amp; hypothesis Adults'!$G$124="X", SUMIF(AB181:AB198, "X", $AF181:$AF198)*$I$6*'Data &amp; hypothesis Adults'!$G$126*AB177, "0")</f>
        <v>0</v>
      </c>
      <c r="AC215" s="1186"/>
      <c r="AD215" s="1172"/>
    </row>
    <row r="216" spans="2:30" ht="15.75" thickBot="1" x14ac:dyDescent="0.3">
      <c r="B216" s="1202"/>
      <c r="C216" s="1189" t="str">
        <f>'TRAD-Adults YEAR(1)'!B101</f>
        <v>Défalcation avec SS</v>
      </c>
      <c r="D216" s="1207" t="str">
        <f>IF('Data &amp; hypothesis Adults'!$G$124="X", SUMIF(D181:D198, "X", $AF181:$AF198)*$I$7*'Data &amp; hypothesis Adults'!$G$126*D177, "0")</f>
        <v>0</v>
      </c>
      <c r="E216" s="1207" t="str">
        <f>IF('Data &amp; hypothesis Adults'!$G$124="X", SUMIF(E181:E198, "X", $AF181:$AF198)*$I$7*'Data &amp; hypothesis Adults'!$G$126*E177, "0")</f>
        <v>0</v>
      </c>
      <c r="F216" s="1207" t="str">
        <f>IF('Data &amp; hypothesis Adults'!$G$124="X", SUMIF(F181:F198, "X", $AF181:$AF198)*$I$7*'Data &amp; hypothesis Adults'!$G$126*F177, "0")</f>
        <v>0</v>
      </c>
      <c r="G216" s="1207" t="str">
        <f>IF('Data &amp; hypothesis Adults'!$G$124="X", SUMIF(G181:G198, "X", $AF181:$AF198)*$I$7*'Data &amp; hypothesis Adults'!$G$126*G177, "0")</f>
        <v>0</v>
      </c>
      <c r="H216" s="1207" t="str">
        <f>IF('Data &amp; hypothesis Adults'!$G$124="X", SUMIF(H181:H198, "X", $AF181:$AF198)*$I$7*'Data &amp; hypothesis Adults'!$G$126*H177, "0")</f>
        <v>0</v>
      </c>
      <c r="I216" s="1207" t="str">
        <f>IF('Data &amp; hypothesis Adults'!$G$124="X", SUMIF(I181:I198, "X", $AF181:$AF198)*$I$7*'Data &amp; hypothesis Adults'!$G$126*I177, "0")</f>
        <v>0</v>
      </c>
      <c r="J216" s="1207" t="str">
        <f>IF('Data &amp; hypothesis Adults'!$G$124="X", SUMIF(J181:J198, "X", $AF181:$AF198)*$I$7*'Data &amp; hypothesis Adults'!$G$126*J177, "0")</f>
        <v>0</v>
      </c>
      <c r="K216" s="1207" t="str">
        <f>IF('Data &amp; hypothesis Adults'!$G$124="X", SUMIF(K181:K198, "X", $AF181:$AF198)*$I$7*'Data &amp; hypothesis Adults'!$G$126*K177, "0")</f>
        <v>0</v>
      </c>
      <c r="L216" s="1207" t="str">
        <f>IF('Data &amp; hypothesis Adults'!$G$124="X", SUMIF(L181:L198, "X", $AF181:$AF198)*$I$7*'Data &amp; hypothesis Adults'!$G$126*L177, "0")</f>
        <v>0</v>
      </c>
      <c r="M216" s="1207" t="str">
        <f>IF('Data &amp; hypothesis Adults'!$G$124="X", SUMIF(M181:M198, "X", $AF181:$AF198)*$I$7*'Data &amp; hypothesis Adults'!$G$126*M177, "0")</f>
        <v>0</v>
      </c>
      <c r="N216" s="1207" t="str">
        <f>IF('Data &amp; hypothesis Adults'!$G$124="X", SUMIF(N181:N198, "X", $AF181:$AF198)*$I$7*'Data &amp; hypothesis Adults'!$G$126*N177, "0")</f>
        <v>0</v>
      </c>
      <c r="O216" s="1207" t="str">
        <f>IF('Data &amp; hypothesis Adults'!$G$124="X", SUMIF(O181:O198, "X", $AF181:$AF198)*$I$7*'Data &amp; hypothesis Adults'!$G$126*O177, "0")</f>
        <v>0</v>
      </c>
      <c r="P216" s="1207" t="str">
        <f>IF('Data &amp; hypothesis Adults'!$G$124="X", SUMIF(P181:P198, "X", $AF181:$AF198)*$I$7*'Data &amp; hypothesis Adults'!$G$126*P177, "0")</f>
        <v>0</v>
      </c>
      <c r="Q216" s="1207" t="str">
        <f>IF('Data &amp; hypothesis Adults'!$G$124="X", SUMIF(Q181:Q198, "X", $AF181:$AF198)*$I$7*'Data &amp; hypothesis Adults'!$G$126*Q177, "0")</f>
        <v>0</v>
      </c>
      <c r="R216" s="1207" t="str">
        <f>IF('Data &amp; hypothesis Adults'!$G$124="X", SUMIF(R181:R198, "X", $AF181:$AF198)*$I$7*'Data &amp; hypothesis Adults'!$G$126*R177, "0")</f>
        <v>0</v>
      </c>
      <c r="S216" s="1207" t="str">
        <f>IF('Data &amp; hypothesis Adults'!$G$124="X", SUMIF(S181:S198, "X", $AF181:$AF198)*$I$7*'Data &amp; hypothesis Adults'!$G$126*S177, "0")</f>
        <v>0</v>
      </c>
      <c r="T216" s="1207" t="str">
        <f>IF('Data &amp; hypothesis Adults'!$G$124="X", SUMIF(T181:T198, "X", $AF181:$AF198)*$I$7*'Data &amp; hypothesis Adults'!$G$126*T177, "0")</f>
        <v>0</v>
      </c>
      <c r="U216" s="1207" t="str">
        <f>IF('Data &amp; hypothesis Adults'!$G$124="X", SUMIF(U181:U198, "X", $AF181:$AF198)*$I$7*'Data &amp; hypothesis Adults'!$G$126*U177, "0")</f>
        <v>0</v>
      </c>
      <c r="V216" s="1207" t="str">
        <f>IF('Data &amp; hypothesis Adults'!$G$124="X", SUMIF(V181:V198, "X", $AF181:$AF198)*$I$7*'Data &amp; hypothesis Adults'!$G$126*V177, "0")</f>
        <v>0</v>
      </c>
      <c r="W216" s="1207" t="str">
        <f>IF('Data &amp; hypothesis Adults'!$G$124="X", SUMIF(W181:W198, "X", $AF181:$AF198)*$I$7*'Data &amp; hypothesis Adults'!$G$126*W177, "0")</f>
        <v>0</v>
      </c>
      <c r="X216" s="1207" t="str">
        <f>IF('Data &amp; hypothesis Adults'!$G$124="X", SUMIF(X181:X198, "X", $AF181:$AF198)*$I$7*'Data &amp; hypothesis Adults'!$G$126*X177, "0")</f>
        <v>0</v>
      </c>
      <c r="Y216" s="1207" t="str">
        <f>IF('Data &amp; hypothesis Adults'!$G$124="X", SUMIF(Y181:Y198, "X", $AF181:$AF198)*$I$7*'Data &amp; hypothesis Adults'!$G$126*Y177, "0")</f>
        <v>0</v>
      </c>
      <c r="Z216" s="1207" t="str">
        <f>IF('Data &amp; hypothesis Adults'!$G$124="X", SUMIF(Z181:Z198, "X", $AF181:$AF198)*$I$7*'Data &amp; hypothesis Adults'!$G$126*Z177, "0")</f>
        <v>0</v>
      </c>
      <c r="AA216" s="1207" t="str">
        <f>IF('Data &amp; hypothesis Adults'!$G$124="X", SUMIF(AA181:AA198, "X", $AF181:$AF198)*$I$7*'Data &amp; hypothesis Adults'!$G$126*AA177, "0")</f>
        <v>0</v>
      </c>
      <c r="AB216" s="1208" t="str">
        <f>IF('Data &amp; hypothesis Adults'!$G$124="X", SUMIF(AB181:AB198, "X", $AF181:$AF198)*$I$7*'Data &amp; hypothesis Adults'!$G$126*AB177, "0")</f>
        <v>0</v>
      </c>
      <c r="AC216" s="1186"/>
      <c r="AD216" s="1172"/>
    </row>
    <row r="217" spans="2:30" ht="15.75" thickBot="1" x14ac:dyDescent="0.3">
      <c r="B217" s="1170" t="s">
        <v>6</v>
      </c>
      <c r="C217" s="1189" t="str">
        <f>'TRAD-Adults YEAR(1)'!B102</f>
        <v>Besoins totaux hors SS</v>
      </c>
      <c r="D217" s="1191">
        <f>D201+D206+D211+D213-D215</f>
        <v>128018.18400000001</v>
      </c>
      <c r="E217" s="1191">
        <f t="shared" ref="E217:AB217" si="98">E201+E206+E211+E213-E215</f>
        <v>670.39200000000005</v>
      </c>
      <c r="F217" s="1191">
        <f t="shared" ref="F217" si="99">F201+F206+F211+F213-F215</f>
        <v>0</v>
      </c>
      <c r="G217" s="1191">
        <f t="shared" si="98"/>
        <v>24627.047999999999</v>
      </c>
      <c r="H217" s="1191">
        <f t="shared" ref="H217" si="100">H201+H206+H211+H213-H215</f>
        <v>523.548</v>
      </c>
      <c r="I217" s="1191">
        <f t="shared" si="98"/>
        <v>0</v>
      </c>
      <c r="J217" s="1191">
        <f t="shared" si="98"/>
        <v>0</v>
      </c>
      <c r="K217" s="1191">
        <f t="shared" si="98"/>
        <v>47016.72</v>
      </c>
      <c r="L217" s="1191">
        <f t="shared" si="98"/>
        <v>8168.2181334387042</v>
      </c>
      <c r="M217" s="1191">
        <f t="shared" si="98"/>
        <v>17088.731999999996</v>
      </c>
      <c r="N217" s="1191">
        <f t="shared" si="98"/>
        <v>0</v>
      </c>
      <c r="O217" s="1191">
        <f t="shared" si="98"/>
        <v>0</v>
      </c>
      <c r="P217" s="1191">
        <f t="shared" si="98"/>
        <v>0</v>
      </c>
      <c r="Q217" s="1191">
        <f t="shared" si="98"/>
        <v>0</v>
      </c>
      <c r="R217" s="1191">
        <f t="shared" si="98"/>
        <v>0</v>
      </c>
      <c r="S217" s="1191">
        <f t="shared" si="98"/>
        <v>0</v>
      </c>
      <c r="T217" s="1191">
        <f t="shared" si="98"/>
        <v>0</v>
      </c>
      <c r="U217" s="1191">
        <f t="shared" si="98"/>
        <v>15749.443733438706</v>
      </c>
      <c r="V217" s="1191">
        <f t="shared" si="98"/>
        <v>0</v>
      </c>
      <c r="W217" s="1191">
        <f t="shared" si="98"/>
        <v>0</v>
      </c>
      <c r="X217" s="1191">
        <f t="shared" si="98"/>
        <v>0</v>
      </c>
      <c r="Y217" s="1191">
        <f t="shared" si="98"/>
        <v>418.83839999999998</v>
      </c>
      <c r="Z217" s="1191">
        <f t="shared" si="98"/>
        <v>0</v>
      </c>
      <c r="AA217" s="1191">
        <f t="shared" si="98"/>
        <v>0</v>
      </c>
      <c r="AB217" s="1191">
        <f t="shared" si="98"/>
        <v>0</v>
      </c>
      <c r="AC217" s="1172"/>
      <c r="AD217" s="1172"/>
    </row>
    <row r="218" spans="2:30" ht="27.75" customHeight="1" thickBot="1" x14ac:dyDescent="0.25">
      <c r="B218"/>
      <c r="C218" s="1189" t="str">
        <f>'TRAD-Adults YEAR(1)'!B103</f>
        <v>Besoins totaux avec SS</v>
      </c>
      <c r="D218" s="1191">
        <f>D202+D207+D212+D214-D216</f>
        <v>160486.22999999998</v>
      </c>
      <c r="E218" s="1180">
        <f t="shared" ref="E218:AB218" si="101">E202+E207+E212+E214-E216</f>
        <v>930.69</v>
      </c>
      <c r="F218" s="1180">
        <f t="shared" ref="F218" si="102">F202+F207+F212+F214-F216</f>
        <v>0</v>
      </c>
      <c r="G218" s="1180">
        <f t="shared" si="101"/>
        <v>30922.859999999993</v>
      </c>
      <c r="H218" s="1180">
        <f t="shared" ref="H218" si="103">H202+H207+H212+H214-H216</f>
        <v>654.43499999999995</v>
      </c>
      <c r="I218" s="1180">
        <f t="shared" si="101"/>
        <v>0</v>
      </c>
      <c r="J218" s="1180">
        <f t="shared" si="101"/>
        <v>0</v>
      </c>
      <c r="K218" s="1180">
        <f t="shared" si="101"/>
        <v>67299.3</v>
      </c>
      <c r="L218" s="1180">
        <f t="shared" si="101"/>
        <v>11005.913666828777</v>
      </c>
      <c r="M218" s="1180">
        <f t="shared" si="101"/>
        <v>21407.264999999999</v>
      </c>
      <c r="N218" s="1180">
        <f t="shared" si="101"/>
        <v>0</v>
      </c>
      <c r="O218" s="1180">
        <f t="shared" si="101"/>
        <v>0</v>
      </c>
      <c r="P218" s="1180">
        <f t="shared" si="101"/>
        <v>0</v>
      </c>
      <c r="Q218" s="1180">
        <f t="shared" si="101"/>
        <v>0</v>
      </c>
      <c r="R218" s="1180">
        <f t="shared" si="101"/>
        <v>0</v>
      </c>
      <c r="S218" s="1180">
        <f t="shared" si="101"/>
        <v>0</v>
      </c>
      <c r="T218" s="1180">
        <f t="shared" si="101"/>
        <v>0</v>
      </c>
      <c r="U218" s="1180">
        <f t="shared" si="101"/>
        <v>20575.145666828776</v>
      </c>
      <c r="V218" s="1180">
        <f t="shared" si="101"/>
        <v>0</v>
      </c>
      <c r="W218" s="1180">
        <f t="shared" si="101"/>
        <v>0</v>
      </c>
      <c r="X218" s="1180">
        <f t="shared" si="101"/>
        <v>0</v>
      </c>
      <c r="Y218" s="1180">
        <f t="shared" si="101"/>
        <v>523.548</v>
      </c>
      <c r="Z218" s="1180">
        <f t="shared" si="101"/>
        <v>0</v>
      </c>
      <c r="AA218" s="1180">
        <f t="shared" si="101"/>
        <v>0</v>
      </c>
      <c r="AB218" s="1180">
        <f t="shared" si="101"/>
        <v>0</v>
      </c>
      <c r="AC218" s="1172"/>
      <c r="AD218" s="1172"/>
    </row>
    <row r="219" spans="2:30" ht="39.75" customHeight="1" x14ac:dyDescent="0.2">
      <c r="B219"/>
      <c r="C219" s="1189" t="str">
        <f>'TRAD-Adults YEAR(1)'!B104</f>
        <v>Quantités nécessaire sur le SS</v>
      </c>
      <c r="D219" s="1181">
        <f>D218-D217</f>
        <v>32468.045999999973</v>
      </c>
      <c r="E219" s="1181">
        <f t="shared" ref="E219:AB219" si="104">E218-E217</f>
        <v>260.298</v>
      </c>
      <c r="F219" s="1181">
        <f t="shared" ref="F219" si="105">F218-F217</f>
        <v>0</v>
      </c>
      <c r="G219" s="1181">
        <f t="shared" si="104"/>
        <v>6295.8119999999944</v>
      </c>
      <c r="H219" s="1181">
        <f t="shared" ref="H219" si="106">H218-H217</f>
        <v>130.88699999999994</v>
      </c>
      <c r="I219" s="1181">
        <f t="shared" si="104"/>
        <v>0</v>
      </c>
      <c r="J219" s="1181">
        <f t="shared" si="104"/>
        <v>0</v>
      </c>
      <c r="K219" s="1181">
        <f t="shared" si="104"/>
        <v>20282.580000000002</v>
      </c>
      <c r="L219" s="1181">
        <f t="shared" si="104"/>
        <v>2837.6955333900733</v>
      </c>
      <c r="M219" s="1181">
        <f t="shared" si="104"/>
        <v>4318.5330000000031</v>
      </c>
      <c r="N219" s="1181">
        <f t="shared" si="104"/>
        <v>0</v>
      </c>
      <c r="O219" s="1181">
        <f t="shared" si="104"/>
        <v>0</v>
      </c>
      <c r="P219" s="1181">
        <f t="shared" si="104"/>
        <v>0</v>
      </c>
      <c r="Q219" s="1181">
        <f t="shared" si="104"/>
        <v>0</v>
      </c>
      <c r="R219" s="1181">
        <f t="shared" si="104"/>
        <v>0</v>
      </c>
      <c r="S219" s="1181">
        <f t="shared" si="104"/>
        <v>0</v>
      </c>
      <c r="T219" s="1181">
        <f t="shared" si="104"/>
        <v>0</v>
      </c>
      <c r="U219" s="1181">
        <f t="shared" si="104"/>
        <v>4825.7019333900698</v>
      </c>
      <c r="V219" s="1181">
        <f t="shared" si="104"/>
        <v>0</v>
      </c>
      <c r="W219" s="1181">
        <f t="shared" si="104"/>
        <v>0</v>
      </c>
      <c r="X219" s="1181">
        <f t="shared" si="104"/>
        <v>0</v>
      </c>
      <c r="Y219" s="1181">
        <f t="shared" si="104"/>
        <v>104.70960000000002</v>
      </c>
      <c r="Z219" s="1181">
        <f t="shared" si="104"/>
        <v>0</v>
      </c>
      <c r="AA219" s="1181">
        <f t="shared" si="104"/>
        <v>0</v>
      </c>
      <c r="AB219" s="1181">
        <f t="shared" si="104"/>
        <v>0</v>
      </c>
      <c r="AC219" s="1172"/>
      <c r="AD219" s="1172"/>
    </row>
    <row r="220" spans="2:30" x14ac:dyDescent="0.2">
      <c r="B220"/>
      <c r="C220" s="1248"/>
      <c r="D220" s="1249"/>
      <c r="E220" s="1249"/>
      <c r="F220" s="1249"/>
      <c r="G220" s="1249"/>
      <c r="H220" s="1249"/>
      <c r="I220" s="1249"/>
      <c r="J220" s="1249"/>
      <c r="K220" s="1249"/>
      <c r="L220" s="1249"/>
      <c r="M220" s="1249"/>
      <c r="N220" s="1249"/>
      <c r="O220" s="1249"/>
      <c r="P220" s="1249"/>
      <c r="Q220" s="1249"/>
      <c r="R220" s="1249"/>
      <c r="S220" s="1249"/>
      <c r="T220" s="1249"/>
      <c r="U220" s="1249"/>
      <c r="V220" s="1249"/>
      <c r="W220" s="1249"/>
      <c r="X220" s="1249"/>
      <c r="Y220" s="1249"/>
      <c r="Z220" s="1249"/>
      <c r="AA220" s="1249"/>
      <c r="AB220" s="1249"/>
      <c r="AC220" s="497"/>
      <c r="AD220" s="497"/>
    </row>
    <row r="222" spans="2:30" ht="15" x14ac:dyDescent="0.2">
      <c r="B222" s="2143" t="str">
        <f>'TRAD-Adults YEAR(1)'!B105</f>
        <v>Synthèse</v>
      </c>
      <c r="C222" s="2143"/>
      <c r="D222" s="2143"/>
      <c r="E222" s="2143"/>
      <c r="F222" s="2143"/>
      <c r="G222" s="1158"/>
      <c r="H222" s="1158"/>
      <c r="I222" s="1158"/>
      <c r="J222" s="1158"/>
      <c r="K222" s="1158"/>
      <c r="L222" s="2143"/>
      <c r="M222" s="2143"/>
      <c r="N222" s="1158"/>
    </row>
    <row r="223" spans="2:30" ht="13.5" thickBot="1" x14ac:dyDescent="0.25"/>
    <row r="224" spans="2:30" ht="13.5" thickBot="1" x14ac:dyDescent="0.25">
      <c r="I224" s="803"/>
      <c r="J224" s="2141" t="str">
        <f>'TRAD-Adults YEAR(1)'!B113</f>
        <v>Calculs SANS marge de sécurité</v>
      </c>
      <c r="K224" s="2142"/>
      <c r="L224" s="2142"/>
      <c r="M224" s="2142"/>
      <c r="N224" s="2142"/>
      <c r="O224" s="2142"/>
      <c r="P224" s="2141" t="str">
        <f>'TRAD-Adults YEAR(1)'!B121</f>
        <v>Calculs AVEC marge de sécurité</v>
      </c>
      <c r="Q224" s="2142"/>
      <c r="R224" s="2142"/>
      <c r="S224" s="2142"/>
      <c r="T224" s="2142"/>
      <c r="U224" s="2142"/>
      <c r="V224" s="804" t="str">
        <f>'TRAD-Adults YEAR(1)'!B124</f>
        <v>MARGE</v>
      </c>
    </row>
    <row r="225" spans="2:22" ht="77.25" thickBot="1" x14ac:dyDescent="0.25">
      <c r="B225" s="294"/>
      <c r="C225" s="295" t="s">
        <v>0</v>
      </c>
      <c r="D225" s="296" t="str">
        <f>'TRAD-Adults YEAR(1)'!B107</f>
        <v>Nom du médicament</v>
      </c>
      <c r="E225" s="296" t="str">
        <f>'TRAD-Adults YEAR(1)'!B108</f>
        <v>Forme galénique</v>
      </c>
      <c r="F225" s="296" t="str">
        <f>'TRAD-Adults YEAR(1)'!B109</f>
        <v>Dosage</v>
      </c>
      <c r="G225" s="296" t="str">
        <f>'TRAD-Adults YEAR(1)'!B110</f>
        <v>Nb d'unités de prise / boite</v>
      </c>
      <c r="H225" s="296" t="str">
        <f>'TRAD-Adults YEAR(1)'!B111</f>
        <v>Nb de prise / mois / patient</v>
      </c>
      <c r="I225" s="297" t="str">
        <f>'TRAD-Adults YEAR(1)'!B112</f>
        <v>Nb de boite / mois / patient</v>
      </c>
      <c r="J225" s="438" t="str">
        <f>'TRAD-Adults YEAR(1)'!B114</f>
        <v>Qtés de boites pour les patients présents en début de période</v>
      </c>
      <c r="K225" s="300" t="str">
        <f>'TRAD-Adults YEAR(1)'!B115</f>
        <v>Qtés de boites pour les Initiations</v>
      </c>
      <c r="L225" s="300" t="str">
        <f>'TRAD-Adults YEAR(1)'!B116</f>
        <v>Qtés de boites pour initiation NVP</v>
      </c>
      <c r="M225" s="299" t="str">
        <f>'TRAD-Adults YEAR(1)'!B117</f>
        <v>Passage en 2ème ligne Entrées</v>
      </c>
      <c r="N225" s="299" t="str">
        <f>'TRAD-Adults YEAR(1)'!B118</f>
        <v>Passage en 2ème ligne - Défalcation 1ère ligne [1]</v>
      </c>
      <c r="O225" s="805" t="str">
        <f>'TRAD-Adults YEAR(1)'!B119</f>
        <v>TOTAL (nb de boites)</v>
      </c>
      <c r="P225" s="438" t="str">
        <f>'TRAD-Adults YEAR(1)'!B120</f>
        <v>Qtés de boites pour les patients présents en début de période</v>
      </c>
      <c r="Q225" s="300" t="str">
        <f>'TRAD-Adults YEAR(1)'!B115</f>
        <v>Qtés de boites pour les Initiations</v>
      </c>
      <c r="R225" s="300" t="str">
        <f>'TRAD-Adults YEAR(1)'!B116</f>
        <v>Qtés de boites pour initiation NVP</v>
      </c>
      <c r="S225" s="299" t="str">
        <f>'TRAD-Adults YEAR(1)'!B31</f>
        <v>Passage en 2ème ligne</v>
      </c>
      <c r="T225" s="299" t="str">
        <f>'TRAD-Adults YEAR(1)'!B118</f>
        <v>Passage en 2ème ligne - Défalcation 1ère ligne [1]</v>
      </c>
      <c r="U225" s="805" t="str">
        <f>'TRAD-Adults YEAR(1)'!B122</f>
        <v>TOTAL + Marge période définie (nb de boites)</v>
      </c>
      <c r="V225" s="806" t="str">
        <f>'TRAD-Adults YEAR(1)'!B123</f>
        <v>Marge période définie (nb de boites)</v>
      </c>
    </row>
    <row r="226" spans="2:22" x14ac:dyDescent="0.2">
      <c r="B226" s="807" t="s">
        <v>75</v>
      </c>
      <c r="C226" s="305" t="s">
        <v>7</v>
      </c>
      <c r="D226" s="305" t="s">
        <v>76</v>
      </c>
      <c r="E226" s="305" t="s">
        <v>521</v>
      </c>
      <c r="F226" s="1242" t="str">
        <f>'Data &amp; hypothesis Adults'!G228</f>
        <v>300/150/200 mg</v>
      </c>
      <c r="G226" s="1236">
        <f>'Data &amp; hypothesis Adults'!H228</f>
        <v>60</v>
      </c>
      <c r="H226" s="1236">
        <f>'Data &amp; hypothesis Adults'!J228</f>
        <v>60</v>
      </c>
      <c r="I226" s="1211">
        <f>'Data &amp; hypothesis Adults'!K228</f>
        <v>1</v>
      </c>
      <c r="J226" s="809">
        <f t="array" ref="J226:J250">TRANSPOSE($D201:$AB201)</f>
        <v>126349.584</v>
      </c>
      <c r="K226" s="809">
        <f t="array" ref="K226:K250">TRANSPOSE($D206:$AB206)</f>
        <v>1606.8000000000002</v>
      </c>
      <c r="L226" s="809">
        <f t="array" ref="L226:L250">TRANSPOSE($D213:$AB213)</f>
        <v>61.800000000000004</v>
      </c>
      <c r="M226" s="809">
        <f t="array" ref="M226:M250">TRANSPOSE($D211:$AB211)</f>
        <v>0</v>
      </c>
      <c r="N226" s="809" t="str">
        <f t="array" ref="N226:N250">TRANSPOSE($D215:$AB215)</f>
        <v>0</v>
      </c>
      <c r="O226" s="810">
        <f>ROUNDUP(SUM(J226:M226)-N226, 0)</f>
        <v>128019</v>
      </c>
      <c r="P226" s="809">
        <f t="array" ref="P226:P250">TRANSPOSE($D202:$AB202)</f>
        <v>157936.97999999998</v>
      </c>
      <c r="Q226" s="809">
        <f t="array" ref="Q226:Q250">TRANSPOSE($D207:$AB207)</f>
        <v>2472</v>
      </c>
      <c r="R226" s="809">
        <f t="array" ref="R226:R250">TRANSPOSE($D214:$AB214)</f>
        <v>77.25</v>
      </c>
      <c r="S226" s="809">
        <f t="array" ref="S226:S250">TRANSPOSE($D212:$AB212)</f>
        <v>0</v>
      </c>
      <c r="T226" s="809" t="str">
        <f t="array" ref="T226:T250">TRANSPOSE($D216:$AB216)</f>
        <v>0</v>
      </c>
      <c r="U226" s="810">
        <f>ROUNDUP(SUM(P226:S226)-T226, 0)</f>
        <v>160487</v>
      </c>
      <c r="V226" s="811">
        <f t="shared" ref="V226:V250" si="107">IF((U226-O226)&gt;0, (U226-O226), "0")</f>
        <v>32468</v>
      </c>
    </row>
    <row r="227" spans="2:22" x14ac:dyDescent="0.2">
      <c r="B227" s="812"/>
      <c r="C227" s="314" t="s">
        <v>140</v>
      </c>
      <c r="D227" s="314"/>
      <c r="E227" s="314" t="s">
        <v>521</v>
      </c>
      <c r="F227" s="1243" t="str">
        <f>'Data &amp; hypothesis Adults'!G229</f>
        <v>300/150/300 mg</v>
      </c>
      <c r="G227" s="1237">
        <f>'Data &amp; hypothesis Adults'!H229</f>
        <v>60</v>
      </c>
      <c r="H227" s="1237">
        <f>'Data &amp; hypothesis Adults'!J229</f>
        <v>60</v>
      </c>
      <c r="I227" s="1212">
        <f>'Data &amp; hypothesis Adults'!K229</f>
        <v>1</v>
      </c>
      <c r="J227" s="814">
        <v>349.03200000000004</v>
      </c>
      <c r="K227" s="814">
        <v>321.36</v>
      </c>
      <c r="L227" s="814">
        <v>0</v>
      </c>
      <c r="M227" s="814">
        <v>0</v>
      </c>
      <c r="N227" s="814" t="str">
        <v>0</v>
      </c>
      <c r="O227" s="815">
        <f t="shared" ref="O227:O250" si="108">ROUNDUP(SUM(J227:M227)-N227, 0)</f>
        <v>671</v>
      </c>
      <c r="P227" s="814">
        <v>436.29</v>
      </c>
      <c r="Q227" s="814">
        <v>494.40000000000003</v>
      </c>
      <c r="R227" s="814">
        <v>0</v>
      </c>
      <c r="S227" s="814">
        <v>0</v>
      </c>
      <c r="T227" s="814" t="str">
        <v>0</v>
      </c>
      <c r="U227" s="815">
        <f t="shared" ref="U227:U250" si="109">ROUNDUP(SUM(P227:S227)-T227, 0)</f>
        <v>931</v>
      </c>
      <c r="V227" s="825">
        <f t="shared" ref="V227:V230" si="110">IF((U227-O227)&gt;0, (U227-O227), "0")</f>
        <v>260</v>
      </c>
    </row>
    <row r="228" spans="2:22" x14ac:dyDescent="0.2">
      <c r="B228" s="812"/>
      <c r="C228" s="314" t="s">
        <v>731</v>
      </c>
      <c r="D228" s="314"/>
      <c r="E228" s="314" t="s">
        <v>729</v>
      </c>
      <c r="F228" s="1243" t="str">
        <f>'Data &amp; hypothesis Adults'!G230</f>
        <v>[300/150]/600 mg</v>
      </c>
      <c r="G228" s="1237">
        <f>'Data &amp; hypothesis Adults'!H230</f>
        <v>60</v>
      </c>
      <c r="H228" s="1237">
        <f>'Data &amp; hypothesis Adults'!J230</f>
        <v>60</v>
      </c>
      <c r="I228" s="1212">
        <f>'Data &amp; hypothesis Adults'!K230</f>
        <v>1</v>
      </c>
      <c r="J228" s="814">
        <v>0</v>
      </c>
      <c r="K228" s="814">
        <v>0</v>
      </c>
      <c r="L228" s="814">
        <v>0</v>
      </c>
      <c r="M228" s="814">
        <v>0</v>
      </c>
      <c r="N228" s="814" t="str">
        <v>0</v>
      </c>
      <c r="O228" s="824">
        <f t="shared" si="108"/>
        <v>0</v>
      </c>
      <c r="P228" s="814">
        <v>0</v>
      </c>
      <c r="Q228" s="814">
        <v>0</v>
      </c>
      <c r="R228" s="814">
        <v>0</v>
      </c>
      <c r="S228" s="814">
        <v>0</v>
      </c>
      <c r="T228" s="814" t="str">
        <v>0</v>
      </c>
      <c r="U228" s="824">
        <f t="shared" si="109"/>
        <v>0</v>
      </c>
      <c r="V228" s="825" t="str">
        <f t="shared" si="110"/>
        <v>0</v>
      </c>
    </row>
    <row r="229" spans="2:22" x14ac:dyDescent="0.2">
      <c r="B229" s="817"/>
      <c r="C229" s="323" t="s">
        <v>11</v>
      </c>
      <c r="D229" s="323" t="s">
        <v>78</v>
      </c>
      <c r="E229" s="323" t="s">
        <v>521</v>
      </c>
      <c r="F229" s="1244" t="str">
        <f>'Data &amp; hypothesis Adults'!G231</f>
        <v>300/150 mg</v>
      </c>
      <c r="G229" s="1238">
        <f>'Data &amp; hypothesis Adults'!H231</f>
        <v>60</v>
      </c>
      <c r="H229" s="1238">
        <f>'Data &amp; hypothesis Adults'!J231</f>
        <v>60</v>
      </c>
      <c r="I229" s="1213">
        <f>'Data &amp; hypothesis Adults'!K231</f>
        <v>1</v>
      </c>
      <c r="J229" s="819">
        <v>24083.207999999999</v>
      </c>
      <c r="K229" s="819">
        <v>482.03999999999996</v>
      </c>
      <c r="L229" s="819">
        <v>61.800000000000004</v>
      </c>
      <c r="M229" s="819">
        <v>0</v>
      </c>
      <c r="N229" s="819" t="str">
        <v>0</v>
      </c>
      <c r="O229" s="824">
        <f t="shared" si="108"/>
        <v>24628</v>
      </c>
      <c r="P229" s="819">
        <v>30104.009999999995</v>
      </c>
      <c r="Q229" s="819">
        <v>741.59999999999991</v>
      </c>
      <c r="R229" s="819">
        <v>77.25</v>
      </c>
      <c r="S229" s="819">
        <v>0</v>
      </c>
      <c r="T229" s="819" t="str">
        <v>0</v>
      </c>
      <c r="U229" s="824">
        <f t="shared" si="109"/>
        <v>30923</v>
      </c>
      <c r="V229" s="825">
        <f t="shared" si="110"/>
        <v>6295</v>
      </c>
    </row>
    <row r="230" spans="2:22" x14ac:dyDescent="0.2">
      <c r="B230" s="817"/>
      <c r="C230" s="822" t="s">
        <v>586</v>
      </c>
      <c r="D230" s="822"/>
      <c r="E230" s="822" t="s">
        <v>521</v>
      </c>
      <c r="F230" s="1244" t="str">
        <f>'Data &amp; hypothesis Adults'!G232</f>
        <v>600/300 mg</v>
      </c>
      <c r="G230" s="1238">
        <f>'Data &amp; hypothesis Adults'!H232</f>
        <v>30</v>
      </c>
      <c r="H230" s="1238">
        <f>'Data &amp; hypothesis Adults'!J232</f>
        <v>30</v>
      </c>
      <c r="I230" s="1213">
        <f>'Data &amp; hypothesis Adults'!K232</f>
        <v>1</v>
      </c>
      <c r="J230" s="823">
        <v>523.548</v>
      </c>
      <c r="K230" s="823">
        <v>0</v>
      </c>
      <c r="L230" s="823">
        <v>0</v>
      </c>
      <c r="M230" s="823">
        <v>0</v>
      </c>
      <c r="N230" s="823" t="str">
        <v>0</v>
      </c>
      <c r="O230" s="824">
        <f t="shared" si="108"/>
        <v>524</v>
      </c>
      <c r="P230" s="823">
        <v>654.43499999999995</v>
      </c>
      <c r="Q230" s="823">
        <v>0</v>
      </c>
      <c r="R230" s="823">
        <v>0</v>
      </c>
      <c r="S230" s="823">
        <v>0</v>
      </c>
      <c r="T230" s="823" t="str">
        <v>0</v>
      </c>
      <c r="U230" s="824">
        <f t="shared" si="109"/>
        <v>655</v>
      </c>
      <c r="V230" s="825">
        <f t="shared" si="110"/>
        <v>131</v>
      </c>
    </row>
    <row r="231" spans="2:22" x14ac:dyDescent="0.2">
      <c r="B231" s="817"/>
      <c r="C231" s="822" t="s">
        <v>50</v>
      </c>
      <c r="D231" s="822" t="s">
        <v>79</v>
      </c>
      <c r="E231" s="822" t="s">
        <v>521</v>
      </c>
      <c r="F231" s="1245" t="str">
        <f>'Data &amp; hypothesis Adults'!G233</f>
        <v>30/150/200 mg</v>
      </c>
      <c r="G231" s="1239">
        <f>'Data &amp; hypothesis Adults'!H233</f>
        <v>60</v>
      </c>
      <c r="H231" s="1239">
        <f>'Data &amp; hypothesis Adults'!J233</f>
        <v>60</v>
      </c>
      <c r="I231" s="1214">
        <f>'Data &amp; hypothesis Adults'!K233</f>
        <v>1</v>
      </c>
      <c r="J231" s="823">
        <v>0</v>
      </c>
      <c r="K231" s="823">
        <v>0</v>
      </c>
      <c r="L231" s="823">
        <v>0</v>
      </c>
      <c r="M231" s="823">
        <v>0</v>
      </c>
      <c r="N231" s="823" t="str">
        <v>0</v>
      </c>
      <c r="O231" s="824">
        <f t="shared" si="108"/>
        <v>0</v>
      </c>
      <c r="P231" s="823">
        <v>0</v>
      </c>
      <c r="Q231" s="823">
        <v>0</v>
      </c>
      <c r="R231" s="823">
        <v>0</v>
      </c>
      <c r="S231" s="823">
        <v>0</v>
      </c>
      <c r="T231" s="823" t="str">
        <v>0</v>
      </c>
      <c r="U231" s="824">
        <f t="shared" si="109"/>
        <v>0</v>
      </c>
      <c r="V231" s="825" t="str">
        <f t="shared" si="107"/>
        <v>0</v>
      </c>
    </row>
    <row r="232" spans="2:22" x14ac:dyDescent="0.2">
      <c r="B232" s="817"/>
      <c r="C232" s="822" t="s">
        <v>81</v>
      </c>
      <c r="D232" s="822" t="s">
        <v>82</v>
      </c>
      <c r="E232" s="822" t="s">
        <v>521</v>
      </c>
      <c r="F232" s="1245" t="str">
        <f>'Data &amp; hypothesis Adults'!G234</f>
        <v>30/150 mg</v>
      </c>
      <c r="G232" s="1239">
        <f>'Data &amp; hypothesis Adults'!H234</f>
        <v>60</v>
      </c>
      <c r="H232" s="1239">
        <f>'Data &amp; hypothesis Adults'!J234</f>
        <v>60</v>
      </c>
      <c r="I232" s="1214">
        <f>'Data &amp; hypothesis Adults'!K234</f>
        <v>1</v>
      </c>
      <c r="J232" s="823">
        <v>0</v>
      </c>
      <c r="K232" s="823">
        <v>0</v>
      </c>
      <c r="L232" s="823">
        <v>0</v>
      </c>
      <c r="M232" s="823">
        <v>0</v>
      </c>
      <c r="N232" s="823" t="str">
        <v>0</v>
      </c>
      <c r="O232" s="824">
        <f t="shared" si="108"/>
        <v>0</v>
      </c>
      <c r="P232" s="823">
        <v>0</v>
      </c>
      <c r="Q232" s="823">
        <v>0</v>
      </c>
      <c r="R232" s="823">
        <v>0</v>
      </c>
      <c r="S232" s="823">
        <v>0</v>
      </c>
      <c r="T232" s="823" t="str">
        <v>0</v>
      </c>
      <c r="U232" s="824">
        <f t="shared" si="109"/>
        <v>0</v>
      </c>
      <c r="V232" s="825" t="str">
        <f t="shared" si="107"/>
        <v>0</v>
      </c>
    </row>
    <row r="233" spans="2:22" x14ac:dyDescent="0.2">
      <c r="B233" s="817"/>
      <c r="C233" s="323" t="s">
        <v>348</v>
      </c>
      <c r="D233" s="323"/>
      <c r="E233" s="323" t="s">
        <v>521</v>
      </c>
      <c r="F233" s="1244" t="str">
        <f>'Data &amp; hypothesis Adults'!G235</f>
        <v>300/200/600 mg</v>
      </c>
      <c r="G233" s="1238">
        <f>'Data &amp; hypothesis Adults'!H235</f>
        <v>30</v>
      </c>
      <c r="H233" s="1238">
        <f>'Data &amp; hypothesis Adults'!J235</f>
        <v>30</v>
      </c>
      <c r="I233" s="1213">
        <f>'Data &amp; hypothesis Adults'!K235</f>
        <v>1</v>
      </c>
      <c r="J233" s="818">
        <v>17451.600000000002</v>
      </c>
      <c r="K233" s="818">
        <v>29565.120000000003</v>
      </c>
      <c r="L233" s="818">
        <v>0</v>
      </c>
      <c r="M233" s="818">
        <v>0</v>
      </c>
      <c r="N233" s="818" t="str">
        <v>0</v>
      </c>
      <c r="O233" s="820">
        <f t="shared" si="108"/>
        <v>47017</v>
      </c>
      <c r="P233" s="818">
        <v>21814.500000000004</v>
      </c>
      <c r="Q233" s="818">
        <v>45484.800000000003</v>
      </c>
      <c r="R233" s="818">
        <v>0</v>
      </c>
      <c r="S233" s="818">
        <v>0</v>
      </c>
      <c r="T233" s="818" t="str">
        <v>0</v>
      </c>
      <c r="U233" s="820">
        <f t="shared" si="109"/>
        <v>67300</v>
      </c>
      <c r="V233" s="821">
        <f t="shared" si="107"/>
        <v>20283</v>
      </c>
    </row>
    <row r="234" spans="2:22" x14ac:dyDescent="0.2">
      <c r="B234" s="826"/>
      <c r="C234" s="332" t="s">
        <v>349</v>
      </c>
      <c r="D234" s="332"/>
      <c r="E234" s="332" t="s">
        <v>521</v>
      </c>
      <c r="F234" s="1246" t="str">
        <f>'Data &amp; hypothesis Adults'!G236</f>
        <v>300/200 mg</v>
      </c>
      <c r="G234" s="1240">
        <f>'Data &amp; hypothesis Adults'!H236</f>
        <v>30</v>
      </c>
      <c r="H234" s="1240">
        <f>'Data &amp; hypothesis Adults'!J236</f>
        <v>30</v>
      </c>
      <c r="I234" s="1215">
        <f>'Data &amp; hypothesis Adults'!K236</f>
        <v>1</v>
      </c>
      <c r="J234" s="828">
        <v>5409.9959999999992</v>
      </c>
      <c r="K234" s="828">
        <v>0</v>
      </c>
      <c r="L234" s="828">
        <v>0</v>
      </c>
      <c r="M234" s="828">
        <v>2758.2221334387054</v>
      </c>
      <c r="N234" s="828" t="str">
        <v>0</v>
      </c>
      <c r="O234" s="829">
        <f t="shared" si="108"/>
        <v>8169</v>
      </c>
      <c r="P234" s="828">
        <v>6762.4949999999999</v>
      </c>
      <c r="Q234" s="828">
        <v>0</v>
      </c>
      <c r="R234" s="828">
        <v>0</v>
      </c>
      <c r="S234" s="828">
        <v>4243.4186668287775</v>
      </c>
      <c r="T234" s="828" t="str">
        <v>0</v>
      </c>
      <c r="U234" s="829">
        <f t="shared" si="109"/>
        <v>11006</v>
      </c>
      <c r="V234" s="830">
        <f t="shared" si="107"/>
        <v>2837</v>
      </c>
    </row>
    <row r="235" spans="2:22" x14ac:dyDescent="0.2">
      <c r="B235" s="812" t="s">
        <v>84</v>
      </c>
      <c r="C235" s="305" t="s">
        <v>17</v>
      </c>
      <c r="D235" s="305"/>
      <c r="E235" s="305" t="s">
        <v>521</v>
      </c>
      <c r="F235" s="1242" t="str">
        <f>'Data &amp; hypothesis Adults'!G237</f>
        <v>600 mg</v>
      </c>
      <c r="G235" s="1236">
        <f>'Data &amp; hypothesis Adults'!H237</f>
        <v>30</v>
      </c>
      <c r="H235" s="1236">
        <f>'Data &amp; hypothesis Adults'!J237</f>
        <v>30</v>
      </c>
      <c r="I235" s="1211">
        <f>'Data &amp; hypothesis Adults'!K237</f>
        <v>1</v>
      </c>
      <c r="J235" s="809">
        <v>16928.051999999996</v>
      </c>
      <c r="K235" s="809">
        <v>160.68</v>
      </c>
      <c r="L235" s="809">
        <v>0</v>
      </c>
      <c r="M235" s="809">
        <v>0</v>
      </c>
      <c r="N235" s="809" t="str">
        <v>0</v>
      </c>
      <c r="O235" s="810">
        <f t="shared" si="108"/>
        <v>17089</v>
      </c>
      <c r="P235" s="809">
        <v>21160.064999999999</v>
      </c>
      <c r="Q235" s="809">
        <v>247.20000000000002</v>
      </c>
      <c r="R235" s="809">
        <v>0</v>
      </c>
      <c r="S235" s="809">
        <v>0</v>
      </c>
      <c r="T235" s="809" t="str">
        <v>0</v>
      </c>
      <c r="U235" s="810">
        <f t="shared" si="109"/>
        <v>21408</v>
      </c>
      <c r="V235" s="811">
        <f t="shared" si="107"/>
        <v>4319</v>
      </c>
    </row>
    <row r="236" spans="2:22" x14ac:dyDescent="0.2">
      <c r="B236" s="826"/>
      <c r="C236" s="332" t="s">
        <v>19</v>
      </c>
      <c r="D236" s="332"/>
      <c r="E236" s="332" t="s">
        <v>521</v>
      </c>
      <c r="F236" s="1246" t="str">
        <f>'Data &amp; hypothesis Adults'!G238</f>
        <v>200 mg</v>
      </c>
      <c r="G236" s="1240">
        <f>'Data &amp; hypothesis Adults'!H238</f>
        <v>60</v>
      </c>
      <c r="H236" s="1240">
        <f>'Data &amp; hypothesis Adults'!J238</f>
        <v>60</v>
      </c>
      <c r="I236" s="1215">
        <f>'Data &amp; hypothesis Adults'!K238</f>
        <v>1</v>
      </c>
      <c r="J236" s="828">
        <v>0</v>
      </c>
      <c r="K236" s="828">
        <v>0</v>
      </c>
      <c r="L236" s="828">
        <v>0</v>
      </c>
      <c r="M236" s="828">
        <v>0</v>
      </c>
      <c r="N236" s="828" t="str">
        <v>0</v>
      </c>
      <c r="O236" s="829">
        <f t="shared" si="108"/>
        <v>0</v>
      </c>
      <c r="P236" s="828">
        <v>0</v>
      </c>
      <c r="Q236" s="828">
        <v>0</v>
      </c>
      <c r="R236" s="828">
        <v>0</v>
      </c>
      <c r="S236" s="828">
        <v>0</v>
      </c>
      <c r="T236" s="828" t="str">
        <v>0</v>
      </c>
      <c r="U236" s="829">
        <f t="shared" si="109"/>
        <v>0</v>
      </c>
      <c r="V236" s="830" t="str">
        <f t="shared" si="107"/>
        <v>0</v>
      </c>
    </row>
    <row r="237" spans="2:22" x14ac:dyDescent="0.2">
      <c r="B237" s="812" t="s">
        <v>85</v>
      </c>
      <c r="C237" s="305" t="s">
        <v>39</v>
      </c>
      <c r="D237" s="305"/>
      <c r="E237" s="305" t="s">
        <v>521</v>
      </c>
      <c r="F237" s="1242" t="str">
        <f>'Data &amp; hypothesis Adults'!G239</f>
        <v>300 mg</v>
      </c>
      <c r="G237" s="1236">
        <f>'Data &amp; hypothesis Adults'!H239</f>
        <v>60</v>
      </c>
      <c r="H237" s="1236">
        <f>'Data &amp; hypothesis Adults'!J239</f>
        <v>60</v>
      </c>
      <c r="I237" s="1211">
        <f>'Data &amp; hypothesis Adults'!K239</f>
        <v>1</v>
      </c>
      <c r="J237" s="808">
        <v>0</v>
      </c>
      <c r="K237" s="808">
        <v>0</v>
      </c>
      <c r="L237" s="808">
        <v>0</v>
      </c>
      <c r="M237" s="808">
        <v>0</v>
      </c>
      <c r="N237" s="808" t="str">
        <v>0</v>
      </c>
      <c r="O237" s="810">
        <f t="shared" si="108"/>
        <v>0</v>
      </c>
      <c r="P237" s="808">
        <v>0</v>
      </c>
      <c r="Q237" s="808">
        <v>0</v>
      </c>
      <c r="R237" s="808">
        <v>0</v>
      </c>
      <c r="S237" s="808">
        <v>0</v>
      </c>
      <c r="T237" s="808" t="str">
        <v>0</v>
      </c>
      <c r="U237" s="810">
        <f t="shared" si="109"/>
        <v>0</v>
      </c>
      <c r="V237" s="811" t="str">
        <f t="shared" si="107"/>
        <v>0</v>
      </c>
    </row>
    <row r="238" spans="2:22" x14ac:dyDescent="0.2">
      <c r="B238" s="812"/>
      <c r="C238" s="314" t="s">
        <v>350</v>
      </c>
      <c r="D238" s="314"/>
      <c r="E238" s="314" t="s">
        <v>521</v>
      </c>
      <c r="F238" s="1243" t="str">
        <f>'Data &amp; hypothesis Adults'!G240</f>
        <v>150 mg</v>
      </c>
      <c r="G238" s="1237">
        <f>'Data &amp; hypothesis Adults'!H240</f>
        <v>60</v>
      </c>
      <c r="H238" s="1237">
        <f>'Data &amp; hypothesis Adults'!J240</f>
        <v>60</v>
      </c>
      <c r="I238" s="1212">
        <f>'Data &amp; hypothesis Adults'!K240</f>
        <v>1</v>
      </c>
      <c r="J238" s="813">
        <v>0</v>
      </c>
      <c r="K238" s="813">
        <v>0</v>
      </c>
      <c r="L238" s="813">
        <v>0</v>
      </c>
      <c r="M238" s="813">
        <v>0</v>
      </c>
      <c r="N238" s="813" t="str">
        <v>0</v>
      </c>
      <c r="O238" s="815">
        <f t="shared" si="108"/>
        <v>0</v>
      </c>
      <c r="P238" s="813">
        <v>0</v>
      </c>
      <c r="Q238" s="813">
        <v>0</v>
      </c>
      <c r="R238" s="813">
        <v>0</v>
      </c>
      <c r="S238" s="813">
        <v>0</v>
      </c>
      <c r="T238" s="813" t="str">
        <v>0</v>
      </c>
      <c r="U238" s="815">
        <f t="shared" si="109"/>
        <v>0</v>
      </c>
      <c r="V238" s="816" t="str">
        <f t="shared" si="107"/>
        <v>0</v>
      </c>
    </row>
    <row r="239" spans="2:22" x14ac:dyDescent="0.2">
      <c r="B239" s="812"/>
      <c r="C239" s="314" t="s">
        <v>25</v>
      </c>
      <c r="D239" s="314"/>
      <c r="E239" s="314" t="s">
        <v>521</v>
      </c>
      <c r="F239" s="1243" t="str">
        <f>'Data &amp; hypothesis Adults'!G241</f>
        <v>300 mg</v>
      </c>
      <c r="G239" s="1237">
        <f>'Data &amp; hypothesis Adults'!H241</f>
        <v>60</v>
      </c>
      <c r="H239" s="1237">
        <f>'Data &amp; hypothesis Adults'!J241</f>
        <v>60</v>
      </c>
      <c r="I239" s="1212">
        <f>'Data &amp; hypothesis Adults'!K241</f>
        <v>1</v>
      </c>
      <c r="J239" s="813">
        <v>0</v>
      </c>
      <c r="K239" s="813">
        <v>0</v>
      </c>
      <c r="L239" s="813">
        <v>0</v>
      </c>
      <c r="M239" s="813">
        <v>0</v>
      </c>
      <c r="N239" s="813" t="str">
        <v>0</v>
      </c>
      <c r="O239" s="815">
        <f t="shared" si="108"/>
        <v>0</v>
      </c>
      <c r="P239" s="813">
        <v>0</v>
      </c>
      <c r="Q239" s="813">
        <v>0</v>
      </c>
      <c r="R239" s="813">
        <v>0</v>
      </c>
      <c r="S239" s="813">
        <v>0</v>
      </c>
      <c r="T239" s="813" t="str">
        <v>0</v>
      </c>
      <c r="U239" s="815">
        <f t="shared" si="109"/>
        <v>0</v>
      </c>
      <c r="V239" s="816" t="str">
        <f t="shared" si="107"/>
        <v>0</v>
      </c>
    </row>
    <row r="240" spans="2:22" x14ac:dyDescent="0.2">
      <c r="B240" s="817"/>
      <c r="C240" s="323" t="s">
        <v>28</v>
      </c>
      <c r="D240" s="323"/>
      <c r="E240" s="323" t="s">
        <v>86</v>
      </c>
      <c r="F240" s="1244" t="str">
        <f>'Data &amp; hypothesis Adults'!G242</f>
        <v>250 mg</v>
      </c>
      <c r="G240" s="1238">
        <f>'Data &amp; hypothesis Adults'!H242</f>
        <v>30</v>
      </c>
      <c r="H240" s="1238">
        <f>'Data &amp; hypothesis Adults'!J242</f>
        <v>30</v>
      </c>
      <c r="I240" s="1213">
        <f>'Data &amp; hypothesis Adults'!K242</f>
        <v>1</v>
      </c>
      <c r="J240" s="818">
        <v>0</v>
      </c>
      <c r="K240" s="818">
        <v>0</v>
      </c>
      <c r="L240" s="818">
        <v>0</v>
      </c>
      <c r="M240" s="818">
        <v>0</v>
      </c>
      <c r="N240" s="818" t="str">
        <v>0</v>
      </c>
      <c r="O240" s="820">
        <f t="shared" si="108"/>
        <v>0</v>
      </c>
      <c r="P240" s="818">
        <v>0</v>
      </c>
      <c r="Q240" s="818">
        <v>0</v>
      </c>
      <c r="R240" s="818">
        <v>0</v>
      </c>
      <c r="S240" s="818">
        <v>0</v>
      </c>
      <c r="T240" s="818" t="str">
        <v>0</v>
      </c>
      <c r="U240" s="820">
        <f t="shared" si="109"/>
        <v>0</v>
      </c>
      <c r="V240" s="821" t="str">
        <f t="shared" si="107"/>
        <v>0</v>
      </c>
    </row>
    <row r="241" spans="2:22" x14ac:dyDescent="0.2">
      <c r="B241" s="817"/>
      <c r="C241" s="323" t="s">
        <v>28</v>
      </c>
      <c r="D241" s="323"/>
      <c r="E241" s="323" t="s">
        <v>86</v>
      </c>
      <c r="F241" s="1244" t="str">
        <f>'Data &amp; hypothesis Adults'!G243</f>
        <v>400 mg</v>
      </c>
      <c r="G241" s="1238">
        <f>'Data &amp; hypothesis Adults'!H243</f>
        <v>30</v>
      </c>
      <c r="H241" s="1238">
        <f>'Data &amp; hypothesis Adults'!J243</f>
        <v>30</v>
      </c>
      <c r="I241" s="1213">
        <f>'Data &amp; hypothesis Adults'!K243</f>
        <v>1</v>
      </c>
      <c r="J241" s="818">
        <v>0</v>
      </c>
      <c r="K241" s="818">
        <v>0</v>
      </c>
      <c r="L241" s="818">
        <v>0</v>
      </c>
      <c r="M241" s="818">
        <v>0</v>
      </c>
      <c r="N241" s="818" t="str">
        <v>0</v>
      </c>
      <c r="O241" s="820">
        <f t="shared" si="108"/>
        <v>0</v>
      </c>
      <c r="P241" s="818">
        <v>0</v>
      </c>
      <c r="Q241" s="818">
        <v>0</v>
      </c>
      <c r="R241" s="818">
        <v>0</v>
      </c>
      <c r="S241" s="818">
        <v>0</v>
      </c>
      <c r="T241" s="818" t="str">
        <v>0</v>
      </c>
      <c r="U241" s="820">
        <f t="shared" si="109"/>
        <v>0</v>
      </c>
      <c r="V241" s="821" t="str">
        <f t="shared" si="107"/>
        <v>0</v>
      </c>
    </row>
    <row r="242" spans="2:22" x14ac:dyDescent="0.2">
      <c r="B242" s="826"/>
      <c r="C242" s="332" t="s">
        <v>22</v>
      </c>
      <c r="D242" s="332"/>
      <c r="E242" s="332" t="s">
        <v>521</v>
      </c>
      <c r="F242" s="1246" t="str">
        <f>'Data &amp; hypothesis Adults'!G244</f>
        <v>300 mg</v>
      </c>
      <c r="G242" s="1240">
        <f>'Data &amp; hypothesis Adults'!H244</f>
        <v>30</v>
      </c>
      <c r="H242" s="1240">
        <f>'Data &amp; hypothesis Adults'!J244</f>
        <v>30</v>
      </c>
      <c r="I242" s="1215">
        <f>'Data &amp; hypothesis Adults'!K244</f>
        <v>1</v>
      </c>
      <c r="J242" s="828">
        <v>0</v>
      </c>
      <c r="K242" s="828">
        <v>0</v>
      </c>
      <c r="L242" s="828">
        <v>0</v>
      </c>
      <c r="M242" s="828">
        <v>0</v>
      </c>
      <c r="N242" s="828" t="str">
        <v>0</v>
      </c>
      <c r="O242" s="829">
        <f t="shared" si="108"/>
        <v>0</v>
      </c>
      <c r="P242" s="828">
        <v>0</v>
      </c>
      <c r="Q242" s="828">
        <v>0</v>
      </c>
      <c r="R242" s="828">
        <v>0</v>
      </c>
      <c r="S242" s="828">
        <v>0</v>
      </c>
      <c r="T242" s="828" t="str">
        <v>0</v>
      </c>
      <c r="U242" s="829">
        <f t="shared" si="109"/>
        <v>0</v>
      </c>
      <c r="V242" s="830" t="str">
        <f t="shared" si="107"/>
        <v>0</v>
      </c>
    </row>
    <row r="243" spans="2:22" x14ac:dyDescent="0.2">
      <c r="B243" s="812" t="s">
        <v>87</v>
      </c>
      <c r="C243" s="314" t="s">
        <v>33</v>
      </c>
      <c r="D243" s="314"/>
      <c r="E243" s="314" t="s">
        <v>521</v>
      </c>
      <c r="F243" s="1243" t="str">
        <f>'Data &amp; hypothesis Adults'!G245</f>
        <v>200/50 mg</v>
      </c>
      <c r="G243" s="1237">
        <f>'Data &amp; hypothesis Adults'!H245</f>
        <v>120</v>
      </c>
      <c r="H243" s="1237">
        <f>'Data &amp; hypothesis Adults'!J245</f>
        <v>120</v>
      </c>
      <c r="I243" s="1212">
        <f>'Data &amp; hypothesis Adults'!K245</f>
        <v>1</v>
      </c>
      <c r="J243" s="813">
        <v>12669.8616</v>
      </c>
      <c r="K243" s="813">
        <v>321.36</v>
      </c>
      <c r="L243" s="813">
        <v>0</v>
      </c>
      <c r="M243" s="813">
        <v>2758.2221334387054</v>
      </c>
      <c r="N243" s="813" t="str">
        <v>0</v>
      </c>
      <c r="O243" s="815">
        <f t="shared" si="108"/>
        <v>15750</v>
      </c>
      <c r="P243" s="813">
        <v>15837.326999999999</v>
      </c>
      <c r="Q243" s="813">
        <v>494.40000000000003</v>
      </c>
      <c r="R243" s="813">
        <v>0</v>
      </c>
      <c r="S243" s="813">
        <v>4243.4186668287775</v>
      </c>
      <c r="T243" s="813" t="str">
        <v>0</v>
      </c>
      <c r="U243" s="815">
        <f t="shared" si="109"/>
        <v>20576</v>
      </c>
      <c r="V243" s="816">
        <f t="shared" si="107"/>
        <v>4826</v>
      </c>
    </row>
    <row r="244" spans="2:22" x14ac:dyDescent="0.2">
      <c r="B244" s="817"/>
      <c r="C244" s="314" t="s">
        <v>69</v>
      </c>
      <c r="D244" s="314"/>
      <c r="E244" s="314" t="s">
        <v>86</v>
      </c>
      <c r="F244" s="1243" t="str">
        <f>'Data &amp; hypothesis Adults'!G246</f>
        <v>400 mg</v>
      </c>
      <c r="G244" s="1237">
        <f>'Data &amp; hypothesis Adults'!H246</f>
        <v>180</v>
      </c>
      <c r="H244" s="1237">
        <f>'Data &amp; hypothesis Adults'!J246</f>
        <v>120</v>
      </c>
      <c r="I244" s="1216">
        <f>'Data &amp; hypothesis Adults'!K246</f>
        <v>0.66666666666666663</v>
      </c>
      <c r="J244" s="813">
        <v>0</v>
      </c>
      <c r="K244" s="813">
        <v>0</v>
      </c>
      <c r="L244" s="813">
        <v>0</v>
      </c>
      <c r="M244" s="813">
        <v>0</v>
      </c>
      <c r="N244" s="813" t="str">
        <v>0</v>
      </c>
      <c r="O244" s="815">
        <f t="shared" si="108"/>
        <v>0</v>
      </c>
      <c r="P244" s="813">
        <v>0</v>
      </c>
      <c r="Q244" s="813">
        <v>0</v>
      </c>
      <c r="R244" s="813">
        <v>0</v>
      </c>
      <c r="S244" s="813">
        <v>0</v>
      </c>
      <c r="T244" s="813" t="str">
        <v>0</v>
      </c>
      <c r="U244" s="815">
        <f t="shared" si="109"/>
        <v>0</v>
      </c>
      <c r="V244" s="816" t="str">
        <f t="shared" si="107"/>
        <v>0</v>
      </c>
    </row>
    <row r="245" spans="2:22" x14ac:dyDescent="0.2">
      <c r="B245" s="817"/>
      <c r="C245" s="323" t="s">
        <v>335</v>
      </c>
      <c r="D245" s="323"/>
      <c r="E245" s="323" t="s">
        <v>88</v>
      </c>
      <c r="F245" s="1244" t="str">
        <f>'Data &amp; hypothesis Adults'!G247</f>
        <v>100 mg</v>
      </c>
      <c r="G245" s="1238">
        <f>'Data &amp; hypothesis Adults'!H247</f>
        <v>84</v>
      </c>
      <c r="H245" s="1238">
        <f>'Data &amp; hypothesis Adults'!J247</f>
        <v>60</v>
      </c>
      <c r="I245" s="1217">
        <f>'Data &amp; hypothesis Adults'!K247</f>
        <v>0.7142857142857143</v>
      </c>
      <c r="J245" s="818">
        <v>0</v>
      </c>
      <c r="K245" s="818">
        <v>0</v>
      </c>
      <c r="L245" s="818">
        <v>0</v>
      </c>
      <c r="M245" s="818">
        <v>0</v>
      </c>
      <c r="N245" s="818" t="str">
        <v>0</v>
      </c>
      <c r="O245" s="820">
        <f t="shared" si="108"/>
        <v>0</v>
      </c>
      <c r="P245" s="818">
        <v>0</v>
      </c>
      <c r="Q245" s="818">
        <v>0</v>
      </c>
      <c r="R245" s="818">
        <v>0</v>
      </c>
      <c r="S245" s="818">
        <v>0</v>
      </c>
      <c r="T245" s="818" t="str">
        <v>0</v>
      </c>
      <c r="U245" s="820">
        <f t="shared" si="109"/>
        <v>0</v>
      </c>
      <c r="V245" s="821" t="str">
        <f t="shared" si="107"/>
        <v>0</v>
      </c>
    </row>
    <row r="246" spans="2:22" x14ac:dyDescent="0.2">
      <c r="B246" s="817"/>
      <c r="C246" s="323" t="s">
        <v>68</v>
      </c>
      <c r="D246" s="323"/>
      <c r="E246" s="323" t="s">
        <v>88</v>
      </c>
      <c r="F246" s="1244" t="str">
        <f>'Data &amp; hypothesis Adults'!G248</f>
        <v>500 mg</v>
      </c>
      <c r="G246" s="1238">
        <f>'Data &amp; hypothesis Adults'!H248</f>
        <v>120</v>
      </c>
      <c r="H246" s="1238">
        <f>'Data &amp; hypothesis Adults'!J248</f>
        <v>120</v>
      </c>
      <c r="I246" s="1213">
        <f>'Data &amp; hypothesis Adults'!K248</f>
        <v>1</v>
      </c>
      <c r="J246" s="818">
        <v>0</v>
      </c>
      <c r="K246" s="818">
        <v>0</v>
      </c>
      <c r="L246" s="818">
        <v>0</v>
      </c>
      <c r="M246" s="818">
        <v>0</v>
      </c>
      <c r="N246" s="818" t="str">
        <v>0</v>
      </c>
      <c r="O246" s="820">
        <f t="shared" si="108"/>
        <v>0</v>
      </c>
      <c r="P246" s="818">
        <v>0</v>
      </c>
      <c r="Q246" s="818">
        <v>0</v>
      </c>
      <c r="R246" s="818">
        <v>0</v>
      </c>
      <c r="S246" s="818">
        <v>0</v>
      </c>
      <c r="T246" s="818" t="str">
        <v>0</v>
      </c>
      <c r="U246" s="820">
        <f t="shared" si="109"/>
        <v>0</v>
      </c>
      <c r="V246" s="821" t="str">
        <f t="shared" si="107"/>
        <v>0</v>
      </c>
    </row>
    <row r="247" spans="2:22" x14ac:dyDescent="0.2">
      <c r="B247" s="817"/>
      <c r="C247" s="323" t="s">
        <v>576</v>
      </c>
      <c r="D247" s="323"/>
      <c r="E247" s="323" t="s">
        <v>599</v>
      </c>
      <c r="F247" s="1244" t="str">
        <f>'Data &amp; hypothesis Adults'!G249</f>
        <v>300/100 mg</v>
      </c>
      <c r="G247" s="1238">
        <f>'Data &amp; hypothesis Adults'!H249</f>
        <v>30</v>
      </c>
      <c r="H247" s="1238">
        <f>'Data &amp; hypothesis Adults'!J249</f>
        <v>30</v>
      </c>
      <c r="I247" s="1213">
        <f>'Data &amp; hypothesis Adults'!K249</f>
        <v>1</v>
      </c>
      <c r="J247" s="818">
        <v>418.83839999999998</v>
      </c>
      <c r="K247" s="818">
        <v>0</v>
      </c>
      <c r="L247" s="818">
        <v>0</v>
      </c>
      <c r="M247" s="818">
        <v>0</v>
      </c>
      <c r="N247" s="818" t="str">
        <v>0</v>
      </c>
      <c r="O247" s="820">
        <f t="shared" si="108"/>
        <v>419</v>
      </c>
      <c r="P247" s="818">
        <v>523.548</v>
      </c>
      <c r="Q247" s="818">
        <v>0</v>
      </c>
      <c r="R247" s="818">
        <v>0</v>
      </c>
      <c r="S247" s="818">
        <v>0</v>
      </c>
      <c r="T247" s="818" t="str">
        <v>0</v>
      </c>
      <c r="U247" s="820">
        <f t="shared" si="109"/>
        <v>524</v>
      </c>
      <c r="V247" s="821">
        <f t="shared" si="107"/>
        <v>105</v>
      </c>
    </row>
    <row r="248" spans="2:22" x14ac:dyDescent="0.2">
      <c r="B248" s="831"/>
      <c r="C248" s="332" t="s">
        <v>343</v>
      </c>
      <c r="D248" s="332"/>
      <c r="E248" s="332" t="s">
        <v>521</v>
      </c>
      <c r="F248" s="1246" t="str">
        <f>'Data &amp; hypothesis Adults'!G250</f>
        <v>600 mg</v>
      </c>
      <c r="G248" s="1240">
        <f>'Data &amp; hypothesis Adults'!H250</f>
        <v>60</v>
      </c>
      <c r="H248" s="1240">
        <f>'Data &amp; hypothesis Adults'!J250</f>
        <v>60</v>
      </c>
      <c r="I248" s="1215">
        <f>'Data &amp; hypothesis Adults'!K250</f>
        <v>1</v>
      </c>
      <c r="J248" s="827">
        <v>0</v>
      </c>
      <c r="K248" s="827">
        <v>0</v>
      </c>
      <c r="L248" s="827">
        <v>0</v>
      </c>
      <c r="M248" s="827">
        <v>0</v>
      </c>
      <c r="N248" s="827" t="str">
        <v>0</v>
      </c>
      <c r="O248" s="829">
        <f t="shared" si="108"/>
        <v>0</v>
      </c>
      <c r="P248" s="827">
        <v>0</v>
      </c>
      <c r="Q248" s="827">
        <v>0</v>
      </c>
      <c r="R248" s="827">
        <v>0</v>
      </c>
      <c r="S248" s="827">
        <v>0</v>
      </c>
      <c r="T248" s="827" t="str">
        <v>0</v>
      </c>
      <c r="U248" s="829">
        <f t="shared" si="109"/>
        <v>0</v>
      </c>
      <c r="V248" s="830" t="str">
        <f t="shared" si="107"/>
        <v>0</v>
      </c>
    </row>
    <row r="249" spans="2:22" x14ac:dyDescent="0.2">
      <c r="B249" s="826" t="s">
        <v>331</v>
      </c>
      <c r="C249" s="332" t="s">
        <v>329</v>
      </c>
      <c r="D249" s="332"/>
      <c r="E249" s="332" t="s">
        <v>521</v>
      </c>
      <c r="F249" s="1246" t="str">
        <f>'Data &amp; hypothesis Adults'!G251</f>
        <v>400 mg</v>
      </c>
      <c r="G249" s="1240">
        <f>'Data &amp; hypothesis Adults'!H251</f>
        <v>60</v>
      </c>
      <c r="H249" s="1240">
        <f>'Data &amp; hypothesis Adults'!J251</f>
        <v>60</v>
      </c>
      <c r="I249" s="1215">
        <f>'Data &amp; hypothesis Adults'!K251</f>
        <v>1</v>
      </c>
      <c r="J249" s="827">
        <v>0</v>
      </c>
      <c r="K249" s="827">
        <v>0</v>
      </c>
      <c r="L249" s="827">
        <v>0</v>
      </c>
      <c r="M249" s="827">
        <v>0</v>
      </c>
      <c r="N249" s="827" t="str">
        <v>0</v>
      </c>
      <c r="O249" s="829">
        <f t="shared" si="108"/>
        <v>0</v>
      </c>
      <c r="P249" s="827">
        <v>0</v>
      </c>
      <c r="Q249" s="827">
        <v>0</v>
      </c>
      <c r="R249" s="827">
        <v>0</v>
      </c>
      <c r="S249" s="827">
        <v>0</v>
      </c>
      <c r="T249" s="827" t="str">
        <v>0</v>
      </c>
      <c r="U249" s="829">
        <f t="shared" si="109"/>
        <v>0</v>
      </c>
      <c r="V249" s="830" t="str">
        <f t="shared" si="107"/>
        <v>0</v>
      </c>
    </row>
    <row r="250" spans="2:22" ht="13.5" thickBot="1" x14ac:dyDescent="0.25">
      <c r="B250" s="832" t="str">
        <f>'TRAD-Adults YEAR(1)'!B132</f>
        <v>NNRTI 3ème ligne</v>
      </c>
      <c r="C250" s="342" t="s">
        <v>330</v>
      </c>
      <c r="D250" s="342"/>
      <c r="E250" s="342" t="s">
        <v>521</v>
      </c>
      <c r="F250" s="1247" t="str">
        <f>'Data &amp; hypothesis Adults'!G252</f>
        <v>100 mg</v>
      </c>
      <c r="G250" s="1241">
        <f>'Data &amp; hypothesis Adults'!H252</f>
        <v>120</v>
      </c>
      <c r="H250" s="1241">
        <f>'Data &amp; hypothesis Adults'!J252</f>
        <v>120</v>
      </c>
      <c r="I250" s="1218">
        <f>'Data &amp; hypothesis Adults'!K252</f>
        <v>1</v>
      </c>
      <c r="J250" s="833">
        <v>0</v>
      </c>
      <c r="K250" s="833">
        <v>0</v>
      </c>
      <c r="L250" s="833">
        <v>0</v>
      </c>
      <c r="M250" s="833">
        <v>0</v>
      </c>
      <c r="N250" s="833" t="str">
        <v>0</v>
      </c>
      <c r="O250" s="834">
        <f t="shared" si="108"/>
        <v>0</v>
      </c>
      <c r="P250" s="833">
        <v>0</v>
      </c>
      <c r="Q250" s="833">
        <v>0</v>
      </c>
      <c r="R250" s="833">
        <v>0</v>
      </c>
      <c r="S250" s="833">
        <v>0</v>
      </c>
      <c r="T250" s="833" t="str">
        <v>0</v>
      </c>
      <c r="U250" s="834">
        <f t="shared" si="109"/>
        <v>0</v>
      </c>
      <c r="V250" s="835" t="str">
        <f t="shared" si="107"/>
        <v>0</v>
      </c>
    </row>
    <row r="253" spans="2:22" x14ac:dyDescent="0.2">
      <c r="B253" s="290" t="str">
        <f>'TRAD-Adults YEAR(1)'!B17</f>
        <v>Commentaire</v>
      </c>
      <c r="C253" s="291"/>
      <c r="D253" s="291"/>
      <c r="E253" s="291"/>
      <c r="F253" s="291"/>
      <c r="G253" s="291"/>
      <c r="H253" s="291"/>
      <c r="I253" s="291"/>
      <c r="J253" s="291"/>
      <c r="K253" s="291"/>
      <c r="L253" s="291"/>
      <c r="M253" s="291"/>
      <c r="N253" s="497"/>
    </row>
    <row r="254" spans="2:22" x14ac:dyDescent="0.2">
      <c r="B254" s="292" t="s">
        <v>240</v>
      </c>
      <c r="C254" s="293" t="str">
        <f>'TRAD-Adults YEAR(1)'!B125</f>
        <v>La défalcation sur les premières lignes se fait dans les cellules oranges selon les paramètres définis dans l'onglet Données. Elle est obtenue par le calcul suivant :</v>
      </c>
    </row>
    <row r="255" spans="2:22" ht="25.5" customHeight="1" x14ac:dyDescent="0.2">
      <c r="C255" s="2145" t="str">
        <f>'TRAD-Adults YEAR(1)'!B126</f>
        <v xml:space="preserve"> =Nb de patients mois en 2ème lignes*proportion que représente le médicament dans les schémas de premières lignes à la fin de l'année* taux de défalcation défini (onglet 'Données Adultes')*Nb de bte/mois/patient</v>
      </c>
      <c r="D255" s="2145"/>
      <c r="E255" s="2145"/>
      <c r="F255" s="2145"/>
      <c r="G255" s="2145"/>
      <c r="H255" s="2145"/>
      <c r="I255" s="2145"/>
      <c r="J255" s="2145"/>
      <c r="K255" s="2145"/>
      <c r="L255" s="2145"/>
    </row>
    <row r="256" spans="2:22" x14ac:dyDescent="0.2">
      <c r="B256" s="292" t="s">
        <v>337</v>
      </c>
      <c r="C256" s="293" t="str">
        <f>'TRAD-Adults YEAR(1)'!B127</f>
        <v>ajustement posologique de la DDI selon les paramètres définis dans l'onglet 'Données… Adultes'</v>
      </c>
    </row>
    <row r="257" spans="2:3" x14ac:dyDescent="0.2">
      <c r="B257" s="292" t="s">
        <v>338</v>
      </c>
      <c r="C257" s="293" t="str">
        <f>'TRAD-Adults YEAR(1)'!B128</f>
        <v>Posologies calculées comme défini dans l'onglet 1. Présentation.  Le nombre de boite / mois / patient est considéré ici pour 1 caps / jour.</v>
      </c>
    </row>
    <row r="258" spans="2:3" x14ac:dyDescent="0.2">
      <c r="B258" s="292" t="s">
        <v>344</v>
      </c>
      <c r="C258" s="293" t="str">
        <f>'TRAD-Adults YEAR(1)'!B129</f>
        <v>Nous avons considéré ici la nouvelle forme galénique du DRV à 600 mg</v>
      </c>
    </row>
  </sheetData>
  <sheetProtection algorithmName="SHA-512" hashValue="RfpLHbwSeLgJbdNe+ONwAXCzDX2nemxzYb/kXuZr5Na6GT22x3jHVjds0FF6VgEt970EB6CDiA+edMYaIAxTag==" saltValue="McFxUy7IS6j5tzaGY2sXHw==" spinCount="100000" sheet="1" objects="1" scenarios="1" selectLockedCells="1"/>
  <mergeCells count="29">
    <mergeCell ref="C255:L255"/>
    <mergeCell ref="C90:M90"/>
    <mergeCell ref="D138:E138"/>
    <mergeCell ref="F138:G138"/>
    <mergeCell ref="H138:I138"/>
    <mergeCell ref="B222:F222"/>
    <mergeCell ref="L222:M222"/>
    <mergeCell ref="A106:L106"/>
    <mergeCell ref="B135:F135"/>
    <mergeCell ref="L135:M135"/>
    <mergeCell ref="B199:B202"/>
    <mergeCell ref="B203:B207"/>
    <mergeCell ref="B213:B214"/>
    <mergeCell ref="B208:B212"/>
    <mergeCell ref="J224:O224"/>
    <mergeCell ref="A2:L2"/>
    <mergeCell ref="A34:L34"/>
    <mergeCell ref="B36:F36"/>
    <mergeCell ref="G36:K36"/>
    <mergeCell ref="L36:M36"/>
    <mergeCell ref="P224:U224"/>
    <mergeCell ref="B66:F66"/>
    <mergeCell ref="B83:F83"/>
    <mergeCell ref="G66:K66"/>
    <mergeCell ref="G83:K83"/>
    <mergeCell ref="L83:M83"/>
    <mergeCell ref="L66:M66"/>
    <mergeCell ref="B169:F169"/>
    <mergeCell ref="L169:M169"/>
  </mergeCells>
  <phoneticPr fontId="2" type="noConversion"/>
  <conditionalFormatting sqref="D181:AB198">
    <cfRule type="cellIs" dxfId="17" priority="2" operator="equal">
      <formula>0</formula>
    </cfRule>
  </conditionalFormatting>
  <pageMargins left="0.78740157499999996" right="0.78740157499999996" top="0.984251969" bottom="0.984251969" header="0.4921259845" footer="0.4921259845"/>
  <pageSetup paperSize="9" orientation="portrait"/>
  <headerFooter alignWithMargins="0"/>
  <legacy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Y707"/>
  <sheetViews>
    <sheetView topLeftCell="A40" zoomScale="75" zoomScaleNormal="75" zoomScalePageLayoutView="75" workbookViewId="0">
      <selection activeCell="D6" sqref="D6"/>
    </sheetView>
  </sheetViews>
  <sheetFormatPr baseColWidth="10" defaultColWidth="11.5" defaultRowHeight="15" x14ac:dyDescent="0.2"/>
  <cols>
    <col min="1" max="1" width="6" style="1614" customWidth="1"/>
    <col min="2" max="2" width="62.83203125" style="1689" customWidth="1"/>
    <col min="3" max="3" width="6.1640625" style="1614" customWidth="1"/>
    <col min="4" max="5" width="96.6640625" style="1614" customWidth="1"/>
    <col min="6" max="6" width="12" style="1614" customWidth="1"/>
    <col min="7" max="7" width="109" style="1614" customWidth="1"/>
    <col min="8" max="25" width="12" style="1614" customWidth="1"/>
    <col min="26" max="16384" width="11.5" style="1614"/>
  </cols>
  <sheetData>
    <row r="1" spans="2:25" x14ac:dyDescent="0.2">
      <c r="B1" s="1689" t="s">
        <v>827</v>
      </c>
      <c r="C1" s="1616"/>
      <c r="D1" s="1662" t="s">
        <v>754</v>
      </c>
      <c r="E1" s="1663" t="s">
        <v>753</v>
      </c>
    </row>
    <row r="2" spans="2:25" s="1617" customFormat="1" x14ac:dyDescent="0.2">
      <c r="B2" s="1755" t="str">
        <f>IF(Presentation!$D$2="Français",'TRAD-Adults YEAR(1)'!D2,IF(Presentation!$D$2="Anglais",'TRAD-Adults YEAR(1)'!E2,""))</f>
        <v>Voir l'évolution des diagrammes</v>
      </c>
      <c r="D2" s="1617" t="s">
        <v>917</v>
      </c>
      <c r="E2" s="1619" t="s">
        <v>1428</v>
      </c>
      <c r="F2" s="1619"/>
      <c r="G2" s="1619"/>
      <c r="H2" s="1619"/>
      <c r="I2" s="1619"/>
      <c r="J2" s="1619"/>
      <c r="K2" s="1619"/>
      <c r="L2" s="1619"/>
      <c r="M2" s="1619"/>
      <c r="N2" s="1619"/>
      <c r="O2" s="1619"/>
      <c r="P2" s="1619"/>
      <c r="Q2" s="1619"/>
      <c r="R2" s="1619"/>
      <c r="S2" s="1619"/>
      <c r="T2" s="1619"/>
      <c r="U2" s="1619"/>
      <c r="V2" s="1619"/>
      <c r="W2" s="1619"/>
      <c r="X2" s="1619"/>
      <c r="Y2" s="1619"/>
    </row>
    <row r="3" spans="2:25" s="1617" customFormat="1" x14ac:dyDescent="0.2">
      <c r="B3" s="1755" t="str">
        <f>IF(Presentation!$D$2="Français",'TRAD-Adults YEAR(1)'!D3,IF(Presentation!$D$2="Anglais",'TRAD-Adults YEAR(1)'!E3,""))</f>
        <v>Période réellement quantifiée :</v>
      </c>
      <c r="D3" s="1619" t="s">
        <v>402</v>
      </c>
      <c r="E3" s="1617" t="s">
        <v>1429</v>
      </c>
      <c r="F3" s="1619"/>
      <c r="G3" s="1619"/>
      <c r="H3" s="1619"/>
      <c r="I3" s="1619"/>
      <c r="J3" s="1619"/>
      <c r="K3" s="1619"/>
      <c r="L3" s="1619"/>
      <c r="M3" s="1619"/>
      <c r="N3" s="1619"/>
      <c r="O3" s="1619"/>
      <c r="P3" s="1619"/>
      <c r="Q3" s="1619"/>
      <c r="R3" s="1619"/>
      <c r="S3" s="1619"/>
      <c r="T3" s="1619"/>
      <c r="U3" s="1619"/>
      <c r="V3" s="1619"/>
      <c r="W3" s="1619"/>
      <c r="X3" s="1619"/>
      <c r="Y3" s="1619"/>
    </row>
    <row r="4" spans="2:25" s="1617" customFormat="1" x14ac:dyDescent="0.2">
      <c r="B4" s="1755" t="str">
        <f>IF(Presentation!$D$2="Français",'TRAD-Adults YEAR(1)'!D4,IF(Presentation!$D$2="Anglais",'TRAD-Adults YEAR(1)'!E4,""))</f>
        <v>Période quantifiée + tampon</v>
      </c>
      <c r="D4" s="1619" t="s">
        <v>614</v>
      </c>
      <c r="E4" s="1619" t="s">
        <v>919</v>
      </c>
      <c r="F4" s="1619"/>
      <c r="G4" s="1619"/>
      <c r="H4" s="1619"/>
      <c r="I4" s="1619"/>
      <c r="J4" s="1619"/>
      <c r="K4" s="1619"/>
      <c r="L4" s="1619"/>
      <c r="M4" s="1619"/>
      <c r="N4" s="1619"/>
      <c r="O4" s="1619"/>
      <c r="P4" s="1619"/>
      <c r="Q4" s="1619"/>
      <c r="R4" s="1619"/>
      <c r="S4" s="1619"/>
      <c r="T4" s="1619"/>
      <c r="U4" s="1619"/>
      <c r="V4" s="1619"/>
      <c r="W4" s="1619"/>
      <c r="X4" s="1619"/>
      <c r="Y4" s="1619"/>
    </row>
    <row r="5" spans="2:25" s="1617" customFormat="1" x14ac:dyDescent="0.2">
      <c r="B5" s="1755" t="str">
        <f>IF(Presentation!$D$2="Français",'TRAD-Adults YEAR(1)'!D5,IF(Presentation!$D$2="Anglais",'TRAD-Adults YEAR(1)'!E5,""))</f>
        <v>mois</v>
      </c>
      <c r="D5" s="1619" t="s">
        <v>220</v>
      </c>
      <c r="E5" s="1617" t="s">
        <v>920</v>
      </c>
      <c r="F5" s="1619"/>
      <c r="G5" s="1619"/>
      <c r="I5" s="1619"/>
      <c r="K5" s="1619"/>
      <c r="L5" s="1619"/>
      <c r="M5" s="1619"/>
      <c r="N5" s="1619"/>
      <c r="O5" s="1619"/>
      <c r="P5" s="1619"/>
      <c r="Q5" s="1619"/>
      <c r="R5" s="1619"/>
      <c r="S5" s="1619"/>
      <c r="T5" s="1619"/>
      <c r="U5" s="1619"/>
      <c r="V5" s="1619"/>
      <c r="W5" s="1619"/>
      <c r="X5" s="1619"/>
      <c r="Y5" s="1619"/>
    </row>
    <row r="6" spans="2:25" s="1617" customFormat="1" x14ac:dyDescent="0.2">
      <c r="B6" s="1755" t="str">
        <f>IF(Presentation!$D$2="Français",'TRAD-Adults YEAR(1)'!D6,IF(Presentation!$D$2="Anglais",'TRAD-Adults YEAR(1)'!E6,""))</f>
        <v>Facteur multiplicateur</v>
      </c>
      <c r="D6" s="1619" t="s">
        <v>615</v>
      </c>
      <c r="E6" s="1617" t="s">
        <v>921</v>
      </c>
      <c r="F6" s="1619"/>
      <c r="G6" s="1619"/>
      <c r="H6" s="1618"/>
      <c r="I6" s="1619"/>
      <c r="K6" s="1619"/>
      <c r="L6" s="1619"/>
      <c r="M6" s="1619"/>
      <c r="N6" s="1619"/>
      <c r="O6" s="1619"/>
      <c r="P6" s="1619"/>
      <c r="Q6" s="1619"/>
      <c r="R6" s="1619"/>
      <c r="S6" s="1619"/>
      <c r="T6" s="1619"/>
      <c r="U6" s="1619"/>
      <c r="V6" s="1619"/>
      <c r="W6" s="1619"/>
      <c r="X6" s="1619"/>
      <c r="Y6" s="1619"/>
    </row>
    <row r="7" spans="2:25" s="1617" customFormat="1" x14ac:dyDescent="0.2">
      <c r="B7" s="1755" t="str">
        <f>IF(Presentation!$D$2="Français",'TRAD-Adults YEAR(1)'!D7,IF(Presentation!$D$2="Anglais",'TRAD-Adults YEAR(1)'!E7,""))</f>
        <v>Schémas</v>
      </c>
      <c r="D7" s="1619" t="s">
        <v>188</v>
      </c>
      <c r="E7" s="1619" t="s">
        <v>942</v>
      </c>
      <c r="I7" s="1619"/>
      <c r="J7" s="1619"/>
      <c r="K7" s="1619"/>
      <c r="L7" s="1619"/>
      <c r="M7" s="1619"/>
      <c r="N7" s="1619"/>
      <c r="O7" s="1619"/>
      <c r="P7" s="1619"/>
      <c r="Q7" s="1619"/>
      <c r="R7" s="1619"/>
      <c r="S7" s="1619"/>
      <c r="T7" s="1619"/>
      <c r="U7" s="1619"/>
      <c r="V7" s="1619"/>
      <c r="W7" s="1619"/>
      <c r="X7" s="1619"/>
      <c r="Y7" s="1619"/>
    </row>
    <row r="8" spans="2:25" s="1617" customFormat="1" x14ac:dyDescent="0.2">
      <c r="B8" s="1755" t="str">
        <f>IF(Presentation!$D$2="Français",'TRAD-Adults YEAR(1)'!D8,IF(Presentation!$D$2="Anglais",'TRAD-Adults YEAR(1)'!E8,""))</f>
        <v>Nb de patients théoriques pour XXX patients totaux</v>
      </c>
      <c r="D8" s="1619" t="s">
        <v>183</v>
      </c>
      <c r="E8" s="1617" t="s">
        <v>991</v>
      </c>
      <c r="F8" s="1619"/>
      <c r="G8" s="1735"/>
      <c r="H8" s="1736"/>
      <c r="I8" s="1619"/>
      <c r="K8" s="1619"/>
      <c r="L8" s="1737"/>
      <c r="M8" s="1619"/>
      <c r="N8" s="1619"/>
      <c r="O8" s="1619"/>
      <c r="P8" s="1619"/>
      <c r="Q8" s="1619"/>
      <c r="R8" s="1619"/>
      <c r="S8" s="1619"/>
      <c r="T8" s="1619"/>
      <c r="U8" s="1619"/>
      <c r="V8" s="1619"/>
      <c r="W8" s="1619"/>
      <c r="X8" s="1619"/>
      <c r="Y8" s="1619"/>
    </row>
    <row r="9" spans="2:25" s="1617" customFormat="1" x14ac:dyDescent="0.2">
      <c r="B9" s="1755" t="str">
        <f>IF(Presentation!$D$2="Français",'TRAD-Adults YEAR(1)'!D9,IF(Presentation!$D$2="Anglais",'TRAD-Adults YEAR(1)'!E9,""))</f>
        <v>Proportion prévue au début de la période</v>
      </c>
      <c r="D9" s="1619" t="s">
        <v>309</v>
      </c>
      <c r="E9" s="1619" t="s">
        <v>922</v>
      </c>
      <c r="F9" s="1619"/>
      <c r="G9" s="1735"/>
      <c r="H9" s="1736"/>
      <c r="I9" s="1619"/>
      <c r="J9" s="1619"/>
      <c r="L9" s="1738"/>
      <c r="M9" s="1619"/>
      <c r="N9" s="1619"/>
      <c r="O9" s="1619"/>
      <c r="P9" s="1619"/>
      <c r="Q9" s="1619"/>
      <c r="R9" s="1619"/>
      <c r="S9" s="1619"/>
      <c r="T9" s="1619"/>
      <c r="U9" s="1619"/>
      <c r="V9" s="1619"/>
      <c r="W9" s="1619"/>
      <c r="X9" s="1619"/>
      <c r="Y9" s="1619"/>
    </row>
    <row r="10" spans="2:25" s="1617" customFormat="1" x14ac:dyDescent="0.2">
      <c r="B10" s="1755" t="str">
        <f>IF(Presentation!$D$2="Français",'TRAD-Adults YEAR(1)'!D10,IF(Presentation!$D$2="Anglais",'TRAD-Adults YEAR(1)'!E10,""))</f>
        <v>1ères lignes</v>
      </c>
      <c r="D10" s="1619" t="s">
        <v>134</v>
      </c>
      <c r="E10" s="1619" t="s">
        <v>426</v>
      </c>
      <c r="F10" s="1619"/>
      <c r="G10" s="1735"/>
      <c r="H10" s="1736"/>
      <c r="I10" s="1619"/>
      <c r="K10" s="1619"/>
      <c r="L10" s="1737"/>
      <c r="M10" s="1619"/>
      <c r="N10" s="1619"/>
      <c r="O10" s="1619"/>
      <c r="P10" s="1619"/>
      <c r="Q10" s="1619"/>
      <c r="R10" s="1619"/>
      <c r="S10" s="1619"/>
      <c r="T10" s="1619"/>
      <c r="U10" s="1619"/>
      <c r="V10" s="1619"/>
      <c r="W10" s="1619"/>
      <c r="X10" s="1619"/>
      <c r="Y10" s="1619"/>
    </row>
    <row r="11" spans="2:25" s="1617" customFormat="1" x14ac:dyDescent="0.2">
      <c r="B11" s="1755" t="str">
        <f>IF(Presentation!$D$2="Français",'TRAD-Adults YEAR(1)'!D11,IF(Presentation!$D$2="Anglais",'TRAD-Adults YEAR(1)'!E11,""))</f>
        <v>2èmes lignes</v>
      </c>
      <c r="D11" s="1619" t="s">
        <v>64</v>
      </c>
      <c r="E11" s="1619" t="s">
        <v>427</v>
      </c>
      <c r="F11" s="1619"/>
      <c r="G11" s="1735"/>
      <c r="H11" s="1736"/>
      <c r="I11" s="1619"/>
      <c r="J11" s="1619"/>
      <c r="K11" s="1619"/>
      <c r="L11" s="1738"/>
      <c r="M11" s="1619"/>
      <c r="N11" s="1619"/>
      <c r="O11" s="1619"/>
      <c r="P11" s="1619"/>
      <c r="Q11" s="1619"/>
      <c r="R11" s="1619"/>
      <c r="S11" s="1619"/>
      <c r="T11" s="1619"/>
      <c r="U11" s="1619"/>
      <c r="V11" s="1619"/>
      <c r="W11" s="1619"/>
      <c r="X11" s="1619"/>
      <c r="Y11" s="1619"/>
    </row>
    <row r="12" spans="2:25" s="1617" customFormat="1" x14ac:dyDescent="0.2">
      <c r="B12" s="1755" t="str">
        <f>IF(Presentation!$D$2="Français",'TRAD-Adults YEAR(1)'!D12,IF(Presentation!$D$2="Anglais",'TRAD-Adults YEAR(1)'!E12,""))</f>
        <v>3èmes lignes</v>
      </c>
      <c r="D12" s="1619" t="s">
        <v>187</v>
      </c>
      <c r="E12" s="1619" t="s">
        <v>428</v>
      </c>
      <c r="F12" s="1619"/>
      <c r="G12" s="1735"/>
      <c r="H12" s="1736"/>
      <c r="I12" s="1619"/>
      <c r="J12" s="1619"/>
      <c r="K12" s="1619"/>
      <c r="L12" s="1738"/>
      <c r="M12" s="1619"/>
      <c r="N12" s="1619"/>
      <c r="O12" s="1619"/>
      <c r="P12" s="1619"/>
      <c r="Q12" s="1619"/>
      <c r="R12" s="1619"/>
      <c r="S12" s="1619"/>
      <c r="T12" s="1619"/>
      <c r="U12" s="1619"/>
      <c r="V12" s="1619"/>
      <c r="W12" s="1619"/>
      <c r="X12" s="1619"/>
      <c r="Y12" s="1619"/>
    </row>
    <row r="13" spans="2:25" s="1617" customFormat="1" x14ac:dyDescent="0.2">
      <c r="B13" s="1755" t="str">
        <f>IF(Presentation!$D$2="Français",'TRAD-Adults YEAR(1)'!D13,IF(Presentation!$D$2="Anglais",'TRAD-Adults YEAR(1)'!E13,""))</f>
        <v>Total Premières lignes</v>
      </c>
      <c r="D13" s="1619" t="s">
        <v>276</v>
      </c>
      <c r="E13" s="1619" t="s">
        <v>992</v>
      </c>
      <c r="F13" s="1619"/>
      <c r="G13" s="1735"/>
      <c r="H13" s="1736"/>
      <c r="I13" s="1619"/>
      <c r="J13" s="1619"/>
      <c r="K13" s="1619"/>
      <c r="L13" s="1619"/>
      <c r="M13" s="1619"/>
      <c r="N13" s="1619"/>
      <c r="O13" s="1619"/>
      <c r="P13" s="1619"/>
      <c r="Q13" s="1619"/>
      <c r="R13" s="1619"/>
      <c r="S13" s="1619"/>
      <c r="T13" s="1619"/>
      <c r="U13" s="1619"/>
      <c r="V13" s="1619"/>
      <c r="W13" s="1619"/>
      <c r="X13" s="1619"/>
      <c r="Y13" s="1619"/>
    </row>
    <row r="14" spans="2:25" s="1617" customFormat="1" x14ac:dyDescent="0.2">
      <c r="B14" s="1755" t="str">
        <f>IF(Presentation!$D$2="Français",'TRAD-Adults YEAR(1)'!D14,IF(Presentation!$D$2="Anglais",'TRAD-Adults YEAR(1)'!E14,""))</f>
        <v>Proportion</v>
      </c>
      <c r="D14" s="1619" t="s">
        <v>51</v>
      </c>
      <c r="E14" s="1619" t="s">
        <v>922</v>
      </c>
      <c r="F14" s="1619"/>
      <c r="G14" s="1735"/>
      <c r="H14" s="1736"/>
      <c r="I14" s="1619"/>
      <c r="J14" s="1619"/>
      <c r="K14" s="1619"/>
      <c r="L14" s="1619"/>
      <c r="M14" s="1619"/>
      <c r="N14" s="1619"/>
      <c r="O14" s="1619"/>
      <c r="P14" s="1619"/>
      <c r="Q14" s="1619"/>
      <c r="R14" s="1619"/>
      <c r="S14" s="1619"/>
      <c r="T14" s="1619"/>
      <c r="U14" s="1619"/>
      <c r="V14" s="1619"/>
      <c r="W14" s="1619"/>
      <c r="X14" s="1619"/>
      <c r="Y14" s="1619"/>
    </row>
    <row r="15" spans="2:25" s="1617" customFormat="1" x14ac:dyDescent="0.2">
      <c r="B15" s="1755" t="str">
        <f>IF(Presentation!$D$2="Français",'TRAD-Adults YEAR(1)'!D15,IF(Presentation!$D$2="Anglais",'TRAD-Adults YEAR(1)'!E15,""))</f>
        <v>Total Deuxièmes lignes</v>
      </c>
      <c r="D15" s="1619" t="s">
        <v>293</v>
      </c>
      <c r="E15" s="1619" t="s">
        <v>923</v>
      </c>
      <c r="F15" s="1619"/>
      <c r="G15" s="1735"/>
      <c r="H15" s="1736"/>
      <c r="I15" s="1619"/>
      <c r="J15" s="1619"/>
      <c r="K15" s="1619"/>
      <c r="L15" s="1619"/>
      <c r="M15" s="1619"/>
      <c r="N15" s="1619"/>
      <c r="O15" s="1619"/>
      <c r="P15" s="1619"/>
      <c r="Q15" s="1619"/>
      <c r="R15" s="1619"/>
      <c r="S15" s="1619"/>
      <c r="T15" s="1619"/>
      <c r="U15" s="1619"/>
      <c r="V15" s="1619"/>
      <c r="W15" s="1619"/>
      <c r="X15" s="1619"/>
      <c r="Y15" s="1619"/>
    </row>
    <row r="16" spans="2:25" s="1617" customFormat="1" x14ac:dyDescent="0.2">
      <c r="B16" s="1755" t="str">
        <f>IF(Presentation!$D$2="Français",'TRAD-Adults YEAR(1)'!D16,IF(Presentation!$D$2="Anglais",'TRAD-Adults YEAR(1)'!E16,""))</f>
        <v>nb de patient total 3èmes lignes</v>
      </c>
      <c r="D16" s="1619" t="s">
        <v>195</v>
      </c>
      <c r="E16" s="1619" t="s">
        <v>924</v>
      </c>
      <c r="F16" s="1619"/>
      <c r="G16" s="1735"/>
      <c r="H16" s="1736"/>
      <c r="I16" s="1619"/>
      <c r="J16" s="1619"/>
      <c r="K16" s="1619"/>
      <c r="L16" s="1619"/>
      <c r="M16" s="1619"/>
      <c r="N16" s="1619"/>
      <c r="O16" s="1619"/>
      <c r="P16" s="1619"/>
      <c r="Q16" s="1619"/>
      <c r="R16" s="1619"/>
      <c r="S16" s="1619"/>
      <c r="T16" s="1619"/>
      <c r="U16" s="1619"/>
      <c r="V16" s="1619"/>
      <c r="W16" s="1619"/>
      <c r="X16" s="1619"/>
      <c r="Y16" s="1619"/>
    </row>
    <row r="17" spans="2:25" s="1617" customFormat="1" x14ac:dyDescent="0.2">
      <c r="B17" s="1755" t="str">
        <f>IF(Presentation!$D$2="Français",'TRAD-Adults YEAR(1)'!D17,IF(Presentation!$D$2="Anglais",'TRAD-Adults YEAR(1)'!E17,""))</f>
        <v>Commentaire</v>
      </c>
      <c r="D17" s="1619" t="s">
        <v>285</v>
      </c>
      <c r="E17" s="1619" t="s">
        <v>413</v>
      </c>
      <c r="F17" s="1619"/>
      <c r="G17" s="1735"/>
      <c r="H17" s="1736"/>
      <c r="I17" s="1619"/>
      <c r="J17" s="1619"/>
      <c r="K17" s="1619"/>
      <c r="L17" s="1619"/>
      <c r="M17" s="1619"/>
      <c r="N17" s="1619"/>
      <c r="O17" s="1619"/>
      <c r="P17" s="1619"/>
      <c r="Q17" s="1619"/>
      <c r="R17" s="1619"/>
      <c r="S17" s="1619"/>
      <c r="T17" s="1619"/>
      <c r="U17" s="1619"/>
      <c r="V17" s="1619"/>
      <c r="W17" s="1619"/>
      <c r="X17" s="1619"/>
      <c r="Y17" s="1619"/>
    </row>
    <row r="18" spans="2:25" s="1617" customFormat="1" ht="45" x14ac:dyDescent="0.2">
      <c r="B18" s="1755" t="str">
        <f>IF(Presentation!$D$2="Français",'TRAD-Adults YEAR(1)'!D18,IF(Presentation!$D$2="Anglais",'TRAD-Adults YEAR(1)'!E18,""))</f>
        <v>considérant que le passage en 3ème ligne est théorique, le nombre total n'en tient pas compte de manière à laisser les quantités suffisantes en 2èmes lignes</v>
      </c>
      <c r="D18" s="1619" t="s">
        <v>198</v>
      </c>
      <c r="E18" s="1617" t="s">
        <v>925</v>
      </c>
      <c r="F18" s="1619"/>
      <c r="G18" s="1735"/>
      <c r="H18" s="1736"/>
      <c r="I18" s="1619"/>
      <c r="J18" s="1619"/>
      <c r="K18" s="1619"/>
      <c r="L18" s="1619"/>
      <c r="M18" s="1619"/>
      <c r="N18" s="1619"/>
      <c r="O18" s="1619"/>
      <c r="P18" s="1619"/>
      <c r="Q18" s="1619"/>
      <c r="R18" s="1619"/>
      <c r="S18" s="1619"/>
      <c r="T18" s="1619"/>
      <c r="U18" s="1619"/>
      <c r="V18" s="1619"/>
      <c r="W18" s="1619"/>
      <c r="X18" s="1619"/>
      <c r="Y18" s="1619"/>
    </row>
    <row r="19" spans="2:25" s="1617" customFormat="1" x14ac:dyDescent="0.2">
      <c r="B19" s="1755" t="str">
        <f>IF(Presentation!$D$2="Français",'TRAD-Adults YEAR(1)'!D19,IF(Presentation!$D$2="Anglais",'TRAD-Adults YEAR(1)'!E19,""))</f>
        <v>Répartition des Initiations</v>
      </c>
      <c r="D19" s="1619" t="s">
        <v>287</v>
      </c>
      <c r="E19" s="1619" t="s">
        <v>926</v>
      </c>
      <c r="F19" s="1619"/>
      <c r="G19" s="1619"/>
      <c r="H19" s="1618"/>
      <c r="I19" s="1619"/>
      <c r="J19" s="1619"/>
      <c r="K19" s="1619"/>
      <c r="L19" s="1619"/>
      <c r="M19" s="1619"/>
      <c r="N19" s="1619"/>
      <c r="O19" s="1619"/>
      <c r="P19" s="1619"/>
      <c r="Q19" s="1619"/>
      <c r="R19" s="1619"/>
      <c r="S19" s="1619"/>
      <c r="T19" s="1619"/>
      <c r="U19" s="1619"/>
      <c r="V19" s="1619"/>
      <c r="W19" s="1619"/>
      <c r="X19" s="1619"/>
      <c r="Y19" s="1619"/>
    </row>
    <row r="20" spans="2:25" s="1617" customFormat="1" x14ac:dyDescent="0.2">
      <c r="B20" s="1755" t="str">
        <f>IF(Presentation!$D$2="Français",'TRAD-Adults YEAR(1)'!D20,IF(Presentation!$D$2="Anglais",'TRAD-Adults YEAR(1)'!E20,""))</f>
        <v>Schémas thérap. Initiations</v>
      </c>
      <c r="D20" s="1619" t="s">
        <v>311</v>
      </c>
      <c r="E20" s="1619" t="s">
        <v>993</v>
      </c>
      <c r="F20" s="1619"/>
      <c r="G20" s="1735"/>
      <c r="H20" s="1736"/>
      <c r="I20" s="1619"/>
      <c r="J20" s="1619"/>
      <c r="K20" s="1619"/>
      <c r="L20" s="1619"/>
      <c r="M20" s="1619"/>
      <c r="N20" s="1619"/>
      <c r="O20" s="1619"/>
      <c r="P20" s="1619"/>
      <c r="Q20" s="1619"/>
      <c r="R20" s="1619"/>
      <c r="S20" s="1619"/>
      <c r="T20" s="1619"/>
      <c r="U20" s="1619"/>
      <c r="V20" s="1619"/>
      <c r="W20" s="1619"/>
      <c r="X20" s="1619"/>
      <c r="Y20" s="1619"/>
    </row>
    <row r="21" spans="2:25" s="1617" customFormat="1" x14ac:dyDescent="0.2">
      <c r="B21" s="1755" t="str">
        <f>IF(Presentation!$D$2="Français",'TRAD-Adults YEAR(1)'!D21,IF(Presentation!$D$2="Anglais",'TRAD-Adults YEAR(1)'!E21,""))</f>
        <v>Critères</v>
      </c>
      <c r="D21" s="1619" t="s">
        <v>310</v>
      </c>
      <c r="E21" s="1617" t="s">
        <v>927</v>
      </c>
      <c r="G21" s="1735"/>
      <c r="H21" s="1736"/>
      <c r="I21" s="1619"/>
      <c r="J21" s="1619"/>
      <c r="K21" s="1619"/>
      <c r="L21" s="1619"/>
      <c r="M21" s="1619"/>
      <c r="N21" s="1619"/>
      <c r="O21" s="1619"/>
      <c r="P21" s="1619"/>
      <c r="Q21" s="1619"/>
      <c r="R21" s="1619"/>
      <c r="S21" s="1619"/>
      <c r="T21" s="1619"/>
      <c r="U21" s="1619"/>
      <c r="V21" s="1619"/>
      <c r="W21" s="1619"/>
      <c r="X21" s="1619"/>
      <c r="Y21" s="1619"/>
    </row>
    <row r="22" spans="2:25" s="1617" customFormat="1" x14ac:dyDescent="0.2">
      <c r="B22" s="1755" t="str">
        <f>IF(Presentation!$D$2="Français",'TRAD-Adults YEAR(1)'!D22,IF(Presentation!$D$2="Anglais",'TRAD-Adults YEAR(1)'!E22,""))</f>
        <v>Proportion</v>
      </c>
      <c r="D22" s="1619" t="s">
        <v>51</v>
      </c>
      <c r="E22" s="1619" t="s">
        <v>922</v>
      </c>
      <c r="F22" s="1619"/>
      <c r="G22" s="1735"/>
      <c r="H22" s="1736"/>
      <c r="I22" s="1619"/>
      <c r="J22" s="1619"/>
      <c r="K22" s="1619"/>
      <c r="L22" s="1619"/>
      <c r="M22" s="1619"/>
      <c r="N22" s="1619"/>
      <c r="O22" s="1619"/>
      <c r="P22" s="1619"/>
      <c r="Q22" s="1619"/>
      <c r="R22" s="1619"/>
      <c r="S22" s="1619"/>
      <c r="T22" s="1619"/>
      <c r="U22" s="1619"/>
      <c r="V22" s="1619"/>
      <c r="W22" s="1619"/>
      <c r="X22" s="1619"/>
      <c r="Y22" s="1619"/>
    </row>
    <row r="23" spans="2:25" s="1617" customFormat="1" x14ac:dyDescent="0.2">
      <c r="B23" s="1755" t="str">
        <f>IF(Presentation!$D$2="Français",'TRAD-Adults YEAR(1)'!D23,IF(Presentation!$D$2="Anglais",'TRAD-Adults YEAR(1)'!E23,""))</f>
        <v>Nb de patients mensuels</v>
      </c>
      <c r="D23" s="1619" t="s">
        <v>52</v>
      </c>
      <c r="E23" s="1619" t="s">
        <v>1456</v>
      </c>
      <c r="F23" s="1619"/>
      <c r="G23" s="1739"/>
      <c r="H23" s="1740"/>
      <c r="I23" s="1619"/>
      <c r="J23" s="1619"/>
      <c r="K23" s="1619"/>
      <c r="L23" s="1619"/>
      <c r="M23" s="1619"/>
      <c r="N23" s="1619"/>
      <c r="O23" s="1619"/>
      <c r="P23" s="1619"/>
      <c r="Q23" s="1619"/>
      <c r="R23" s="1619"/>
      <c r="S23" s="1619"/>
      <c r="T23" s="1619"/>
      <c r="U23" s="1619"/>
      <c r="V23" s="1619"/>
      <c r="W23" s="1619"/>
      <c r="X23" s="1619"/>
      <c r="Y23" s="1619"/>
    </row>
    <row r="24" spans="2:25" s="1617" customFormat="1" x14ac:dyDescent="0.2">
      <c r="B24" s="1755" t="str">
        <f>IF(Presentation!$D$2="Français",'TRAD-Adults YEAR(1)'!D24,IF(Presentation!$D$2="Anglais",'TRAD-Adults YEAR(1)'!E24,""))</f>
        <v>Nb de patients total sur la période définie</v>
      </c>
      <c r="D24" s="1619" t="s">
        <v>403</v>
      </c>
      <c r="E24" s="1619" t="s">
        <v>1457</v>
      </c>
      <c r="F24" s="1619"/>
      <c r="G24" s="1619"/>
      <c r="H24" s="1619"/>
      <c r="I24" s="1619"/>
      <c r="J24" s="1619"/>
      <c r="K24" s="1619"/>
      <c r="L24" s="1619"/>
      <c r="M24" s="1619"/>
      <c r="N24" s="1619"/>
      <c r="O24" s="1619"/>
      <c r="P24" s="1619"/>
      <c r="Q24" s="1619"/>
      <c r="R24" s="1619"/>
      <c r="S24" s="1619"/>
      <c r="T24" s="1619"/>
      <c r="U24" s="1619"/>
      <c r="V24" s="1619"/>
      <c r="W24" s="1619"/>
      <c r="X24" s="1619"/>
      <c r="Y24" s="1619"/>
    </row>
    <row r="25" spans="2:25" s="1617" customFormat="1" x14ac:dyDescent="0.2">
      <c r="B25" s="1755" t="str">
        <f>IF(Presentation!$D$2="Français",'TRAD-Adults YEAR(1)'!D25,IF(Presentation!$D$2="Anglais",'TRAD-Adults YEAR(1)'!E25,""))</f>
        <v>TB &amp; anémie</v>
      </c>
      <c r="D25" s="1619" t="s">
        <v>54</v>
      </c>
      <c r="E25" s="1617" t="s">
        <v>928</v>
      </c>
      <c r="F25" s="1619"/>
      <c r="G25" s="1619"/>
      <c r="H25" s="1619"/>
      <c r="I25" s="1619"/>
      <c r="J25" s="1619"/>
      <c r="K25" s="1619"/>
      <c r="L25" s="1619"/>
      <c r="M25" s="1619"/>
      <c r="N25" s="1619"/>
      <c r="O25" s="1619"/>
      <c r="P25" s="1619"/>
      <c r="Q25" s="1619"/>
      <c r="R25" s="1619"/>
      <c r="S25" s="1619"/>
      <c r="T25" s="1619"/>
      <c r="U25" s="1619"/>
      <c r="V25" s="1619"/>
      <c r="W25" s="1619"/>
      <c r="X25" s="1619"/>
      <c r="Y25" s="1619"/>
    </row>
    <row r="26" spans="2:25" s="1617" customFormat="1" x14ac:dyDescent="0.2">
      <c r="B26" s="1755" t="str">
        <f>IF(Presentation!$D$2="Français",'TRAD-Adults YEAR(1)'!D26,IF(Presentation!$D$2="Anglais",'TRAD-Adults YEAR(1)'!E26,""))</f>
        <v>Total patients-mois</v>
      </c>
      <c r="D26" s="1619" t="s">
        <v>1427</v>
      </c>
      <c r="E26" s="1619" t="s">
        <v>929</v>
      </c>
      <c r="G26" s="1619"/>
      <c r="H26" s="1619"/>
      <c r="I26" s="1619"/>
      <c r="J26" s="1619"/>
      <c r="K26" s="1619"/>
      <c r="L26" s="1619"/>
      <c r="M26" s="1619"/>
      <c r="N26" s="1619"/>
      <c r="O26" s="1619"/>
      <c r="P26" s="1619"/>
      <c r="Q26" s="1619"/>
      <c r="R26" s="1619"/>
      <c r="S26" s="1619"/>
      <c r="T26" s="1619"/>
      <c r="U26" s="1619"/>
      <c r="V26" s="1619"/>
      <c r="W26" s="1619"/>
      <c r="X26" s="1619"/>
      <c r="Y26" s="1619"/>
    </row>
    <row r="27" spans="2:25" s="1617" customFormat="1" x14ac:dyDescent="0.2">
      <c r="B27" s="1755" t="str">
        <f>IF(Presentation!$D$2="Français",'TRAD-Adults YEAR(1)'!D27,IF(Presentation!$D$2="Anglais",'TRAD-Adults YEAR(1)'!E27,""))</f>
        <v>Caps. Molle</v>
      </c>
      <c r="D27" s="1619" t="s">
        <v>1483</v>
      </c>
      <c r="E27" s="1619" t="s">
        <v>1481</v>
      </c>
      <c r="G27" s="1619"/>
      <c r="H27" s="1619"/>
      <c r="I27" s="1619"/>
      <c r="J27" s="1619"/>
      <c r="K27" s="1619"/>
      <c r="L27" s="1619"/>
      <c r="M27" s="1619"/>
      <c r="N27" s="1619"/>
      <c r="O27" s="1619"/>
      <c r="P27" s="1619"/>
      <c r="Q27" s="1619"/>
      <c r="R27" s="1619"/>
      <c r="S27" s="1619"/>
      <c r="T27" s="1619"/>
      <c r="U27" s="1619"/>
      <c r="V27" s="1619"/>
      <c r="W27" s="1619"/>
      <c r="X27" s="1619"/>
      <c r="Y27" s="1619"/>
    </row>
    <row r="28" spans="2:25" s="1617" customFormat="1" x14ac:dyDescent="0.2">
      <c r="B28" s="1755" t="str">
        <f>IF(Presentation!$D$2="Français",'TRAD-Adults YEAR(1)'!D28,IF(Presentation!$D$2="Anglais",'TRAD-Adults YEAR(1)'!E28,""))</f>
        <v>Médicaments nécessaires</v>
      </c>
      <c r="D28" s="1619" t="s">
        <v>56</v>
      </c>
      <c r="E28" s="1621" t="s">
        <v>1388</v>
      </c>
      <c r="F28" s="1619"/>
      <c r="G28" s="1619"/>
      <c r="H28" s="1619"/>
      <c r="I28" s="1619"/>
      <c r="J28" s="1619"/>
      <c r="K28" s="1619"/>
      <c r="L28" s="1619"/>
      <c r="M28" s="1619"/>
      <c r="N28" s="1619"/>
      <c r="O28" s="1619"/>
      <c r="P28" s="1619"/>
      <c r="Q28" s="1619"/>
      <c r="R28" s="1619"/>
      <c r="S28" s="1619"/>
      <c r="T28" s="1619"/>
      <c r="U28" s="1619"/>
      <c r="V28" s="1619"/>
      <c r="W28" s="1619"/>
      <c r="X28" s="1619"/>
      <c r="Y28" s="1619"/>
    </row>
    <row r="29" spans="2:25" s="1617" customFormat="1" x14ac:dyDescent="0.2">
      <c r="B29" s="1755" t="str">
        <f>IF(Presentation!$D$2="Français",'TRAD-Adults YEAR(1)'!D29,IF(Presentation!$D$2="Anglais",'TRAD-Adults YEAR(1)'!E29,""))</f>
        <v>Total patients-mois AVEC Marge de sécurité</v>
      </c>
      <c r="D29" s="1619" t="s">
        <v>221</v>
      </c>
      <c r="E29" s="1617" t="s">
        <v>930</v>
      </c>
      <c r="P29" s="1619"/>
      <c r="Q29" s="1619"/>
      <c r="R29" s="1619"/>
      <c r="S29" s="1619"/>
      <c r="T29" s="1619"/>
      <c r="U29" s="1619"/>
      <c r="V29" s="1619"/>
      <c r="W29" s="1619"/>
      <c r="X29" s="1619"/>
      <c r="Y29" s="1619"/>
    </row>
    <row r="30" spans="2:25" s="1617" customFormat="1" x14ac:dyDescent="0.2">
      <c r="B30" s="1755" t="str">
        <f>IF(Presentation!$D$2="Français",'TRAD-Adults YEAR(1)'!D30,IF(Presentation!$D$2="Anglais",'TRAD-Adults YEAR(1)'!E30,""))</f>
        <v>Nb de patients-mois Marge de sécurité SEULE</v>
      </c>
      <c r="D30" s="1619" t="s">
        <v>224</v>
      </c>
      <c r="E30" s="1619" t="s">
        <v>931</v>
      </c>
      <c r="F30" s="1619"/>
      <c r="G30" s="1619"/>
      <c r="H30" s="1619"/>
      <c r="I30" s="1619"/>
      <c r="J30" s="1619"/>
      <c r="K30" s="1619"/>
      <c r="L30" s="1619"/>
      <c r="M30" s="1619"/>
      <c r="N30" s="1619"/>
      <c r="O30" s="1619"/>
      <c r="P30" s="1619"/>
      <c r="Q30" s="1619"/>
      <c r="R30" s="1619"/>
      <c r="S30" s="1619"/>
      <c r="T30" s="1619"/>
      <c r="U30" s="1619"/>
      <c r="V30" s="1619"/>
      <c r="W30" s="1619"/>
      <c r="X30" s="1619"/>
      <c r="Y30" s="1619"/>
    </row>
    <row r="31" spans="2:25" s="1617" customFormat="1" x14ac:dyDescent="0.2">
      <c r="B31" s="1755" t="str">
        <f>IF(Presentation!$D$2="Français",'TRAD-Adults YEAR(1)'!D31,IF(Presentation!$D$2="Anglais",'TRAD-Adults YEAR(1)'!E31,""))</f>
        <v>Passage en 2ème ligne</v>
      </c>
      <c r="D31" s="1619" t="s">
        <v>906</v>
      </c>
      <c r="E31" s="1619" t="s">
        <v>935</v>
      </c>
      <c r="F31" s="1619"/>
      <c r="G31" s="1619"/>
      <c r="H31" s="1618"/>
      <c r="J31" s="2154"/>
      <c r="K31" s="2154"/>
      <c r="L31" s="2154"/>
      <c r="M31" s="2154"/>
      <c r="N31" s="2154"/>
      <c r="O31" s="2154"/>
      <c r="P31" s="2154"/>
      <c r="Q31" s="1618"/>
      <c r="R31" s="1619"/>
      <c r="S31" s="1619"/>
      <c r="T31" s="1619"/>
      <c r="U31" s="1619"/>
      <c r="V31" s="1619"/>
      <c r="W31" s="1619"/>
      <c r="X31" s="1619"/>
      <c r="Y31" s="1619"/>
    </row>
    <row r="32" spans="2:25" s="1617" customFormat="1" x14ac:dyDescent="0.2">
      <c r="B32" s="1755" t="str">
        <f>IF(Presentation!$D$2="Français",'TRAD-Adults YEAR(1)'!D32,IF(Presentation!$D$2="Anglais",'TRAD-Adults YEAR(1)'!E32,""))</f>
        <v>Taux de passage en 2ème ligne</v>
      </c>
      <c r="D32" s="1619" t="s">
        <v>62</v>
      </c>
      <c r="E32" s="1619" t="s">
        <v>937</v>
      </c>
      <c r="F32" s="1619"/>
      <c r="G32" s="1619"/>
      <c r="H32" s="1619"/>
      <c r="I32" s="1619"/>
      <c r="J32" s="1619"/>
      <c r="K32" s="1619"/>
      <c r="L32" s="1619"/>
      <c r="M32" s="1619"/>
      <c r="N32" s="1619"/>
      <c r="O32" s="1619"/>
      <c r="P32" s="1619"/>
      <c r="Q32" s="1619"/>
      <c r="R32" s="1619"/>
      <c r="S32" s="1619"/>
      <c r="T32" s="1619"/>
      <c r="U32" s="1619"/>
      <c r="V32" s="1619"/>
      <c r="W32" s="1619"/>
      <c r="X32" s="1619"/>
      <c r="Y32" s="1619"/>
    </row>
    <row r="33" spans="2:25" s="1617" customFormat="1" x14ac:dyDescent="0.2">
      <c r="B33" s="1755" t="str">
        <f>IF(Presentation!$D$2="Français",'TRAD-Adults YEAR(1)'!D33,IF(Presentation!$D$2="Anglais",'TRAD-Adults YEAR(1)'!E33,""))</f>
        <v>des patients à la fin de l'année</v>
      </c>
      <c r="D33" s="1619" t="s">
        <v>63</v>
      </c>
      <c r="E33" s="1617" t="s">
        <v>1430</v>
      </c>
      <c r="F33" s="1619"/>
      <c r="G33" s="1741"/>
      <c r="I33" s="1618"/>
      <c r="J33" s="1618"/>
      <c r="K33" s="1618"/>
      <c r="L33" s="1619"/>
      <c r="M33" s="1619"/>
      <c r="N33" s="1619"/>
      <c r="O33" s="1619"/>
      <c r="P33" s="1619"/>
      <c r="Q33" s="1619"/>
      <c r="R33" s="1619"/>
      <c r="S33" s="1619"/>
      <c r="T33" s="1619"/>
      <c r="U33" s="1619"/>
      <c r="V33" s="1619"/>
      <c r="W33" s="1619"/>
      <c r="X33" s="1619"/>
      <c r="Y33" s="1619"/>
    </row>
    <row r="34" spans="2:25" s="1617" customFormat="1" x14ac:dyDescent="0.2">
      <c r="B34" s="1755" t="str">
        <f>IF(Presentation!$D$2="Français",'TRAD-Adults YEAR(1)'!D34,IF(Presentation!$D$2="Anglais",'TRAD-Adults YEAR(1)'!E34,""))</f>
        <v>Nb de patients en 2ème ligne au début de l'année :</v>
      </c>
      <c r="D34" s="1619" t="s">
        <v>312</v>
      </c>
      <c r="E34" s="1619" t="s">
        <v>1458</v>
      </c>
      <c r="F34" s="1619"/>
      <c r="G34" s="1619"/>
      <c r="H34" s="1619"/>
      <c r="I34" s="1619"/>
      <c r="K34" s="1742"/>
      <c r="L34" s="1619"/>
      <c r="M34" s="1619"/>
      <c r="N34" s="1619"/>
      <c r="O34" s="1619"/>
      <c r="P34" s="1619"/>
      <c r="Q34" s="1619"/>
      <c r="R34" s="1619"/>
      <c r="S34" s="1619"/>
      <c r="T34" s="1619"/>
      <c r="U34" s="1619"/>
      <c r="V34" s="1619"/>
      <c r="W34" s="1619"/>
      <c r="X34" s="1619"/>
      <c r="Y34" s="1619"/>
    </row>
    <row r="35" spans="2:25" s="1617" customFormat="1" x14ac:dyDescent="0.2">
      <c r="B35" s="1755" t="str">
        <f>IF(Presentation!$D$2="Français",'TRAD-Adults YEAR(1)'!D35,IF(Presentation!$D$2="Anglais",'TRAD-Adults YEAR(1)'!E35,""))</f>
        <v>Nb de patients ayant switché dans l'année :</v>
      </c>
      <c r="D35" s="1619" t="s">
        <v>282</v>
      </c>
      <c r="E35" s="1619" t="s">
        <v>1459</v>
      </c>
      <c r="F35" s="1619"/>
      <c r="G35" s="1741"/>
      <c r="H35" s="1619"/>
      <c r="I35" s="1618"/>
      <c r="K35" s="1742"/>
      <c r="L35" s="1619"/>
      <c r="N35" s="1619"/>
      <c r="O35" s="1743"/>
      <c r="P35" s="1619"/>
      <c r="Q35" s="1619"/>
      <c r="R35" s="1619"/>
      <c r="S35" s="1619"/>
      <c r="T35" s="1619"/>
      <c r="U35" s="1619"/>
      <c r="V35" s="1619"/>
      <c r="W35" s="1619"/>
      <c r="X35" s="1619"/>
      <c r="Y35" s="1619"/>
    </row>
    <row r="36" spans="2:25" s="1617" customFormat="1" x14ac:dyDescent="0.2">
      <c r="B36" s="1755" t="str">
        <f>IF(Presentation!$D$2="Français",'TRAD-Adults YEAR(1)'!D36,IF(Presentation!$D$2="Anglais",'TRAD-Adults YEAR(1)'!E36,""))</f>
        <v>Proportion mensuelle</v>
      </c>
      <c r="D36" s="1619" t="s">
        <v>184</v>
      </c>
      <c r="E36" s="1619" t="s">
        <v>932</v>
      </c>
      <c r="F36" s="1619"/>
      <c r="G36" s="1619"/>
      <c r="H36" s="1619"/>
      <c r="I36" s="1619"/>
      <c r="J36" s="1619"/>
      <c r="K36" s="1619"/>
      <c r="L36" s="1619"/>
      <c r="M36" s="1619"/>
      <c r="N36" s="1619"/>
      <c r="O36" s="1619"/>
      <c r="P36" s="1619"/>
      <c r="Q36" s="1619"/>
      <c r="R36" s="1619"/>
      <c r="S36" s="1619"/>
      <c r="T36" s="1619"/>
      <c r="U36" s="1619"/>
      <c r="V36" s="1619"/>
      <c r="W36" s="1619"/>
      <c r="X36" s="1619"/>
      <c r="Y36" s="1619"/>
    </row>
    <row r="37" spans="2:25" s="1617" customFormat="1" x14ac:dyDescent="0.2">
      <c r="B37" s="1755" t="str">
        <f>IF(Presentation!$D$2="Français",'TRAD-Adults YEAR(1)'!D37,IF(Presentation!$D$2="Anglais",'TRAD-Adults YEAR(1)'!E37,""))</f>
        <v>Schémas thérap. 2èmes lignes</v>
      </c>
      <c r="D37" s="1619" t="s">
        <v>325</v>
      </c>
      <c r="E37" s="1617" t="s">
        <v>933</v>
      </c>
      <c r="F37" s="1619"/>
      <c r="G37" s="1619"/>
      <c r="I37" s="1618"/>
      <c r="L37" s="1618"/>
      <c r="M37" s="1619"/>
      <c r="N37" s="1619"/>
      <c r="O37" s="1619"/>
      <c r="P37" s="1619"/>
      <c r="Q37" s="1619"/>
      <c r="R37" s="1619"/>
      <c r="S37" s="1619"/>
      <c r="T37" s="1619"/>
      <c r="U37" s="1619"/>
      <c r="V37" s="1619"/>
      <c r="W37" s="1619"/>
      <c r="X37" s="1619"/>
      <c r="Y37" s="1619"/>
    </row>
    <row r="38" spans="2:25" s="1617" customFormat="1" x14ac:dyDescent="0.2">
      <c r="B38" s="1755" t="str">
        <f>IF(Presentation!$D$2="Français",'TRAD-Adults YEAR(1)'!D38,IF(Presentation!$D$2="Anglais",'TRAD-Adults YEAR(1)'!E38,""))</f>
        <v>TOTAL n de patients</v>
      </c>
      <c r="D38" s="1619" t="s">
        <v>65</v>
      </c>
      <c r="E38" s="1619" t="s">
        <v>934</v>
      </c>
      <c r="F38" s="1744"/>
      <c r="G38" s="1745"/>
      <c r="H38" s="1745"/>
      <c r="I38" s="1738"/>
      <c r="J38" s="1743"/>
      <c r="K38" s="1743"/>
      <c r="L38" s="1743"/>
      <c r="M38" s="1619"/>
      <c r="N38" s="1619"/>
      <c r="O38" s="1619"/>
      <c r="P38" s="1619"/>
      <c r="Q38" s="1619"/>
      <c r="R38" s="1619"/>
      <c r="S38" s="1619"/>
      <c r="T38" s="1619"/>
      <c r="U38" s="1619"/>
      <c r="V38" s="1619"/>
      <c r="W38" s="1619"/>
      <c r="X38" s="1619"/>
      <c r="Y38" s="1619"/>
    </row>
    <row r="39" spans="2:25" s="1617" customFormat="1" x14ac:dyDescent="0.2">
      <c r="B39" s="1755" t="str">
        <f>IF(Presentation!$D$2="Français",'TRAD-Adults YEAR(1)'!D39,IF(Presentation!$D$2="Anglais",'TRAD-Adults YEAR(1)'!E39,""))</f>
        <v>Nb de patients-mois</v>
      </c>
      <c r="D39" s="1619" t="s">
        <v>66</v>
      </c>
      <c r="E39" s="1619" t="s">
        <v>1460</v>
      </c>
      <c r="F39" s="1744"/>
      <c r="G39" s="1745"/>
      <c r="H39" s="1745"/>
      <c r="I39" s="1738"/>
      <c r="J39" s="1743"/>
      <c r="K39" s="1743"/>
      <c r="L39" s="1743"/>
      <c r="M39" s="1619"/>
      <c r="N39" s="1619"/>
      <c r="O39" s="1619"/>
      <c r="P39" s="1619"/>
      <c r="Q39" s="1619"/>
      <c r="R39" s="1619"/>
      <c r="S39" s="1619"/>
      <c r="T39" s="1619"/>
      <c r="U39" s="1619"/>
      <c r="V39" s="1619"/>
      <c r="W39" s="1619"/>
      <c r="X39" s="1619"/>
      <c r="Y39" s="1619"/>
    </row>
    <row r="40" spans="2:25" s="1617" customFormat="1" x14ac:dyDescent="0.2">
      <c r="B40" s="1755" t="str">
        <f>IF(Presentation!$D$2="Français",'TRAD-Adults YEAR(1)'!D40,IF(Presentation!$D$2="Anglais",'TRAD-Adults YEAR(1)'!E40,""))</f>
        <v>Nb de patients-mois</v>
      </c>
      <c r="D40" s="1619" t="s">
        <v>66</v>
      </c>
      <c r="E40" s="1619" t="s">
        <v>1461</v>
      </c>
      <c r="F40" s="1744"/>
      <c r="G40" s="1746"/>
      <c r="H40" s="1745"/>
      <c r="I40" s="1738"/>
      <c r="J40" s="1743"/>
      <c r="K40" s="1743"/>
      <c r="L40" s="1743"/>
      <c r="M40" s="1619"/>
      <c r="N40" s="1619"/>
      <c r="O40" s="1619"/>
      <c r="P40" s="1619"/>
      <c r="Q40" s="1619"/>
      <c r="R40" s="1619"/>
      <c r="S40" s="1619"/>
      <c r="T40" s="1619"/>
      <c r="U40" s="1619"/>
      <c r="V40" s="1619"/>
      <c r="W40" s="1619"/>
      <c r="X40" s="1619"/>
      <c r="Y40" s="1619"/>
    </row>
    <row r="41" spans="2:25" s="1617" customFormat="1" x14ac:dyDescent="0.2">
      <c r="B41" s="1755" t="str">
        <f>IF(Presentation!$D$2="Français",'TRAD-Adults YEAR(1)'!D41,IF(Presentation!$D$2="Anglais",'TRAD-Adults YEAR(1)'!E41,""))</f>
        <v>Passage en 3ème ligne</v>
      </c>
      <c r="D41" s="1619" t="s">
        <v>907</v>
      </c>
      <c r="E41" s="1619" t="s">
        <v>946</v>
      </c>
      <c r="F41" s="1619"/>
      <c r="G41" s="1619"/>
      <c r="H41" s="1618"/>
      <c r="I41" s="1738"/>
      <c r="J41" s="1743"/>
      <c r="K41" s="1743"/>
      <c r="L41" s="1743"/>
      <c r="M41" s="1619"/>
      <c r="N41" s="1619"/>
      <c r="O41" s="1619"/>
      <c r="P41" s="1619"/>
      <c r="Q41" s="1619"/>
      <c r="R41" s="1619"/>
      <c r="S41" s="1619"/>
      <c r="T41" s="1619"/>
      <c r="U41" s="1619"/>
      <c r="V41" s="1619"/>
      <c r="W41" s="1619"/>
      <c r="X41" s="1619"/>
      <c r="Y41" s="1619"/>
    </row>
    <row r="42" spans="2:25" s="1617" customFormat="1" x14ac:dyDescent="0.2">
      <c r="B42" s="1755" t="str">
        <f>IF(Presentation!$D$2="Français",'TRAD-Adults YEAR(1)'!D42,IF(Presentation!$D$2="Anglais",'TRAD-Adults YEAR(1)'!E42,""))</f>
        <v>Taux de passage en 3ème ligne</v>
      </c>
      <c r="D42" s="1619" t="s">
        <v>189</v>
      </c>
      <c r="E42" s="1619" t="s">
        <v>936</v>
      </c>
      <c r="F42" s="1741"/>
      <c r="G42" s="1745"/>
      <c r="H42" s="1743"/>
      <c r="I42" s="1618"/>
      <c r="J42" s="1743"/>
      <c r="K42" s="1743"/>
      <c r="L42" s="1743"/>
      <c r="M42" s="1619"/>
      <c r="N42" s="1619"/>
      <c r="O42" s="1619"/>
      <c r="P42" s="1619"/>
      <c r="Q42" s="1619"/>
      <c r="R42" s="1619"/>
      <c r="S42" s="1619"/>
      <c r="T42" s="1619"/>
      <c r="U42" s="1619"/>
      <c r="V42" s="1619"/>
      <c r="W42" s="1619"/>
      <c r="X42" s="1619"/>
      <c r="Y42" s="1619"/>
    </row>
    <row r="43" spans="2:25" s="1617" customFormat="1" x14ac:dyDescent="0.2">
      <c r="B43" s="1755" t="str">
        <f>IF(Presentation!$D$2="Français",'TRAD-Adults YEAR(1)'!D43,IF(Presentation!$D$2="Anglais",'TRAD-Adults YEAR(1)'!E43,""))</f>
        <v>des patients de 2ème ligne à la fin de l'année</v>
      </c>
      <c r="D43" s="1619" t="s">
        <v>196</v>
      </c>
      <c r="E43" s="1617" t="s">
        <v>938</v>
      </c>
      <c r="F43" s="1619"/>
      <c r="G43" s="1619"/>
      <c r="H43" s="1619"/>
      <c r="I43" s="1619"/>
      <c r="J43" s="1619"/>
      <c r="K43" s="1619"/>
      <c r="L43" s="1619"/>
      <c r="M43" s="1619"/>
      <c r="N43" s="1619"/>
      <c r="O43" s="1619"/>
      <c r="P43" s="1619"/>
      <c r="Q43" s="1619"/>
      <c r="R43" s="1619"/>
      <c r="S43" s="1619"/>
      <c r="T43" s="1619"/>
      <c r="U43" s="1619"/>
      <c r="V43" s="1619"/>
      <c r="W43" s="1619"/>
      <c r="X43" s="1619"/>
      <c r="Y43" s="1619"/>
    </row>
    <row r="44" spans="2:25" s="1617" customFormat="1" x14ac:dyDescent="0.2">
      <c r="B44" s="1755" t="str">
        <f>IF(Presentation!$D$2="Français",'TRAD-Adults YEAR(1)'!D44,IF(Presentation!$D$2="Anglais",'TRAD-Adults YEAR(1)'!E44,""))</f>
        <v>Nb de patients en 3ème ligne au début de l'année :</v>
      </c>
      <c r="D44" s="1619" t="s">
        <v>313</v>
      </c>
      <c r="E44" s="1619" t="s">
        <v>1462</v>
      </c>
      <c r="F44" s="1619"/>
      <c r="G44" s="1619"/>
      <c r="H44" s="1619"/>
      <c r="I44" s="1619"/>
      <c r="J44" s="1619"/>
      <c r="K44" s="1619"/>
      <c r="L44" s="1619"/>
      <c r="M44" s="1619"/>
      <c r="N44" s="1619"/>
      <c r="O44" s="1619"/>
      <c r="P44" s="1619"/>
      <c r="Q44" s="1619"/>
      <c r="R44" s="1619"/>
      <c r="S44" s="1619"/>
      <c r="T44" s="1619"/>
      <c r="U44" s="1619"/>
      <c r="V44" s="1619"/>
      <c r="W44" s="1619"/>
      <c r="X44" s="1619"/>
      <c r="Y44" s="1619"/>
    </row>
    <row r="45" spans="2:25" s="1617" customFormat="1" x14ac:dyDescent="0.2">
      <c r="B45" s="1755" t="str">
        <f>IF(Presentation!$D$2="Français",'TRAD-Adults YEAR(1)'!D45,IF(Presentation!$D$2="Anglais",'TRAD-Adults YEAR(1)'!E45,""))</f>
        <v>Nb de patients ayant switché dans l'année :</v>
      </c>
      <c r="D45" s="1619" t="s">
        <v>282</v>
      </c>
      <c r="E45" s="1619" t="s">
        <v>1459</v>
      </c>
      <c r="J45" s="2154"/>
      <c r="K45" s="2154"/>
      <c r="L45" s="2154"/>
      <c r="M45" s="2154"/>
      <c r="N45" s="2154"/>
      <c r="O45" s="2154"/>
      <c r="P45" s="2154"/>
      <c r="Q45" s="1618"/>
      <c r="R45" s="1619"/>
      <c r="S45" s="1619"/>
      <c r="T45" s="1619"/>
      <c r="U45" s="1619"/>
      <c r="V45" s="1619"/>
      <c r="W45" s="1619"/>
      <c r="X45" s="1619"/>
      <c r="Y45" s="1619"/>
    </row>
    <row r="46" spans="2:25" s="1617" customFormat="1" ht="75" x14ac:dyDescent="0.2">
      <c r="B46" s="1755" t="str">
        <f>IF(Presentation!$D$2="Français",'TRAD-Adults YEAR(1)'!D46,IF(Presentation!$D$2="Anglais",'TRAD-Adults YEAR(1)'!E46,""))</f>
        <v>Pour les 3èmes lignes, la méthode n'est pas la même et ne repose pas sur les lignes. Nous avons considéré la proportion de patients et les molécules nécessaires pour les prendre en charge. Cela permet ainsi de faire plusieurs combinaisons.</v>
      </c>
      <c r="D46" s="1619" t="s">
        <v>194</v>
      </c>
      <c r="E46" s="1619" t="s">
        <v>1431</v>
      </c>
      <c r="F46" s="1619"/>
      <c r="G46" s="1619"/>
      <c r="H46" s="1619"/>
      <c r="I46" s="1619"/>
      <c r="J46" s="1619"/>
      <c r="K46" s="1619"/>
      <c r="L46" s="1619"/>
      <c r="M46" s="1619"/>
      <c r="N46" s="1619"/>
      <c r="O46" s="1619"/>
      <c r="P46" s="1619"/>
      <c r="Q46" s="1619"/>
      <c r="R46" s="1619"/>
      <c r="S46" s="1619"/>
      <c r="T46" s="1619"/>
      <c r="U46" s="1619"/>
      <c r="V46" s="1619"/>
      <c r="W46" s="1619"/>
      <c r="X46" s="1619"/>
      <c r="Y46" s="1619"/>
    </row>
    <row r="47" spans="2:25" s="1617" customFormat="1" x14ac:dyDescent="0.2">
      <c r="B47" s="1755" t="str">
        <f>IF(Presentation!$D$2="Français",'TRAD-Adults YEAR(1)'!D47,IF(Presentation!$D$2="Anglais",'TRAD-Adults YEAR(1)'!E47,""))</f>
        <v>Classe pharmaco</v>
      </c>
      <c r="D47" s="1619" t="s">
        <v>332</v>
      </c>
      <c r="E47" s="1619" t="s">
        <v>939</v>
      </c>
      <c r="F47" s="1619"/>
      <c r="G47" s="1741"/>
      <c r="H47" s="1619"/>
      <c r="I47" s="1618"/>
      <c r="K47" s="1742"/>
      <c r="L47" s="1619"/>
      <c r="N47" s="1619"/>
      <c r="O47" s="1743"/>
      <c r="P47" s="1619"/>
      <c r="Q47" s="1619"/>
      <c r="R47" s="1619"/>
      <c r="S47" s="1619"/>
      <c r="T47" s="1619"/>
      <c r="U47" s="1619"/>
      <c r="V47" s="1619"/>
      <c r="W47" s="1619"/>
      <c r="X47" s="1619"/>
      <c r="Y47" s="1619"/>
    </row>
    <row r="48" spans="2:25" s="1617" customFormat="1" x14ac:dyDescent="0.2">
      <c r="B48" s="1755" t="str">
        <f>IF(Presentation!$D$2="Français",'TRAD-Adults YEAR(1)'!D48,IF(Presentation!$D$2="Anglais",'TRAD-Adults YEAR(1)'!E48,""))</f>
        <v>Molécules à avoir en plus pour des 3èmes lignes possibles</v>
      </c>
      <c r="D48" s="1619" t="s">
        <v>314</v>
      </c>
      <c r="E48" s="1619" t="s">
        <v>1584</v>
      </c>
      <c r="F48" s="1619"/>
      <c r="G48" s="1619"/>
      <c r="H48" s="1619"/>
      <c r="I48" s="1619"/>
      <c r="J48" s="1619"/>
      <c r="K48" s="1619"/>
      <c r="L48" s="1619"/>
      <c r="M48" s="1619"/>
      <c r="N48" s="1619"/>
      <c r="O48" s="1619"/>
      <c r="P48" s="1619"/>
      <c r="Q48" s="1619"/>
      <c r="R48" s="1619"/>
      <c r="S48" s="1619"/>
      <c r="T48" s="1619"/>
      <c r="U48" s="1619"/>
      <c r="V48" s="1619"/>
      <c r="W48" s="1619"/>
      <c r="X48" s="1619"/>
      <c r="Y48" s="1619"/>
    </row>
    <row r="49" spans="2:25" s="1617" customFormat="1" x14ac:dyDescent="0.2">
      <c r="B49" s="1755" t="str">
        <f>IF(Presentation!$D$2="Français",'TRAD-Adults YEAR(1)'!D49,IF(Presentation!$D$2="Anglais",'TRAD-Adults YEAR(1)'!E49,""))</f>
        <v>Proportion du nombre de patients sous 3ème lignes</v>
      </c>
      <c r="D49" s="1619" t="s">
        <v>315</v>
      </c>
      <c r="E49" s="1617" t="s">
        <v>940</v>
      </c>
      <c r="F49" s="1619"/>
      <c r="G49" s="1619"/>
      <c r="H49" s="1619"/>
      <c r="I49" s="1619"/>
      <c r="J49" s="1619"/>
      <c r="K49" s="1619"/>
      <c r="L49" s="1619"/>
      <c r="M49" s="1619"/>
      <c r="N49" s="1619"/>
      <c r="O49" s="1619"/>
      <c r="P49" s="1619"/>
      <c r="Q49" s="1619"/>
      <c r="R49" s="1619"/>
      <c r="S49" s="1619"/>
      <c r="T49" s="1619"/>
      <c r="U49" s="1619"/>
      <c r="V49" s="1619"/>
      <c r="W49" s="1619"/>
      <c r="X49" s="1619"/>
      <c r="Y49" s="1619"/>
    </row>
    <row r="50" spans="2:25" s="1617" customFormat="1" x14ac:dyDescent="0.2">
      <c r="B50" s="1755" t="str">
        <f>IF(Presentation!$D$2="Français",'TRAD-Adults YEAR(1)'!D50,IF(Presentation!$D$2="Anglais",'TRAD-Adults YEAR(1)'!E50,""))</f>
        <v>Nombre de patient par schéma par mois</v>
      </c>
      <c r="D50" s="1619" t="s">
        <v>1583</v>
      </c>
      <c r="E50" s="1617" t="s">
        <v>1585</v>
      </c>
      <c r="F50" s="1619"/>
      <c r="G50" s="1619"/>
      <c r="H50" s="1619"/>
      <c r="I50" s="1619"/>
      <c r="J50" s="1619"/>
      <c r="K50" s="1619"/>
      <c r="L50" s="1619"/>
      <c r="M50" s="1619"/>
      <c r="N50" s="1619"/>
      <c r="O50" s="1619"/>
      <c r="P50" s="1619"/>
      <c r="Q50" s="1619"/>
      <c r="R50" s="1619"/>
      <c r="S50" s="1619"/>
      <c r="T50" s="1619"/>
      <c r="U50" s="1619"/>
      <c r="V50" s="1619"/>
      <c r="W50" s="1619"/>
      <c r="X50" s="1619"/>
      <c r="Y50" s="1619"/>
    </row>
    <row r="51" spans="2:25" s="1617" customFormat="1" x14ac:dyDescent="0.2">
      <c r="B51" s="1755" t="str">
        <f>IF(Presentation!$D$2="Français",'TRAD-Adults YEAR(1)'!D51,IF(Presentation!$D$2="Anglais",'TRAD-Adults YEAR(1)'!E51,""))</f>
        <v>TOTAL nb de patients sur l'année</v>
      </c>
      <c r="D51" s="1619" t="s">
        <v>316</v>
      </c>
      <c r="E51" s="1619" t="s">
        <v>941</v>
      </c>
      <c r="F51" s="1619"/>
      <c r="G51" s="1619"/>
      <c r="H51" s="1619"/>
      <c r="I51" s="1619"/>
      <c r="J51" s="1619"/>
      <c r="K51" s="1619"/>
      <c r="L51" s="1619"/>
      <c r="M51" s="1619"/>
      <c r="N51" s="1619"/>
      <c r="O51" s="1619"/>
      <c r="P51" s="1619"/>
      <c r="Q51" s="1619"/>
      <c r="R51" s="1619"/>
      <c r="S51" s="1619"/>
      <c r="T51" s="1619"/>
      <c r="U51" s="1619"/>
      <c r="V51" s="1619"/>
      <c r="W51" s="1619"/>
      <c r="X51" s="1619"/>
      <c r="Y51" s="1619"/>
    </row>
    <row r="52" spans="2:25" s="1617" customFormat="1" x14ac:dyDescent="0.2">
      <c r="B52" s="1755" t="str">
        <f>IF(Presentation!$D$2="Français",'TRAD-Adults YEAR(1)'!D52,IF(Presentation!$D$2="Anglais",'TRAD-Adults YEAR(1)'!E52,""))</f>
        <v>Evolution des lignes thérapeutiques sur l'année</v>
      </c>
      <c r="D52" s="1619" t="s">
        <v>324</v>
      </c>
      <c r="E52" s="1619" t="s">
        <v>1432</v>
      </c>
      <c r="F52" s="1619"/>
      <c r="G52" s="1619"/>
      <c r="H52" s="1618"/>
      <c r="I52" s="1618"/>
      <c r="J52" s="1618"/>
      <c r="K52" s="1618"/>
      <c r="L52" s="1618"/>
      <c r="M52" s="1618"/>
      <c r="N52" s="1618"/>
      <c r="O52" s="1618"/>
      <c r="P52" s="1619"/>
      <c r="Q52" s="1619"/>
      <c r="R52" s="1619"/>
      <c r="S52" s="1619"/>
      <c r="T52" s="1619"/>
      <c r="U52" s="1619"/>
      <c r="V52" s="1619"/>
      <c r="W52" s="1619"/>
      <c r="X52" s="1619"/>
      <c r="Y52" s="1619"/>
    </row>
    <row r="53" spans="2:25" s="1617" customFormat="1" x14ac:dyDescent="0.2">
      <c r="B53" s="1755" t="str">
        <f>IF(Presentation!$D$2="Français",'TRAD-Adults YEAR(1)'!D53,IF(Presentation!$D$2="Anglais",'TRAD-Adults YEAR(1)'!E53,""))</f>
        <v>Données en début d'année</v>
      </c>
      <c r="D53" s="1619" t="s">
        <v>185</v>
      </c>
      <c r="E53" s="1619" t="s">
        <v>944</v>
      </c>
      <c r="F53" s="1619"/>
      <c r="G53" s="1619"/>
      <c r="H53" s="1619"/>
      <c r="I53" s="1619"/>
      <c r="J53" s="1619"/>
      <c r="K53" s="1619"/>
      <c r="L53" s="1619"/>
      <c r="M53" s="1619"/>
      <c r="N53" s="1619"/>
      <c r="O53" s="1619"/>
      <c r="P53" s="1619"/>
      <c r="Q53" s="1619"/>
      <c r="R53" s="1619"/>
      <c r="S53" s="1619"/>
      <c r="T53" s="1619"/>
      <c r="U53" s="1619"/>
      <c r="V53" s="1619"/>
      <c r="W53" s="1619"/>
      <c r="X53" s="1619"/>
      <c r="Y53" s="1619"/>
    </row>
    <row r="54" spans="2:25" s="1617" customFormat="1" x14ac:dyDescent="0.2">
      <c r="B54" s="1755" t="str">
        <f>IF(Presentation!$D$2="Français",'TRAD-Adults YEAR(1)'!D54,IF(Presentation!$D$2="Anglais",'TRAD-Adults YEAR(1)'!E54,""))</f>
        <v xml:space="preserve">Initiations première </v>
      </c>
      <c r="D54" s="1619" t="s">
        <v>290</v>
      </c>
      <c r="E54" s="1619" t="s">
        <v>945</v>
      </c>
      <c r="K54" s="1619"/>
      <c r="L54" s="1619"/>
      <c r="M54" s="1619"/>
      <c r="N54" s="1619"/>
      <c r="O54" s="1619"/>
      <c r="P54" s="1619"/>
      <c r="Q54" s="1619"/>
      <c r="R54" s="1619"/>
      <c r="S54" s="1619"/>
      <c r="T54" s="1619"/>
      <c r="U54" s="1619"/>
      <c r="V54" s="1619"/>
      <c r="W54" s="1619"/>
      <c r="X54" s="1619"/>
      <c r="Y54" s="1619"/>
    </row>
    <row r="55" spans="2:25" s="1617" customFormat="1" x14ac:dyDescent="0.2">
      <c r="B55" s="1755" t="str">
        <f>IF(Presentation!$D$2="Français",'TRAD-Adults YEAR(1)'!D55,IF(Presentation!$D$2="Anglais",'TRAD-Adults YEAR(1)'!E55,""))</f>
        <v>Passage en 2ème ligne et défalcation des 1ères lignes [1]</v>
      </c>
      <c r="D55" s="1619" t="s">
        <v>320</v>
      </c>
      <c r="E55" s="1619" t="s">
        <v>947</v>
      </c>
      <c r="F55" s="1619"/>
      <c r="G55" s="1747"/>
      <c r="H55" s="1619"/>
      <c r="I55" s="1745"/>
      <c r="J55" s="1748"/>
      <c r="K55" s="1619"/>
      <c r="L55" s="1619"/>
      <c r="M55" s="1619"/>
      <c r="N55" s="1619"/>
      <c r="O55" s="1619"/>
      <c r="P55" s="1619"/>
      <c r="Q55" s="1619"/>
      <c r="R55" s="1619"/>
      <c r="S55" s="1619"/>
      <c r="T55" s="1619"/>
      <c r="U55" s="1619"/>
      <c r="V55" s="1619"/>
      <c r="W55" s="1619"/>
      <c r="X55" s="1619"/>
      <c r="Y55" s="1619"/>
    </row>
    <row r="56" spans="2:25" s="1617" customFormat="1" x14ac:dyDescent="0.2">
      <c r="B56" s="1755" t="str">
        <f>IF(Presentation!$D$2="Français",'TRAD-Adults YEAR(1)'!D56,IF(Presentation!$D$2="Anglais",'TRAD-Adults YEAR(1)'!E56,""))</f>
        <v>Répartition en fin de période</v>
      </c>
      <c r="D56" s="1619" t="s">
        <v>71</v>
      </c>
      <c r="E56" s="1619" t="s">
        <v>1433</v>
      </c>
      <c r="F56" s="1619"/>
      <c r="G56" s="1747"/>
      <c r="H56" s="1619"/>
      <c r="I56" s="1745"/>
      <c r="J56" s="1748"/>
      <c r="K56" s="1619"/>
      <c r="L56" s="1619"/>
      <c r="M56" s="1619"/>
      <c r="N56" s="1619"/>
      <c r="O56" s="1619"/>
      <c r="P56" s="1619"/>
      <c r="Q56" s="1619"/>
      <c r="R56" s="1619"/>
      <c r="S56" s="1619"/>
      <c r="T56" s="1619"/>
      <c r="U56" s="1619"/>
      <c r="V56" s="1619"/>
      <c r="W56" s="1619"/>
      <c r="X56" s="1619"/>
      <c r="Y56" s="1619"/>
    </row>
    <row r="57" spans="2:25" s="1617" customFormat="1" x14ac:dyDescent="0.2">
      <c r="B57" s="1755" t="str">
        <f>IF(Presentation!$D$2="Français",'TRAD-Adults YEAR(1)'!D57,IF(Presentation!$D$2="Anglais",'TRAD-Adults YEAR(1)'!E57,""))</f>
        <v>total divers 3èmes l</v>
      </c>
      <c r="D57" s="1619" t="s">
        <v>197</v>
      </c>
      <c r="E57" s="1619" t="s">
        <v>994</v>
      </c>
      <c r="F57" s="1619"/>
      <c r="G57" s="1747"/>
      <c r="H57" s="1619"/>
      <c r="I57" s="1745"/>
      <c r="J57" s="1748"/>
      <c r="K57" s="1619"/>
      <c r="L57" s="1619"/>
      <c r="M57" s="1619"/>
      <c r="N57" s="1619"/>
      <c r="O57" s="1619"/>
      <c r="P57" s="1619"/>
      <c r="Q57" s="1619"/>
      <c r="R57" s="1619"/>
      <c r="S57" s="1619"/>
      <c r="T57" s="1619"/>
      <c r="U57" s="1619"/>
      <c r="V57" s="1619"/>
      <c r="W57" s="1619"/>
      <c r="X57" s="1619"/>
      <c r="Y57" s="1619"/>
    </row>
    <row r="58" spans="2:25" s="1617" customFormat="1" ht="30" x14ac:dyDescent="0.2">
      <c r="B58" s="1755" t="str">
        <f>IF(Presentation!$D$2="Français",'TRAD-Adults YEAR(1)'!D58,IF(Presentation!$D$2="Anglais",'TRAD-Adults YEAR(1)'!E58,""))</f>
        <v>La défalcation sur les premières lignes est obtenue par le calcul suivant :</v>
      </c>
      <c r="D58" s="1619" t="s">
        <v>319</v>
      </c>
      <c r="E58" s="1619" t="s">
        <v>1434</v>
      </c>
      <c r="G58" s="1619"/>
      <c r="H58" s="1619"/>
      <c r="I58" s="1619"/>
      <c r="J58" s="1619"/>
      <c r="K58" s="1619"/>
      <c r="L58" s="1619"/>
      <c r="M58" s="1619"/>
      <c r="N58" s="1619"/>
      <c r="O58" s="1619"/>
      <c r="P58" s="1619"/>
      <c r="Q58" s="1619"/>
      <c r="R58" s="1619"/>
      <c r="S58" s="1619"/>
      <c r="T58" s="1619"/>
      <c r="U58" s="1619"/>
      <c r="V58" s="1619"/>
      <c r="W58" s="1619"/>
      <c r="X58" s="1619"/>
      <c r="Y58" s="1619"/>
    </row>
    <row r="59" spans="2:25" s="1617" customFormat="1" ht="30" x14ac:dyDescent="0.2">
      <c r="B59" s="1755" t="str">
        <f>IF(Presentation!$D$2="Français",'TRAD-Adults YEAR(1)'!D59,IF(Presentation!$D$2="Anglais",'TRAD-Adults YEAR(1)'!E59,""))</f>
        <v xml:space="preserve"> = - Proportion du schéma dans les 1ères lignes à la fin de l'année * nb de patients passant en 2èmes lignes</v>
      </c>
      <c r="D59" s="1619" t="s">
        <v>321</v>
      </c>
      <c r="E59" s="1619" t="s">
        <v>1435</v>
      </c>
      <c r="G59" s="1619"/>
      <c r="H59" s="1619"/>
      <c r="I59" s="1619"/>
      <c r="J59" s="1619"/>
      <c r="K59" s="1619"/>
      <c r="L59" s="1619"/>
      <c r="M59" s="1619"/>
      <c r="N59" s="1619"/>
      <c r="O59" s="1619"/>
      <c r="P59" s="1619"/>
      <c r="Q59" s="1619"/>
      <c r="R59" s="1619"/>
      <c r="S59" s="1619"/>
      <c r="T59" s="1619"/>
      <c r="U59" s="1619"/>
      <c r="V59" s="1619"/>
      <c r="W59" s="1619"/>
      <c r="X59" s="1619"/>
      <c r="Y59" s="1619"/>
    </row>
    <row r="60" spans="2:25" s="1617" customFormat="1" x14ac:dyDescent="0.2">
      <c r="B60" s="1755" t="str">
        <f>IF(Presentation!$D$2="Français",'TRAD-Adults YEAR(1)'!D60,IF(Presentation!$D$2="Anglais",'TRAD-Adults YEAR(1)'!E60,""))</f>
        <v>Synthèse de la situation envisagée en fin d'année</v>
      </c>
      <c r="D60" s="1619" t="s">
        <v>72</v>
      </c>
      <c r="E60" s="1619" t="s">
        <v>948</v>
      </c>
      <c r="F60" s="1619"/>
      <c r="G60" s="1619"/>
      <c r="H60" s="1618"/>
      <c r="I60" s="1619"/>
      <c r="J60" s="1619"/>
      <c r="K60" s="1619"/>
      <c r="L60" s="1619"/>
      <c r="M60" s="1619"/>
      <c r="N60" s="1619"/>
      <c r="O60" s="1619"/>
      <c r="P60" s="1619"/>
      <c r="Q60" s="1619"/>
      <c r="R60" s="1619"/>
      <c r="S60" s="1619"/>
      <c r="T60" s="1619"/>
      <c r="U60" s="1619"/>
      <c r="V60" s="1619"/>
      <c r="W60" s="1619"/>
      <c r="X60" s="1619"/>
      <c r="Y60" s="1619"/>
    </row>
    <row r="61" spans="2:25" s="1617" customFormat="1" ht="30" x14ac:dyDescent="0.2">
      <c r="B61" s="1755" t="str">
        <f>IF(Presentation!$D$2="Français",'TRAD-Adults YEAR(1)'!D61,IF(Presentation!$D$2="Anglais",'TRAD-Adults YEAR(1)'!E61,""))</f>
        <v>SANS DEFALCATION des passages en 2èmes lignes sur les 1ères lignes</v>
      </c>
      <c r="D61" s="1619" t="s">
        <v>273</v>
      </c>
      <c r="E61" s="1619" t="s">
        <v>949</v>
      </c>
      <c r="J61" s="1618"/>
      <c r="K61" s="1618"/>
      <c r="L61" s="1618"/>
      <c r="M61" s="1618"/>
      <c r="N61" s="1618"/>
      <c r="O61" s="2154"/>
      <c r="P61" s="2154"/>
      <c r="Q61" s="1618"/>
      <c r="R61" s="1619"/>
      <c r="S61" s="1619"/>
      <c r="T61" s="1619"/>
      <c r="U61" s="1619"/>
      <c r="V61" s="1619"/>
      <c r="W61" s="1619"/>
      <c r="X61" s="1619"/>
      <c r="Y61" s="1619"/>
    </row>
    <row r="62" spans="2:25" s="1617" customFormat="1" ht="30" x14ac:dyDescent="0.2">
      <c r="B62" s="1755" t="str">
        <f>IF(Presentation!$D$2="Français",'TRAD-Adults YEAR(1)'!D62,IF(Presentation!$D$2="Anglais",'TRAD-Adults YEAR(1)'!E62,""))</f>
        <v>AVEC DEFALCATION PROPORTIONNELLE à la répartition des patients en 1ère ligne</v>
      </c>
      <c r="D62" s="1619" t="s">
        <v>274</v>
      </c>
      <c r="E62" s="1619" t="s">
        <v>950</v>
      </c>
      <c r="F62" s="1619"/>
      <c r="G62" s="1619"/>
      <c r="H62" s="1619"/>
      <c r="I62" s="1619"/>
      <c r="J62" s="1619"/>
      <c r="K62" s="1619"/>
      <c r="L62" s="1619"/>
      <c r="M62" s="1619"/>
      <c r="N62" s="1619"/>
      <c r="O62" s="1619"/>
      <c r="P62" s="1619"/>
      <c r="Q62" s="1619"/>
      <c r="R62" s="1619"/>
      <c r="S62" s="1619"/>
      <c r="T62" s="1619"/>
      <c r="U62" s="1619"/>
      <c r="V62" s="1619"/>
      <c r="W62" s="1619"/>
      <c r="X62" s="1619"/>
      <c r="Y62" s="1619"/>
    </row>
    <row r="63" spans="2:25" s="1617" customFormat="1" x14ac:dyDescent="0.2">
      <c r="B63" s="1755" t="str">
        <f>IF(Presentation!$D$2="Français",'TRAD-Adults YEAR(1)'!D63,IF(Presentation!$D$2="Anglais",'TRAD-Adults YEAR(1)'!E63,""))</f>
        <v>AVEC DEFALCATION SUR SCHEMA MAJORITAIRE 1ère ligne</v>
      </c>
      <c r="D63" s="1619" t="s">
        <v>275</v>
      </c>
      <c r="E63" s="1619" t="s">
        <v>1436</v>
      </c>
      <c r="F63" s="1619"/>
      <c r="G63" s="1619"/>
      <c r="H63" s="1619"/>
      <c r="I63" s="1619"/>
      <c r="J63" s="1619"/>
      <c r="K63" s="1619"/>
      <c r="L63" s="1619"/>
      <c r="M63" s="1619"/>
      <c r="N63" s="1619"/>
      <c r="O63" s="1619"/>
      <c r="P63" s="1619"/>
      <c r="Q63" s="1619"/>
      <c r="R63" s="1619"/>
      <c r="S63" s="1619"/>
      <c r="T63" s="1619"/>
      <c r="U63" s="1619"/>
      <c r="V63" s="1619"/>
      <c r="W63" s="1619"/>
      <c r="X63" s="1619"/>
      <c r="Y63" s="1619"/>
    </row>
    <row r="64" spans="2:25" s="1617" customFormat="1" x14ac:dyDescent="0.2">
      <c r="B64" s="1755" t="str">
        <f>IF(Presentation!$D$2="Français",'TRAD-Adults YEAR(1)'!D64,IF(Presentation!$D$2="Anglais",'TRAD-Adults YEAR(1)'!E64,""))</f>
        <v>Schéma therpeutique</v>
      </c>
      <c r="D64" s="1619" t="s">
        <v>951</v>
      </c>
      <c r="E64" s="1619" t="s">
        <v>954</v>
      </c>
      <c r="F64" s="1619"/>
      <c r="M64" s="1619"/>
      <c r="N64" s="1619"/>
      <c r="O64" s="1619"/>
      <c r="P64" s="1619"/>
      <c r="Q64" s="1619"/>
      <c r="R64" s="1619"/>
      <c r="S64" s="1619"/>
      <c r="T64" s="1619"/>
      <c r="U64" s="1619"/>
      <c r="V64" s="1619"/>
      <c r="W64" s="1619"/>
      <c r="X64" s="1619"/>
      <c r="Y64" s="1619"/>
    </row>
    <row r="65" spans="2:25" s="1617" customFormat="1" x14ac:dyDescent="0.2">
      <c r="B65" s="1755" t="str">
        <f>IF(Presentation!$D$2="Français",'TRAD-Adults YEAR(1)'!D65,IF(Presentation!$D$2="Anglais",'TRAD-Adults YEAR(1)'!E65,""))</f>
        <v>Nb de patients</v>
      </c>
      <c r="D65" s="1619" t="s">
        <v>952</v>
      </c>
      <c r="E65" s="1619" t="s">
        <v>1463</v>
      </c>
      <c r="J65" s="1618"/>
      <c r="K65" s="1618"/>
      <c r="L65" s="1618"/>
      <c r="M65" s="1619"/>
      <c r="N65" s="1619"/>
      <c r="O65" s="1619"/>
      <c r="P65" s="1619"/>
      <c r="Q65" s="1619"/>
      <c r="R65" s="1619"/>
      <c r="S65" s="1619"/>
      <c r="T65" s="1619"/>
      <c r="U65" s="1619"/>
      <c r="V65" s="1619"/>
      <c r="W65" s="1619"/>
      <c r="X65" s="1619"/>
      <c r="Y65" s="1619"/>
    </row>
    <row r="66" spans="2:25" s="1617" customFormat="1" x14ac:dyDescent="0.2">
      <c r="B66" s="1755" t="str">
        <f>IF(Presentation!$D$2="Français",'TRAD-Adults YEAR(1)'!D66,IF(Presentation!$D$2="Anglais",'TRAD-Adults YEAR(1)'!E66,""))</f>
        <v>Proportion</v>
      </c>
      <c r="D66" s="1619" t="s">
        <v>51</v>
      </c>
      <c r="E66" s="1619" t="s">
        <v>51</v>
      </c>
      <c r="F66" s="1619"/>
      <c r="G66" s="1747"/>
      <c r="H66" s="1738"/>
      <c r="I66" s="1749"/>
      <c r="J66" s="1736"/>
      <c r="K66" s="1747"/>
      <c r="L66" s="1738"/>
      <c r="M66" s="1619"/>
      <c r="N66" s="1619"/>
      <c r="O66" s="1619"/>
      <c r="P66" s="1619"/>
      <c r="Q66" s="1619"/>
      <c r="R66" s="1619"/>
      <c r="S66" s="1619"/>
      <c r="T66" s="1619"/>
      <c r="U66" s="1619"/>
      <c r="V66" s="1619"/>
      <c r="W66" s="1619"/>
      <c r="X66" s="1619"/>
      <c r="Y66" s="1619"/>
    </row>
    <row r="67" spans="2:25" s="1617" customFormat="1" x14ac:dyDescent="0.2">
      <c r="B67" s="1755" t="str">
        <f>IF(Presentation!$D$2="Français",'TRAD-Adults YEAR(1)'!D67,IF(Presentation!$D$2="Anglais",'TRAD-Adults YEAR(1)'!E67,""))</f>
        <v>Nb de patients en fin de période</v>
      </c>
      <c r="D67" s="1619" t="s">
        <v>73</v>
      </c>
      <c r="E67" s="1619" t="s">
        <v>1464</v>
      </c>
      <c r="F67" s="1619"/>
      <c r="G67" s="1750"/>
      <c r="H67" s="1738"/>
      <c r="I67" s="1751"/>
      <c r="J67" s="1736"/>
      <c r="K67" s="1750"/>
      <c r="L67" s="1738"/>
      <c r="M67" s="1619"/>
      <c r="N67" s="1619"/>
      <c r="O67" s="1619"/>
      <c r="P67" s="1619"/>
      <c r="Q67" s="1619"/>
      <c r="R67" s="1619"/>
      <c r="S67" s="1619"/>
      <c r="T67" s="1619"/>
      <c r="U67" s="1619"/>
      <c r="V67" s="1619"/>
      <c r="W67" s="1619"/>
      <c r="X67" s="1619"/>
      <c r="Y67" s="1619"/>
    </row>
    <row r="68" spans="2:25" s="1617" customFormat="1" x14ac:dyDescent="0.2">
      <c r="B68" s="1755" t="str">
        <f>IF(Presentation!$D$2="Français",'TRAD-Adults YEAR(1)'!D68,IF(Presentation!$D$2="Anglais",'TRAD-Adults YEAR(1)'!E68,""))</f>
        <v>nb de patient total 3èmes lignes</v>
      </c>
      <c r="D68" s="1619" t="s">
        <v>195</v>
      </c>
      <c r="E68" s="1619" t="s">
        <v>1465</v>
      </c>
      <c r="F68" s="1619"/>
      <c r="G68" s="1750"/>
      <c r="H68" s="1738"/>
      <c r="I68" s="1751"/>
      <c r="J68" s="1736"/>
      <c r="K68" s="1750"/>
      <c r="L68" s="1738"/>
      <c r="M68" s="1619"/>
      <c r="N68" s="1619"/>
      <c r="O68" s="1619"/>
      <c r="P68" s="1619"/>
      <c r="Q68" s="1619"/>
      <c r="R68" s="1619"/>
      <c r="S68" s="1619"/>
      <c r="T68" s="1619"/>
      <c r="U68" s="1619"/>
      <c r="V68" s="1619"/>
      <c r="W68" s="1619"/>
      <c r="X68" s="1619"/>
      <c r="Y68" s="1619"/>
    </row>
    <row r="69" spans="2:25" s="1617" customFormat="1" x14ac:dyDescent="0.2">
      <c r="B69" s="1755" t="str">
        <f>IF(Presentation!$D$2="Français",'TRAD-Adults YEAR(1)'!D69,IF(Presentation!$D$2="Anglais",'TRAD-Adults YEAR(1)'!E69,""))</f>
        <v>Total 1ères lignes</v>
      </c>
      <c r="D69" s="1619" t="s">
        <v>322</v>
      </c>
      <c r="E69" s="1619" t="s">
        <v>953</v>
      </c>
      <c r="F69" s="1619"/>
      <c r="G69" s="1750"/>
      <c r="H69" s="1738"/>
      <c r="I69" s="1751"/>
      <c r="J69" s="1736"/>
      <c r="K69" s="1750"/>
      <c r="L69" s="1738"/>
      <c r="M69" s="1619"/>
      <c r="N69" s="1619"/>
      <c r="O69" s="1619"/>
      <c r="P69" s="1619"/>
      <c r="Q69" s="1619"/>
      <c r="R69" s="1619"/>
      <c r="S69" s="1619"/>
      <c r="T69" s="1619"/>
      <c r="U69" s="1619"/>
      <c r="V69" s="1619"/>
      <c r="W69" s="1619"/>
      <c r="X69" s="1619"/>
      <c r="Y69" s="1619"/>
    </row>
    <row r="70" spans="2:25" s="1617" customFormat="1" ht="30" x14ac:dyDescent="0.2">
      <c r="B70" s="1755" t="str">
        <f>IF(Presentation!$D$2="Français",'TRAD-Adults YEAR(1)'!D70,IF(Presentation!$D$2="Anglais",'TRAD-Adults YEAR(1)'!E70,""))</f>
        <v>Le nombre de patients en 3èmes lignes n'est volontairement pas pris en compte dans le total.</v>
      </c>
      <c r="D70" s="1619" t="s">
        <v>323</v>
      </c>
      <c r="E70" s="1619" t="s">
        <v>1437</v>
      </c>
      <c r="F70" s="1619"/>
      <c r="G70" s="1750"/>
      <c r="H70" s="1738"/>
      <c r="I70" s="1751"/>
      <c r="J70" s="1736"/>
      <c r="K70" s="1750"/>
      <c r="L70" s="1738"/>
      <c r="M70" s="1619"/>
      <c r="N70" s="1619"/>
      <c r="O70" s="1619"/>
      <c r="P70" s="1619"/>
      <c r="Q70" s="1619"/>
      <c r="R70" s="1619"/>
      <c r="S70" s="1619"/>
      <c r="T70" s="1619"/>
      <c r="U70" s="1619"/>
      <c r="V70" s="1619"/>
      <c r="W70" s="1619"/>
      <c r="X70" s="1619"/>
      <c r="Y70" s="1619"/>
    </row>
    <row r="71" spans="2:25" s="1617" customFormat="1" ht="45" x14ac:dyDescent="0.2">
      <c r="B71" s="1755" t="str">
        <f>IF(Presentation!$D$2="Français",'TRAD-Adults YEAR(1)'!D71,IF(Presentation!$D$2="Anglais",'TRAD-Adults YEAR(1)'!E71,""))</f>
        <v>Pour les années suivantes, nous avons pris en compte une défalcation proportionnelle à la répartition des initiations en premières lignes (données en rouge)</v>
      </c>
      <c r="D71" s="1619" t="s">
        <v>317</v>
      </c>
      <c r="E71" s="1619" t="s">
        <v>1438</v>
      </c>
      <c r="F71" s="1619"/>
      <c r="G71" s="1750"/>
      <c r="H71" s="1738"/>
      <c r="I71" s="1751"/>
      <c r="J71" s="1736"/>
      <c r="K71" s="1750"/>
      <c r="L71" s="1738"/>
      <c r="M71" s="1619"/>
      <c r="N71" s="1619"/>
      <c r="O71" s="1619"/>
      <c r="P71" s="1619"/>
      <c r="Q71" s="1619"/>
      <c r="R71" s="1619"/>
      <c r="S71" s="1619"/>
      <c r="T71" s="1619"/>
      <c r="U71" s="1619"/>
      <c r="V71" s="1619"/>
      <c r="W71" s="1619"/>
      <c r="X71" s="1619"/>
      <c r="Y71" s="1619"/>
    </row>
    <row r="72" spans="2:25" s="1617" customFormat="1" x14ac:dyDescent="0.2">
      <c r="B72" s="1755" t="str">
        <f>IF(Presentation!$D$2="Français",'TRAD-Adults YEAR(1)'!D72,IF(Presentation!$D$2="Anglais",'TRAD-Adults YEAR(1)'!E72,""))</f>
        <v>Détails des calculs</v>
      </c>
      <c r="D72" s="1619" t="s">
        <v>630</v>
      </c>
      <c r="E72" s="1619" t="s">
        <v>956</v>
      </c>
      <c r="F72" s="1619"/>
      <c r="G72" s="1619"/>
      <c r="H72" s="1618"/>
      <c r="I72" s="1751"/>
      <c r="J72" s="1736"/>
      <c r="K72" s="1750"/>
      <c r="L72" s="1738"/>
      <c r="M72" s="1619"/>
      <c r="N72" s="1619"/>
      <c r="O72" s="1619"/>
      <c r="P72" s="1619"/>
      <c r="Q72" s="1619"/>
      <c r="R72" s="1619"/>
      <c r="S72" s="1619"/>
      <c r="T72" s="1619"/>
      <c r="U72" s="1619"/>
      <c r="V72" s="1619"/>
      <c r="W72" s="1619"/>
      <c r="X72" s="1619"/>
      <c r="Y72" s="1619"/>
    </row>
    <row r="73" spans="2:25" s="1617" customFormat="1" x14ac:dyDescent="0.2">
      <c r="B73" s="1755" t="str">
        <f>IF(Presentation!$D$2="Français",'TRAD-Adults YEAR(1)'!D73,IF(Presentation!$D$2="Anglais",'TRAD-Adults YEAR(1)'!E73,""))</f>
        <v>Composition</v>
      </c>
      <c r="D73" s="1619" t="s">
        <v>0</v>
      </c>
      <c r="E73" s="1619" t="s">
        <v>0</v>
      </c>
      <c r="F73" s="1619"/>
      <c r="G73" s="1619"/>
      <c r="H73" s="1618"/>
      <c r="I73" s="1618"/>
      <c r="J73" s="1619"/>
      <c r="K73" s="1619"/>
      <c r="L73" s="1619"/>
      <c r="M73" s="1619"/>
      <c r="N73" s="1619"/>
      <c r="O73" s="1618"/>
      <c r="P73" s="1618"/>
      <c r="Q73" s="1618"/>
      <c r="R73" s="1618"/>
      <c r="S73" s="1618"/>
      <c r="T73" s="1618"/>
      <c r="U73" s="1619"/>
      <c r="V73" s="1619"/>
      <c r="W73" s="1618"/>
      <c r="X73" s="1618"/>
      <c r="Y73" s="1619"/>
    </row>
    <row r="74" spans="2:25" s="1617" customFormat="1" x14ac:dyDescent="0.2">
      <c r="B74" s="1755" t="str">
        <f>IF(Presentation!$D$2="Français",'TRAD-Adults YEAR(1)'!D74,IF(Presentation!$D$2="Anglais",'TRAD-Adults YEAR(1)'!E74,""))</f>
        <v>Nom du médicament</v>
      </c>
      <c r="D74" s="1619" t="s">
        <v>74</v>
      </c>
      <c r="E74" s="1619" t="s">
        <v>957</v>
      </c>
      <c r="G74" s="1619"/>
      <c r="H74" s="1619"/>
      <c r="I74" s="1619"/>
      <c r="J74" s="1619"/>
      <c r="K74" s="1619"/>
      <c r="L74" s="1619"/>
      <c r="M74" s="1619"/>
      <c r="N74" s="1619"/>
      <c r="O74" s="1619"/>
      <c r="P74" s="1619"/>
      <c r="Q74" s="1619"/>
      <c r="R74" s="1619"/>
      <c r="S74" s="1619"/>
      <c r="T74" s="1619"/>
      <c r="U74" s="1619"/>
      <c r="V74" s="1619"/>
      <c r="W74" s="1619"/>
      <c r="X74" s="1619"/>
      <c r="Y74" s="1619"/>
    </row>
    <row r="75" spans="2:25" s="1617" customFormat="1" x14ac:dyDescent="0.2">
      <c r="B75" s="1755" t="str">
        <f>IF(Presentation!$D$2="Français",'TRAD-Adults YEAR(1)'!D75,IF(Presentation!$D$2="Anglais",'TRAD-Adults YEAR(1)'!E75,""))</f>
        <v>Forme galénique</v>
      </c>
      <c r="D75" s="1619" t="s">
        <v>1</v>
      </c>
      <c r="E75" s="1619" t="s">
        <v>958</v>
      </c>
      <c r="G75" s="1619"/>
      <c r="H75" s="1619"/>
      <c r="I75" s="1619"/>
      <c r="J75" s="1619"/>
      <c r="K75" s="1619"/>
      <c r="L75" s="1619"/>
      <c r="M75" s="1619"/>
      <c r="N75" s="1619"/>
      <c r="O75" s="1619"/>
      <c r="P75" s="1619"/>
      <c r="Q75" s="1619"/>
      <c r="R75" s="1619"/>
      <c r="S75" s="1619"/>
      <c r="T75" s="1619"/>
      <c r="U75" s="1619"/>
      <c r="V75" s="1619"/>
      <c r="W75" s="1619"/>
      <c r="X75" s="1619"/>
      <c r="Y75" s="1619"/>
    </row>
    <row r="76" spans="2:25" s="1617" customFormat="1" x14ac:dyDescent="0.2">
      <c r="B76" s="1755" t="str">
        <f>IF(Presentation!$D$2="Français",'TRAD-Adults YEAR(1)'!D76,IF(Presentation!$D$2="Anglais",'TRAD-Adults YEAR(1)'!E76,""))</f>
        <v>Dosage</v>
      </c>
      <c r="D76" s="1619" t="s">
        <v>2</v>
      </c>
      <c r="E76" s="1619" t="s">
        <v>1025</v>
      </c>
      <c r="G76" s="1619"/>
      <c r="H76" s="1619"/>
      <c r="I76" s="1619"/>
      <c r="J76" s="1619"/>
      <c r="K76" s="1619"/>
      <c r="L76" s="1619"/>
      <c r="M76" s="1619"/>
      <c r="N76" s="1619"/>
      <c r="O76" s="1619"/>
      <c r="P76" s="1619"/>
      <c r="Q76" s="1619"/>
      <c r="R76" s="1619"/>
      <c r="S76" s="1619"/>
      <c r="T76" s="1619"/>
      <c r="U76" s="1619"/>
      <c r="V76" s="1619"/>
      <c r="W76" s="1619"/>
      <c r="X76" s="1619"/>
      <c r="Y76" s="1619"/>
    </row>
    <row r="77" spans="2:25" s="1617" customFormat="1" x14ac:dyDescent="0.2">
      <c r="B77" s="1755" t="str">
        <f>IF(Presentation!$D$2="Français",'TRAD-Adults YEAR(1)'!D77,IF(Presentation!$D$2="Anglais",'TRAD-Adults YEAR(1)'!E77,""))</f>
        <v>Nb cdt/mois/patient</v>
      </c>
      <c r="D77" s="1619" t="s">
        <v>616</v>
      </c>
      <c r="E77" s="1619" t="s">
        <v>1466</v>
      </c>
      <c r="G77" s="1619"/>
      <c r="H77" s="1619"/>
      <c r="I77" s="1619"/>
      <c r="J77" s="1619"/>
      <c r="K77" s="1619"/>
      <c r="L77" s="1619"/>
      <c r="M77" s="1619"/>
      <c r="N77" s="1619"/>
      <c r="O77" s="1619"/>
      <c r="P77" s="1619"/>
      <c r="Q77" s="1619"/>
      <c r="R77" s="1619"/>
      <c r="S77" s="1619"/>
      <c r="T77" s="1619"/>
      <c r="U77" s="1619"/>
      <c r="V77" s="1619"/>
      <c r="W77" s="1619"/>
      <c r="X77" s="1619"/>
      <c r="Y77" s="1619"/>
    </row>
    <row r="78" spans="2:25" s="1617" customFormat="1" x14ac:dyDescent="0.2">
      <c r="B78" s="1755" t="str">
        <f>IF(Presentation!$D$2="Français",'TRAD-Adults YEAR(1)'!D78,IF(Presentation!$D$2="Anglais",'TRAD-Adults YEAR(1)'!E78,""))</f>
        <v>Répartitions spécifiques (DDI, 3ème ligne)</v>
      </c>
      <c r="D78" s="1619" t="s">
        <v>613</v>
      </c>
      <c r="E78" s="1619" t="s">
        <v>959</v>
      </c>
      <c r="G78" s="1619"/>
      <c r="H78" s="1619"/>
      <c r="I78" s="1619"/>
      <c r="J78" s="1619"/>
      <c r="K78" s="1619"/>
      <c r="L78" s="1619"/>
      <c r="M78" s="1619"/>
      <c r="N78" s="1619"/>
      <c r="O78" s="1619"/>
      <c r="P78" s="1619"/>
      <c r="Q78" s="1619"/>
      <c r="R78" s="1619"/>
      <c r="S78" s="1619"/>
      <c r="T78" s="1619"/>
      <c r="U78" s="1619"/>
      <c r="V78" s="1619"/>
      <c r="W78" s="1619"/>
      <c r="X78" s="1619"/>
      <c r="Y78" s="1619"/>
    </row>
    <row r="79" spans="2:25" s="1617" customFormat="1" x14ac:dyDescent="0.2">
      <c r="B79" s="1755" t="str">
        <f>IF(Presentation!$D$2="Français",'TRAD-Adults YEAR(1)'!D79,IF(Presentation!$D$2="Anglais",'TRAD-Adults YEAR(1)'!E79,""))</f>
        <v>Répartitions spécifiques 3ème ligne</v>
      </c>
      <c r="D79" s="1619" t="s">
        <v>624</v>
      </c>
      <c r="E79" s="1619" t="s">
        <v>960</v>
      </c>
      <c r="G79" s="1744"/>
      <c r="H79" s="1744"/>
      <c r="I79" s="1744"/>
      <c r="J79" s="1744"/>
      <c r="K79" s="1744"/>
      <c r="L79" s="1744"/>
      <c r="M79" s="1744"/>
      <c r="N79" s="1744"/>
      <c r="O79" s="1744"/>
      <c r="P79" s="1744"/>
      <c r="Q79" s="1744"/>
      <c r="R79" s="1744"/>
      <c r="S79" s="1744"/>
      <c r="T79" s="1744"/>
      <c r="U79" s="1744"/>
      <c r="V79" s="1744"/>
      <c r="W79" s="1744"/>
      <c r="X79" s="1744"/>
      <c r="Y79" s="1619"/>
    </row>
    <row r="80" spans="2:25" s="1617" customFormat="1" x14ac:dyDescent="0.2">
      <c r="B80" s="1755" t="str">
        <f>IF(Presentation!$D$2="Français",'TRAD-Adults YEAR(1)'!D80,IF(Presentation!$D$2="Anglais",'TRAD-Adults YEAR(1)'!E80,""))</f>
        <v>Schémas</v>
      </c>
      <c r="D80" s="1619" t="s">
        <v>188</v>
      </c>
      <c r="E80" s="1619" t="s">
        <v>943</v>
      </c>
      <c r="G80" s="1744"/>
      <c r="H80" s="1744"/>
      <c r="I80" s="1744"/>
      <c r="J80" s="1744"/>
      <c r="K80" s="1744"/>
      <c r="L80" s="1744"/>
      <c r="M80" s="1744"/>
      <c r="N80" s="1744"/>
      <c r="O80" s="1744"/>
      <c r="P80" s="1744"/>
      <c r="Q80" s="1744"/>
      <c r="R80" s="1744"/>
      <c r="S80" s="1744"/>
      <c r="T80" s="1744"/>
      <c r="U80" s="1744"/>
      <c r="V80" s="1744"/>
      <c r="W80" s="1744"/>
      <c r="X80" s="1744"/>
      <c r="Y80" s="1744"/>
    </row>
    <row r="81" spans="2:25" s="1617" customFormat="1" x14ac:dyDescent="0.2">
      <c r="B81" s="1755" t="str">
        <f>IF(Presentation!$D$2="Français",'TRAD-Adults YEAR(1)'!D81,IF(Presentation!$D$2="Anglais",'TRAD-Adults YEAR(1)'!E81,""))</f>
        <v>Nb de patients suivis recevant l'ARV</v>
      </c>
      <c r="D81" s="1752" t="s">
        <v>604</v>
      </c>
      <c r="E81" s="1617" t="s">
        <v>1467</v>
      </c>
      <c r="G81" s="1746"/>
      <c r="H81" s="1746"/>
      <c r="I81" s="1746"/>
      <c r="J81" s="1746"/>
      <c r="K81" s="1746"/>
      <c r="L81" s="1746"/>
      <c r="M81" s="1746"/>
      <c r="N81" s="1746"/>
      <c r="O81" s="1746"/>
      <c r="P81" s="1746"/>
      <c r="Q81" s="1746"/>
      <c r="R81" s="1746"/>
      <c r="S81" s="1746"/>
      <c r="T81" s="1746"/>
      <c r="U81" s="1746"/>
      <c r="V81" s="1746"/>
      <c r="W81" s="1746"/>
      <c r="X81" s="1746"/>
      <c r="Y81" s="1746"/>
    </row>
    <row r="82" spans="2:25" s="1617" customFormat="1" ht="30" x14ac:dyDescent="0.2">
      <c r="B82" s="1755" t="str">
        <f>IF(Presentation!$D$2="Français",'TRAD-Adults YEAR(1)'!D82,IF(Presentation!$D$2="Anglais",'TRAD-Adults YEAR(1)'!E82,""))</f>
        <v>Quantités de conditionnements nécessaires pour l'ensemble des patients suivis pour 1 mois</v>
      </c>
      <c r="D82" s="1752" t="s">
        <v>605</v>
      </c>
      <c r="E82" s="1617" t="s">
        <v>961</v>
      </c>
      <c r="G82" s="1746"/>
      <c r="H82" s="1746"/>
      <c r="I82" s="1746"/>
      <c r="J82" s="1746"/>
      <c r="K82" s="1746"/>
      <c r="L82" s="1746"/>
      <c r="M82" s="1746"/>
      <c r="N82" s="1746"/>
      <c r="O82" s="1746"/>
      <c r="P82" s="1746"/>
      <c r="Q82" s="1746"/>
      <c r="R82" s="1746"/>
      <c r="S82" s="1746"/>
      <c r="T82" s="1746"/>
      <c r="U82" s="1746"/>
      <c r="V82" s="1746"/>
      <c r="W82" s="1746"/>
      <c r="X82" s="1746"/>
      <c r="Y82" s="1746"/>
    </row>
    <row r="83" spans="2:25" s="1617" customFormat="1" ht="30" x14ac:dyDescent="0.2">
      <c r="B83" s="1755" t="str">
        <f>IF(Presentation!$D$2="Français",'TRAD-Adults YEAR(1)'!D83,IF(Presentation!$D$2="Anglais",'TRAD-Adults YEAR(1)'!E83,""))</f>
        <v>Qtés conditionnements pour l'ensemble des patients sur toute la période hors SS</v>
      </c>
      <c r="D83" s="1752" t="s">
        <v>909</v>
      </c>
      <c r="E83" s="1617" t="s">
        <v>962</v>
      </c>
      <c r="G83" s="1746"/>
      <c r="H83" s="1746"/>
      <c r="I83" s="1746"/>
      <c r="J83" s="1746"/>
      <c r="K83" s="1746"/>
      <c r="L83" s="1746"/>
      <c r="M83" s="1746"/>
      <c r="N83" s="1746"/>
      <c r="O83" s="1746"/>
      <c r="P83" s="1746"/>
      <c r="Q83" s="1746"/>
      <c r="R83" s="1746"/>
      <c r="S83" s="1746"/>
      <c r="T83" s="1746"/>
      <c r="U83" s="1746"/>
      <c r="V83" s="1746"/>
      <c r="W83" s="1746"/>
      <c r="X83" s="1746"/>
      <c r="Y83" s="1746"/>
    </row>
    <row r="84" spans="2:25" s="1617" customFormat="1" ht="30" x14ac:dyDescent="0.2">
      <c r="B84" s="1755" t="str">
        <f>IF(Presentation!$D$2="Français",'TRAD-Adults YEAR(1)'!D84,IF(Presentation!$D$2="Anglais",'TRAD-Adults YEAR(1)'!E84,""))</f>
        <v>Qtés conditionnements pour l'ensemble des patients sur toute la période avec SS</v>
      </c>
      <c r="D84" s="1752" t="s">
        <v>910</v>
      </c>
      <c r="E84" s="1617" t="s">
        <v>963</v>
      </c>
      <c r="G84" s="1746"/>
      <c r="H84" s="1746"/>
      <c r="I84" s="1746"/>
      <c r="J84" s="1746"/>
      <c r="K84" s="1746"/>
      <c r="L84" s="1746"/>
      <c r="M84" s="1746"/>
      <c r="N84" s="1746"/>
      <c r="O84" s="1746"/>
      <c r="P84" s="1746"/>
      <c r="Q84" s="1746"/>
      <c r="R84" s="1746"/>
      <c r="S84" s="1746"/>
      <c r="T84" s="1746"/>
      <c r="U84" s="1746"/>
      <c r="V84" s="1746"/>
      <c r="W84" s="1746"/>
      <c r="X84" s="1746"/>
      <c r="Y84" s="1746"/>
    </row>
    <row r="85" spans="2:25" s="1617" customFormat="1" x14ac:dyDescent="0.2">
      <c r="B85" s="1755" t="str">
        <f>IF(Presentation!$D$2="Français",'TRAD-Adults YEAR(1)'!D85,IF(Presentation!$D$2="Anglais",'TRAD-Adults YEAR(1)'!E85,""))</f>
        <v>Nb de patients initiés par mois recevant l'ARV</v>
      </c>
      <c r="D85" s="1752" t="s">
        <v>607</v>
      </c>
      <c r="E85" s="1617" t="s">
        <v>965</v>
      </c>
      <c r="G85" s="1746"/>
      <c r="H85" s="1746"/>
      <c r="I85" s="1746"/>
      <c r="J85" s="1746"/>
      <c r="K85" s="1746"/>
      <c r="L85" s="1746"/>
      <c r="M85" s="1746"/>
      <c r="N85" s="1746"/>
      <c r="O85" s="1746"/>
      <c r="P85" s="1746"/>
      <c r="Q85" s="1746"/>
      <c r="R85" s="1746"/>
      <c r="S85" s="1746"/>
      <c r="T85" s="1746"/>
      <c r="U85" s="1746"/>
      <c r="V85" s="1746"/>
      <c r="W85" s="1746"/>
      <c r="X85" s="1746"/>
      <c r="Y85" s="1746"/>
    </row>
    <row r="86" spans="2:25" s="1617" customFormat="1" ht="30" x14ac:dyDescent="0.2">
      <c r="B86" s="1755" t="str">
        <f>IF(Presentation!$D$2="Français",'TRAD-Adults YEAR(1)'!D86,IF(Presentation!$D$2="Anglais",'TRAD-Adults YEAR(1)'!E86,""))</f>
        <v>Quantités de conditionnements nécessaires pour l'ensemble des patients initiés sur 1 mois</v>
      </c>
      <c r="D86" s="1752" t="s">
        <v>608</v>
      </c>
      <c r="E86" s="1617" t="s">
        <v>964</v>
      </c>
      <c r="G86" s="1746"/>
      <c r="H86" s="1746"/>
      <c r="I86" s="1746"/>
      <c r="J86" s="1746"/>
      <c r="K86" s="1746"/>
      <c r="L86" s="1746"/>
      <c r="M86" s="1746"/>
      <c r="N86" s="1746"/>
      <c r="O86" s="1746"/>
      <c r="P86" s="1746"/>
      <c r="Q86" s="1746"/>
      <c r="R86" s="1746"/>
      <c r="S86" s="1746"/>
      <c r="T86" s="1746"/>
      <c r="U86" s="1746"/>
      <c r="V86" s="1746"/>
      <c r="W86" s="1746"/>
      <c r="X86" s="1746"/>
      <c r="Y86" s="1746"/>
    </row>
    <row r="87" spans="2:25" s="1617" customFormat="1" ht="30" x14ac:dyDescent="0.2">
      <c r="B87" s="1755" t="str">
        <f>IF(Presentation!$D$2="Français",'TRAD-Adults YEAR(1)'!D87,IF(Presentation!$D$2="Anglais",'TRAD-Adults YEAR(1)'!E87,""))</f>
        <v>Quantités conditionnements nécessaires Spécificités 3èmes lignes pour 1 mois</v>
      </c>
      <c r="D87" s="1752" t="s">
        <v>625</v>
      </c>
      <c r="E87" s="1617" t="s">
        <v>966</v>
      </c>
      <c r="G87" s="1746"/>
      <c r="H87" s="1746"/>
      <c r="I87" s="1746"/>
      <c r="J87" s="1746"/>
      <c r="K87" s="1746"/>
      <c r="L87" s="1746"/>
      <c r="M87" s="1746"/>
      <c r="N87" s="1746"/>
      <c r="O87" s="1746"/>
      <c r="P87" s="1746"/>
      <c r="Q87" s="1746"/>
      <c r="R87" s="1746"/>
      <c r="S87" s="1746"/>
      <c r="T87" s="1746"/>
      <c r="U87" s="1746"/>
      <c r="V87" s="1746"/>
      <c r="W87" s="1746"/>
      <c r="X87" s="1746"/>
      <c r="Y87" s="1746"/>
    </row>
    <row r="88" spans="2:25" s="1617" customFormat="1" ht="30" x14ac:dyDescent="0.2">
      <c r="B88" s="1755" t="str">
        <f>IF(Presentation!$D$2="Français",'TRAD-Adults YEAR(1)'!D88,IF(Presentation!$D$2="Anglais",'TRAD-Adults YEAR(1)'!E88,""))</f>
        <v>Qtés conditionnements pour l'ensemble des patients initiés sur toute la période sans SS</v>
      </c>
      <c r="D88" s="1752" t="s">
        <v>911</v>
      </c>
      <c r="E88" s="1617" t="s">
        <v>967</v>
      </c>
      <c r="G88" s="1746"/>
      <c r="H88" s="1746"/>
      <c r="I88" s="1746"/>
      <c r="J88" s="1746"/>
      <c r="K88" s="1746"/>
      <c r="L88" s="1746"/>
      <c r="M88" s="1746"/>
      <c r="N88" s="1746"/>
      <c r="O88" s="1746"/>
      <c r="P88" s="1746"/>
      <c r="Q88" s="1746"/>
      <c r="R88" s="1746"/>
      <c r="S88" s="1746"/>
      <c r="T88" s="1746"/>
      <c r="U88" s="1746"/>
      <c r="V88" s="1746"/>
      <c r="W88" s="1746"/>
      <c r="X88" s="1746"/>
      <c r="Y88" s="1746"/>
    </row>
    <row r="89" spans="2:25" s="1617" customFormat="1" ht="30" x14ac:dyDescent="0.2">
      <c r="B89" s="1755" t="str">
        <f>IF(Presentation!$D$2="Français",'TRAD-Adults YEAR(1)'!D89,IF(Presentation!$D$2="Anglais",'TRAD-Adults YEAR(1)'!E89,""))</f>
        <v>Qtés conditionnements pour l'ensemble des patients initiés sur toute la période avec SS</v>
      </c>
      <c r="D89" s="1752" t="s">
        <v>912</v>
      </c>
      <c r="E89" s="1617" t="s">
        <v>968</v>
      </c>
      <c r="G89" s="1746"/>
      <c r="H89" s="1746"/>
      <c r="I89" s="1746"/>
      <c r="J89" s="1746"/>
      <c r="K89" s="1746"/>
      <c r="L89" s="1746"/>
      <c r="M89" s="1746"/>
      <c r="N89" s="1746"/>
      <c r="O89" s="1746"/>
      <c r="P89" s="1746"/>
      <c r="Q89" s="1746"/>
      <c r="R89" s="1746"/>
      <c r="S89" s="1746"/>
      <c r="T89" s="1746"/>
      <c r="U89" s="1746"/>
      <c r="V89" s="1746"/>
      <c r="W89" s="1746"/>
      <c r="X89" s="1746"/>
      <c r="Y89" s="1746"/>
    </row>
    <row r="90" spans="2:25" s="1617" customFormat="1" x14ac:dyDescent="0.2">
      <c r="B90" s="1755" t="str">
        <f>IF(Presentation!$D$2="Français",'TRAD-Adults YEAR(1)'!D90,IF(Presentation!$D$2="Anglais",'TRAD-Adults YEAR(1)'!E90,""))</f>
        <v>Patients initiés</v>
      </c>
      <c r="D90" s="1617" t="s">
        <v>606</v>
      </c>
      <c r="E90" s="1617" t="s">
        <v>969</v>
      </c>
      <c r="G90" s="1746"/>
      <c r="H90" s="1746"/>
      <c r="I90" s="1746"/>
      <c r="J90" s="1746"/>
      <c r="K90" s="1746"/>
      <c r="L90" s="1746"/>
      <c r="M90" s="1746"/>
      <c r="N90" s="1746"/>
      <c r="O90" s="1746"/>
      <c r="P90" s="1746"/>
      <c r="Q90" s="1746"/>
      <c r="R90" s="1746"/>
      <c r="S90" s="1746"/>
      <c r="T90" s="1746"/>
      <c r="U90" s="1746"/>
      <c r="V90" s="1746"/>
      <c r="W90" s="1746"/>
      <c r="X90" s="1746"/>
      <c r="Y90" s="1746"/>
    </row>
    <row r="91" spans="2:25" s="1617" customFormat="1" ht="30" x14ac:dyDescent="0.2">
      <c r="B91" s="1755" t="str">
        <f>IF(Presentation!$D$2="Français",'TRAD-Adults YEAR(1)'!D91,IF(Presentation!$D$2="Anglais",'TRAD-Adults YEAR(1)'!E91,""))</f>
        <v>Quantités de conditionnements nécessaires pour l'ensemble des patients initiés sur 1 mois</v>
      </c>
      <c r="D91" s="1752" t="s">
        <v>608</v>
      </c>
      <c r="E91" s="1617" t="s">
        <v>964</v>
      </c>
      <c r="G91" s="1746"/>
      <c r="H91" s="1746"/>
      <c r="I91" s="1746"/>
      <c r="J91" s="1746"/>
      <c r="K91" s="1746"/>
      <c r="L91" s="1746"/>
      <c r="M91" s="1746"/>
      <c r="N91" s="1746"/>
      <c r="O91" s="1746"/>
      <c r="P91" s="1746"/>
      <c r="Q91" s="1746"/>
      <c r="R91" s="1746"/>
      <c r="S91" s="1746"/>
      <c r="T91" s="1746"/>
      <c r="U91" s="1746"/>
      <c r="V91" s="1746"/>
      <c r="W91" s="1746"/>
      <c r="X91" s="1746"/>
      <c r="Y91" s="1746"/>
    </row>
    <row r="92" spans="2:25" s="1617" customFormat="1" ht="30" x14ac:dyDescent="0.2">
      <c r="B92" s="1755" t="str">
        <f>IF(Presentation!$D$2="Français",'TRAD-Adults YEAR(1)'!D92,IF(Presentation!$D$2="Anglais",'TRAD-Adults YEAR(1)'!E92,""))</f>
        <v>Quantités conditionnements nécessaires Spécificités 3èmes lignes pour 1 mois</v>
      </c>
      <c r="D92" s="1752" t="s">
        <v>625</v>
      </c>
      <c r="E92" s="1617" t="s">
        <v>966</v>
      </c>
      <c r="G92" s="1746"/>
      <c r="H92" s="1746"/>
      <c r="I92" s="1746"/>
      <c r="J92" s="1746"/>
      <c r="K92" s="1746"/>
      <c r="L92" s="1746"/>
      <c r="M92" s="1746"/>
      <c r="N92" s="1746"/>
      <c r="O92" s="1746"/>
      <c r="P92" s="1746"/>
      <c r="Q92" s="1746"/>
      <c r="R92" s="1746"/>
      <c r="S92" s="1746"/>
      <c r="T92" s="1746"/>
      <c r="U92" s="1746"/>
      <c r="V92" s="1746"/>
      <c r="W92" s="1746"/>
      <c r="X92" s="1746"/>
      <c r="Y92" s="1746"/>
    </row>
    <row r="93" spans="2:25" s="1617" customFormat="1" x14ac:dyDescent="0.2">
      <c r="B93" s="1755" t="str">
        <f>IF(Presentation!$D$2="Français",'TRAD-Adults YEAR(1)'!D93,IF(Presentation!$D$2="Anglais",'TRAD-Adults YEAR(1)'!E93,""))</f>
        <v>Patients switchés</v>
      </c>
      <c r="D93" s="1617" t="s">
        <v>626</v>
      </c>
      <c r="E93" s="1617" t="s">
        <v>970</v>
      </c>
      <c r="G93" s="1746"/>
      <c r="H93" s="1746"/>
      <c r="I93" s="1746"/>
      <c r="J93" s="1746"/>
      <c r="K93" s="1746"/>
      <c r="L93" s="1746"/>
      <c r="M93" s="1746"/>
      <c r="N93" s="1746"/>
      <c r="O93" s="1746"/>
      <c r="P93" s="1746"/>
      <c r="Q93" s="1746"/>
      <c r="R93" s="1746"/>
      <c r="S93" s="1746"/>
      <c r="T93" s="1746"/>
      <c r="U93" s="1746"/>
      <c r="V93" s="1746"/>
      <c r="W93" s="1746"/>
      <c r="X93" s="1746"/>
      <c r="Y93" s="1746"/>
    </row>
    <row r="94" spans="2:25" s="1617" customFormat="1" ht="30" x14ac:dyDescent="0.2">
      <c r="B94" s="1755" t="str">
        <f>IF(Presentation!$D$2="Français",'TRAD-Adults YEAR(1)'!D94,IF(Presentation!$D$2="Anglais",'TRAD-Adults YEAR(1)'!E94,""))</f>
        <v>Qtés conditionnements pour l'ensemble des patients initiés sur toute la période sans SS</v>
      </c>
      <c r="D94" s="1752" t="s">
        <v>911</v>
      </c>
      <c r="E94" s="1617" t="s">
        <v>967</v>
      </c>
      <c r="G94" s="1746"/>
      <c r="H94" s="1746"/>
      <c r="I94" s="1746"/>
      <c r="J94" s="1746"/>
      <c r="K94" s="1746"/>
      <c r="L94" s="1746"/>
      <c r="M94" s="1746"/>
      <c r="N94" s="1746"/>
      <c r="O94" s="1746"/>
      <c r="P94" s="1746"/>
      <c r="Q94" s="1746"/>
      <c r="R94" s="1746"/>
      <c r="S94" s="1746"/>
      <c r="T94" s="1746"/>
      <c r="U94" s="1746"/>
      <c r="V94" s="1746"/>
      <c r="W94" s="1746"/>
      <c r="X94" s="1746"/>
      <c r="Y94" s="1746"/>
    </row>
    <row r="95" spans="2:25" s="1617" customFormat="1" ht="30" x14ac:dyDescent="0.2">
      <c r="B95" s="1755" t="str">
        <f>IF(Presentation!$D$2="Français",'TRAD-Adults YEAR(1)'!D95,IF(Presentation!$D$2="Anglais",'TRAD-Adults YEAR(1)'!E95,""))</f>
        <v>Qtés conditionnements pour l'ensemble des patients initiés sur toute la période avec SS</v>
      </c>
      <c r="D95" s="1752" t="s">
        <v>912</v>
      </c>
      <c r="E95" s="1617" t="s">
        <v>968</v>
      </c>
      <c r="G95" s="1746"/>
      <c r="H95" s="1746"/>
      <c r="I95" s="1746"/>
      <c r="J95" s="1746"/>
      <c r="K95" s="1746"/>
      <c r="L95" s="1746"/>
      <c r="M95" s="1746"/>
      <c r="N95" s="1746"/>
      <c r="O95" s="1746"/>
      <c r="P95" s="1746"/>
      <c r="Q95" s="1746"/>
      <c r="R95" s="1746"/>
      <c r="S95" s="1746"/>
      <c r="T95" s="1746"/>
      <c r="U95" s="1746"/>
      <c r="V95" s="1746"/>
      <c r="W95" s="1746"/>
      <c r="X95" s="1746"/>
      <c r="Y95" s="1746"/>
    </row>
    <row r="96" spans="2:25" s="1617" customFormat="1" x14ac:dyDescent="0.2">
      <c r="B96" s="1755" t="str">
        <f>IF(Presentation!$D$2="Français",'TRAD-Adults YEAR(1)'!D96,IF(Presentation!$D$2="Anglais",'TRAD-Adults YEAR(1)'!E96,""))</f>
        <v>Initiation NVP</v>
      </c>
      <c r="D96" s="1617" t="s">
        <v>609</v>
      </c>
      <c r="E96" s="1617" t="s">
        <v>971</v>
      </c>
      <c r="G96" s="1746"/>
      <c r="H96" s="1746"/>
      <c r="I96" s="1746"/>
      <c r="J96" s="1746"/>
      <c r="K96" s="1746"/>
      <c r="L96" s="1746"/>
      <c r="M96" s="1746"/>
      <c r="N96" s="1746"/>
      <c r="O96" s="1746"/>
      <c r="P96" s="1746"/>
      <c r="Q96" s="1746"/>
      <c r="R96" s="1746"/>
      <c r="S96" s="1746"/>
      <c r="T96" s="1746"/>
      <c r="U96" s="1746"/>
      <c r="V96" s="1746"/>
      <c r="W96" s="1746"/>
      <c r="X96" s="1746"/>
      <c r="Y96" s="1746"/>
    </row>
    <row r="97" spans="2:25" s="1617" customFormat="1" ht="30" x14ac:dyDescent="0.2">
      <c r="B97" s="1755" t="str">
        <f>IF(Presentation!$D$2="Français",'TRAD-Adults YEAR(1)'!D97,IF(Presentation!$D$2="Anglais",'TRAD-Adults YEAR(1)'!E97,""))</f>
        <v>Défalcation retrait du passage en 2ème sur les 1ères lignes (ATTENTION négatif)</v>
      </c>
      <c r="D97" s="1617" t="s">
        <v>628</v>
      </c>
      <c r="E97" s="1619" t="s">
        <v>972</v>
      </c>
      <c r="G97" s="1746"/>
      <c r="H97" s="1746"/>
      <c r="I97" s="1746"/>
      <c r="J97" s="1746"/>
      <c r="K97" s="1746"/>
      <c r="L97" s="1746"/>
      <c r="M97" s="1746"/>
      <c r="N97" s="1746"/>
      <c r="O97" s="1746"/>
      <c r="P97" s="1746"/>
      <c r="Q97" s="1746"/>
      <c r="R97" s="1746"/>
      <c r="S97" s="1746"/>
      <c r="T97" s="1746"/>
      <c r="U97" s="1746"/>
      <c r="V97" s="1746"/>
      <c r="W97" s="1746"/>
      <c r="X97" s="1746"/>
      <c r="Y97" s="1746"/>
    </row>
    <row r="98" spans="2:25" s="1617" customFormat="1" x14ac:dyDescent="0.2">
      <c r="B98" s="1755" t="str">
        <f>IF(Presentation!$D$2="Français",'TRAD-Adults YEAR(1)'!D98,IF(Presentation!$D$2="Anglais",'TRAD-Adults YEAR(1)'!E98,""))</f>
        <v>Besoins pour initiation NVP sans SS</v>
      </c>
      <c r="D98" s="1752" t="s">
        <v>913</v>
      </c>
      <c r="E98" s="1617" t="s">
        <v>973</v>
      </c>
      <c r="G98" s="1753"/>
      <c r="H98" s="1754"/>
      <c r="I98" s="1754"/>
      <c r="J98" s="1754"/>
      <c r="K98" s="1754"/>
      <c r="L98" s="1754"/>
      <c r="M98" s="1754"/>
      <c r="N98" s="1754"/>
      <c r="O98" s="1754"/>
      <c r="P98" s="1754"/>
      <c r="Q98" s="1754"/>
      <c r="R98" s="1754"/>
      <c r="S98" s="1754"/>
      <c r="T98" s="1754"/>
      <c r="U98" s="1754"/>
      <c r="V98" s="1754"/>
      <c r="W98" s="1754"/>
      <c r="X98" s="1754"/>
      <c r="Y98" s="1754"/>
    </row>
    <row r="99" spans="2:25" s="1617" customFormat="1" x14ac:dyDescent="0.2">
      <c r="B99" s="1755" t="str">
        <f>IF(Presentation!$D$2="Français",'TRAD-Adults YEAR(1)'!D99,IF(Presentation!$D$2="Anglais",'TRAD-Adults YEAR(1)'!E99,""))</f>
        <v>Besoins pour initiation NVP avec SS</v>
      </c>
      <c r="D99" s="1752" t="s">
        <v>914</v>
      </c>
      <c r="E99" s="1617" t="s">
        <v>974</v>
      </c>
      <c r="G99" s="1753"/>
      <c r="H99" s="1754"/>
      <c r="I99" s="1754"/>
      <c r="J99" s="1754"/>
      <c r="K99" s="1754"/>
      <c r="L99" s="1754"/>
      <c r="M99" s="1754"/>
      <c r="N99" s="1754"/>
      <c r="O99" s="1754"/>
      <c r="P99" s="1754"/>
      <c r="Q99" s="1754"/>
      <c r="R99" s="1754"/>
      <c r="S99" s="1754"/>
      <c r="T99" s="1754"/>
      <c r="U99" s="1754"/>
      <c r="V99" s="1754"/>
      <c r="W99" s="1754"/>
      <c r="X99" s="1754"/>
      <c r="Y99" s="1754"/>
    </row>
    <row r="100" spans="2:25" s="1617" customFormat="1" x14ac:dyDescent="0.2">
      <c r="B100" s="1755" t="str">
        <f>IF(Presentation!$D$2="Français",'TRAD-Adults YEAR(1)'!D100,IF(Presentation!$D$2="Anglais",'TRAD-Adults YEAR(1)'!E100,""))</f>
        <v>Défalcation sans SS</v>
      </c>
      <c r="D100" s="1752" t="s">
        <v>915</v>
      </c>
      <c r="E100" s="1617" t="s">
        <v>975</v>
      </c>
      <c r="G100" s="1748"/>
      <c r="H100" s="1748"/>
      <c r="I100" s="1748"/>
      <c r="J100" s="1748"/>
      <c r="K100" s="1748"/>
      <c r="L100" s="1748"/>
      <c r="M100" s="1748"/>
      <c r="N100" s="1748"/>
      <c r="O100" s="1748"/>
      <c r="P100" s="1748"/>
      <c r="Q100" s="1748"/>
      <c r="R100" s="1748"/>
      <c r="S100" s="1748"/>
      <c r="T100" s="1748"/>
      <c r="U100" s="1748"/>
      <c r="V100" s="1748"/>
      <c r="W100" s="1748"/>
      <c r="X100" s="1748"/>
      <c r="Y100" s="1748"/>
    </row>
    <row r="101" spans="2:25" s="1617" customFormat="1" x14ac:dyDescent="0.2">
      <c r="B101" s="1755" t="str">
        <f>IF(Presentation!$D$2="Français",'TRAD-Adults YEAR(1)'!D101,IF(Presentation!$D$2="Anglais",'TRAD-Adults YEAR(1)'!E101,""))</f>
        <v>Défalcation avec SS</v>
      </c>
      <c r="D101" s="1752" t="s">
        <v>916</v>
      </c>
      <c r="E101" s="1617" t="s">
        <v>976</v>
      </c>
      <c r="F101" s="1752"/>
      <c r="G101" s="1748"/>
      <c r="H101" s="1748"/>
      <c r="I101" s="1748"/>
      <c r="J101" s="1748"/>
      <c r="K101" s="1748"/>
      <c r="L101" s="1748"/>
      <c r="M101" s="1748"/>
      <c r="N101" s="1748"/>
      <c r="O101" s="1748"/>
      <c r="P101" s="1748"/>
      <c r="Q101" s="1748"/>
      <c r="R101" s="1748"/>
      <c r="S101" s="1748"/>
      <c r="T101" s="1748"/>
      <c r="U101" s="1748"/>
      <c r="V101" s="1748"/>
      <c r="W101" s="1748"/>
      <c r="X101" s="1748"/>
      <c r="Y101" s="1748"/>
    </row>
    <row r="102" spans="2:25" s="1617" customFormat="1" x14ac:dyDescent="0.2">
      <c r="B102" s="1755" t="str">
        <f>IF(Presentation!$D$2="Français",'TRAD-Adults YEAR(1)'!D102,IF(Presentation!$D$2="Anglais",'TRAD-Adults YEAR(1)'!E102,""))</f>
        <v>Besoins totaux hors SS</v>
      </c>
      <c r="D102" s="1752" t="s">
        <v>610</v>
      </c>
      <c r="E102" s="1619" t="s">
        <v>977</v>
      </c>
      <c r="F102" s="1619"/>
      <c r="G102" s="1619"/>
      <c r="H102" s="1619"/>
      <c r="I102" s="1619"/>
      <c r="J102" s="1619"/>
      <c r="K102" s="1619"/>
      <c r="L102" s="1619"/>
      <c r="M102" s="1619"/>
      <c r="N102" s="1619"/>
      <c r="O102" s="1619"/>
      <c r="P102" s="1619"/>
      <c r="Q102" s="1619"/>
      <c r="R102" s="1619"/>
      <c r="S102" s="1619"/>
      <c r="T102" s="1619"/>
      <c r="U102" s="1619"/>
      <c r="V102" s="1619"/>
      <c r="W102" s="1619"/>
      <c r="X102" s="1619"/>
      <c r="Y102" s="1619"/>
    </row>
    <row r="103" spans="2:25" s="1617" customFormat="1" x14ac:dyDescent="0.2">
      <c r="B103" s="1755" t="str">
        <f>IF(Presentation!$D$2="Français",'TRAD-Adults YEAR(1)'!D103,IF(Presentation!$D$2="Anglais",'TRAD-Adults YEAR(1)'!E103,""))</f>
        <v>Besoins totaux avec SS</v>
      </c>
      <c r="D103" s="1752" t="s">
        <v>611</v>
      </c>
      <c r="E103" s="1617" t="s">
        <v>978</v>
      </c>
      <c r="F103" s="1619"/>
      <c r="G103" s="1619"/>
      <c r="H103" s="1618"/>
      <c r="I103" s="1618"/>
      <c r="J103" s="1618"/>
      <c r="K103" s="1618"/>
      <c r="L103" s="1618"/>
      <c r="M103" s="1618"/>
      <c r="N103" s="1618"/>
      <c r="O103" s="2154"/>
      <c r="P103" s="2154"/>
      <c r="Q103" s="1618"/>
      <c r="R103" s="1619"/>
      <c r="S103" s="1619"/>
      <c r="T103" s="1619"/>
      <c r="U103" s="1619"/>
      <c r="V103" s="1619"/>
      <c r="W103" s="1619"/>
      <c r="X103" s="1619"/>
      <c r="Y103" s="1619"/>
    </row>
    <row r="104" spans="2:25" s="1617" customFormat="1" x14ac:dyDescent="0.2">
      <c r="B104" s="1755" t="str">
        <f>IF(Presentation!$D$2="Français",'TRAD-Adults YEAR(1)'!D104,IF(Presentation!$D$2="Anglais",'TRAD-Adults YEAR(1)'!E104,""))</f>
        <v>Quantités nécessaire sur le SS</v>
      </c>
      <c r="D104" s="1752" t="s">
        <v>612</v>
      </c>
      <c r="E104" s="1619" t="s">
        <v>979</v>
      </c>
      <c r="F104" s="1619"/>
      <c r="G104" s="1619"/>
      <c r="H104" s="1619"/>
      <c r="I104" s="1619"/>
      <c r="J104" s="1619"/>
      <c r="K104" s="1619"/>
      <c r="L104" s="1619"/>
      <c r="M104" s="1619"/>
      <c r="N104" s="1619"/>
      <c r="O104" s="1619"/>
      <c r="P104" s="1619"/>
      <c r="Q104" s="1619"/>
      <c r="R104" s="1619"/>
      <c r="S104" s="1619"/>
      <c r="T104" s="1619"/>
      <c r="U104" s="1619"/>
      <c r="V104" s="1619"/>
      <c r="W104" s="1619"/>
      <c r="X104" s="1619"/>
      <c r="Y104" s="1619"/>
    </row>
    <row r="105" spans="2:25" s="1617" customFormat="1" x14ac:dyDescent="0.2">
      <c r="B105" s="1755" t="str">
        <f>IF(Presentation!$D$2="Français",'TRAD-Adults YEAR(1)'!D105,IF(Presentation!$D$2="Anglais",'TRAD-Adults YEAR(1)'!E105,""))</f>
        <v>Synthèse</v>
      </c>
      <c r="D105" s="1619" t="s">
        <v>130</v>
      </c>
      <c r="E105" s="1619" t="s">
        <v>980</v>
      </c>
      <c r="F105" s="1619"/>
      <c r="G105" s="1619"/>
      <c r="H105" s="1619"/>
      <c r="I105" s="1619"/>
      <c r="J105" s="1619"/>
      <c r="K105" s="1619"/>
      <c r="L105" s="1619"/>
      <c r="N105" s="1618"/>
      <c r="O105" s="1618"/>
      <c r="P105" s="1618"/>
      <c r="Q105" s="1618"/>
      <c r="R105" s="1618"/>
      <c r="T105" s="1618"/>
      <c r="U105" s="1618"/>
      <c r="V105" s="1618"/>
      <c r="W105" s="1618"/>
      <c r="X105" s="1618"/>
    </row>
    <row r="106" spans="2:25" s="1617" customFormat="1" x14ac:dyDescent="0.2">
      <c r="B106" s="1755" t="str">
        <f>IF(Presentation!$D$2="Français",'TRAD-Adults YEAR(1)'!D106,IF(Presentation!$D$2="Anglais",'TRAD-Adults YEAR(1)'!E106,""))</f>
        <v>Composition</v>
      </c>
      <c r="D106" s="1619" t="s">
        <v>0</v>
      </c>
      <c r="E106" s="1619" t="s">
        <v>0</v>
      </c>
      <c r="T106" s="1618"/>
      <c r="U106" s="1618"/>
      <c r="V106" s="1618"/>
      <c r="W106" s="1618"/>
    </row>
    <row r="107" spans="2:25" s="1617" customFormat="1" x14ac:dyDescent="0.2">
      <c r="B107" s="1755" t="str">
        <f>IF(Presentation!$D$2="Français",'TRAD-Adults YEAR(1)'!D107,IF(Presentation!$D$2="Anglais",'TRAD-Adults YEAR(1)'!E107,""))</f>
        <v>Nom du médicament</v>
      </c>
      <c r="D107" s="1619" t="s">
        <v>74</v>
      </c>
      <c r="E107" s="1619" t="s">
        <v>957</v>
      </c>
      <c r="F107" s="1619"/>
      <c r="G107" s="1619"/>
      <c r="H107" s="1619"/>
      <c r="I107" s="1619"/>
      <c r="J107" s="1619"/>
      <c r="K107" s="1619"/>
      <c r="L107" s="1619"/>
      <c r="M107" s="1654"/>
      <c r="N107" s="1654"/>
      <c r="O107" s="1654"/>
      <c r="P107" s="1654"/>
      <c r="Q107" s="1654"/>
      <c r="R107" s="1655"/>
      <c r="S107" s="1654"/>
      <c r="T107" s="1654"/>
      <c r="U107" s="1654"/>
      <c r="V107" s="1654"/>
      <c r="W107" s="1654"/>
      <c r="X107" s="1655"/>
      <c r="Y107" s="1655"/>
    </row>
    <row r="108" spans="2:25" s="1617" customFormat="1" x14ac:dyDescent="0.2">
      <c r="B108" s="1755" t="str">
        <f>IF(Presentation!$D$2="Français",'TRAD-Adults YEAR(1)'!D108,IF(Presentation!$D$2="Anglais",'TRAD-Adults YEAR(1)'!E108,""))</f>
        <v>Forme galénique</v>
      </c>
      <c r="D108" s="1619" t="s">
        <v>1</v>
      </c>
      <c r="E108" s="1619" t="s">
        <v>958</v>
      </c>
      <c r="F108" s="1619"/>
      <c r="G108" s="1619"/>
      <c r="H108" s="1619"/>
      <c r="I108" s="1619"/>
      <c r="J108" s="1619"/>
      <c r="K108" s="1619"/>
      <c r="L108" s="1619"/>
      <c r="M108" s="1654"/>
      <c r="N108" s="1654"/>
      <c r="O108" s="1654"/>
      <c r="P108" s="1654"/>
      <c r="Q108" s="1654"/>
      <c r="R108" s="1655"/>
      <c r="S108" s="1654"/>
      <c r="T108" s="1654"/>
      <c r="U108" s="1654"/>
      <c r="V108" s="1654"/>
      <c r="W108" s="1654"/>
      <c r="X108" s="1655"/>
      <c r="Y108" s="1655"/>
    </row>
    <row r="109" spans="2:25" s="1617" customFormat="1" x14ac:dyDescent="0.2">
      <c r="B109" s="1755" t="str">
        <f>IF(Presentation!$D$2="Français",'TRAD-Adults YEAR(1)'!D109,IF(Presentation!$D$2="Anglais",'TRAD-Adults YEAR(1)'!E109,""))</f>
        <v>Dosage</v>
      </c>
      <c r="D109" s="1619" t="s">
        <v>2</v>
      </c>
      <c r="E109" s="1619" t="s">
        <v>2</v>
      </c>
      <c r="F109" s="1619"/>
      <c r="G109" s="1619"/>
      <c r="H109" s="1619"/>
      <c r="I109" s="1619"/>
      <c r="J109" s="1619"/>
      <c r="K109" s="1619"/>
      <c r="L109" s="1619"/>
      <c r="M109" s="1654"/>
      <c r="N109" s="1654"/>
      <c r="O109" s="1654"/>
      <c r="P109" s="1654"/>
      <c r="Q109" s="1654"/>
      <c r="R109" s="1655"/>
      <c r="S109" s="1654"/>
      <c r="T109" s="1654"/>
      <c r="U109" s="1654"/>
      <c r="V109" s="1654"/>
      <c r="W109" s="1654"/>
      <c r="X109" s="1655"/>
      <c r="Y109" s="1655"/>
    </row>
    <row r="110" spans="2:25" s="1617" customFormat="1" x14ac:dyDescent="0.2">
      <c r="B110" s="1755" t="str">
        <f>IF(Presentation!$D$2="Français",'TRAD-Adults YEAR(1)'!D110,IF(Presentation!$D$2="Anglais",'TRAD-Adults YEAR(1)'!E110,""))</f>
        <v>Nb d'unités de prise / boite</v>
      </c>
      <c r="D110" s="1619" t="s">
        <v>181</v>
      </c>
      <c r="E110" s="1619" t="s">
        <v>1468</v>
      </c>
      <c r="F110" s="1619"/>
      <c r="G110" s="1619"/>
      <c r="H110" s="1619"/>
      <c r="I110" s="1619"/>
      <c r="J110" s="1619"/>
      <c r="K110" s="1619"/>
      <c r="L110" s="1619"/>
      <c r="M110" s="1654"/>
      <c r="N110" s="1654"/>
      <c r="O110" s="1654"/>
      <c r="P110" s="1654"/>
      <c r="Q110" s="1654"/>
      <c r="R110" s="1655"/>
      <c r="S110" s="1654"/>
      <c r="T110" s="1654"/>
      <c r="U110" s="1654"/>
      <c r="V110" s="1654"/>
      <c r="W110" s="1654"/>
      <c r="X110" s="1655"/>
      <c r="Y110" s="1655"/>
    </row>
    <row r="111" spans="2:25" s="1617" customFormat="1" x14ac:dyDescent="0.2">
      <c r="B111" s="1755" t="str">
        <f>IF(Presentation!$D$2="Français",'TRAD-Adults YEAR(1)'!D111,IF(Presentation!$D$2="Anglais",'TRAD-Adults YEAR(1)'!E111,""))</f>
        <v>Nb de prise / mois / patient</v>
      </c>
      <c r="D111" s="1619" t="s">
        <v>1205</v>
      </c>
      <c r="E111" s="1619" t="s">
        <v>1469</v>
      </c>
      <c r="F111" s="1619"/>
      <c r="G111" s="1619"/>
      <c r="H111" s="1619"/>
      <c r="I111" s="1619"/>
      <c r="J111" s="1619"/>
      <c r="K111" s="1619"/>
      <c r="L111" s="1619"/>
      <c r="M111" s="1654"/>
      <c r="N111" s="1654"/>
      <c r="O111" s="1654"/>
      <c r="P111" s="1654"/>
      <c r="Q111" s="1654"/>
      <c r="R111" s="1655"/>
      <c r="S111" s="1654"/>
      <c r="T111" s="1654"/>
      <c r="U111" s="1654"/>
      <c r="V111" s="1654"/>
      <c r="W111" s="1654"/>
      <c r="X111" s="1655"/>
      <c r="Y111" s="1655"/>
    </row>
    <row r="112" spans="2:25" s="1617" customFormat="1" x14ac:dyDescent="0.2">
      <c r="B112" s="1755" t="str">
        <f>IF(Presentation!$D$2="Français",'TRAD-Adults YEAR(1)'!D112,IF(Presentation!$D$2="Anglais",'TRAD-Adults YEAR(1)'!E112,""))</f>
        <v>Nb de boite / mois / patient</v>
      </c>
      <c r="D112" s="1619" t="s">
        <v>1206</v>
      </c>
      <c r="E112" s="1619" t="s">
        <v>1470</v>
      </c>
      <c r="F112" s="1619"/>
      <c r="G112" s="1619"/>
      <c r="H112" s="1619"/>
      <c r="I112" s="1619"/>
      <c r="J112" s="1619"/>
      <c r="K112" s="1619"/>
      <c r="L112" s="1619"/>
      <c r="M112" s="1654"/>
      <c r="N112" s="1654"/>
      <c r="O112" s="1654"/>
      <c r="P112" s="1654"/>
      <c r="Q112" s="1654"/>
      <c r="R112" s="1655"/>
      <c r="S112" s="1654"/>
      <c r="T112" s="1654"/>
      <c r="U112" s="1654"/>
      <c r="V112" s="1654"/>
      <c r="W112" s="1654"/>
      <c r="X112" s="1655"/>
      <c r="Y112" s="1655"/>
    </row>
    <row r="113" spans="2:25" s="1617" customFormat="1" x14ac:dyDescent="0.2">
      <c r="B113" s="1755" t="str">
        <f>IF(Presentation!$D$2="Français",'TRAD-Adults YEAR(1)'!D113,IF(Presentation!$D$2="Anglais",'TRAD-Adults YEAR(1)'!E113,""))</f>
        <v>Calculs SANS marge de sécurité</v>
      </c>
      <c r="D113" s="1619" t="s">
        <v>1322</v>
      </c>
      <c r="E113" s="1619" t="s">
        <v>1323</v>
      </c>
      <c r="F113" s="1619"/>
      <c r="G113" s="1619"/>
      <c r="H113" s="1619"/>
      <c r="I113" s="1619"/>
      <c r="J113" s="1619"/>
      <c r="K113" s="1619"/>
      <c r="L113" s="1619"/>
      <c r="M113" s="1654"/>
      <c r="N113" s="1654"/>
      <c r="O113" s="1654"/>
      <c r="P113" s="1654"/>
      <c r="Q113" s="1654"/>
      <c r="R113" s="1655"/>
      <c r="S113" s="1654"/>
      <c r="T113" s="1654"/>
      <c r="U113" s="1654"/>
      <c r="V113" s="1654"/>
      <c r="W113" s="1654"/>
      <c r="X113" s="1655"/>
      <c r="Y113" s="1655"/>
    </row>
    <row r="114" spans="2:25" s="1617" customFormat="1" ht="30" x14ac:dyDescent="0.2">
      <c r="B114" s="1755" t="str">
        <f>IF(Presentation!$D$2="Français",'TRAD-Adults YEAR(1)'!D114,IF(Presentation!$D$2="Anglais",'TRAD-Adults YEAR(1)'!E114,""))</f>
        <v>Qtés de boites pour les patients présents en début de période</v>
      </c>
      <c r="D114" s="1619" t="s">
        <v>190</v>
      </c>
      <c r="E114" s="1619" t="s">
        <v>981</v>
      </c>
      <c r="F114" s="1619"/>
      <c r="G114" s="1619"/>
      <c r="H114" s="1619"/>
      <c r="I114" s="1619"/>
      <c r="J114" s="1619"/>
      <c r="K114" s="1619"/>
      <c r="L114" s="1619"/>
      <c r="M114" s="1654"/>
      <c r="N114" s="1654"/>
      <c r="O114" s="1654"/>
      <c r="P114" s="1654"/>
      <c r="Q114" s="1654"/>
      <c r="R114" s="1655"/>
      <c r="S114" s="1654"/>
      <c r="T114" s="1654"/>
      <c r="U114" s="1654"/>
      <c r="V114" s="1654"/>
      <c r="W114" s="1654"/>
      <c r="X114" s="1655"/>
      <c r="Y114" s="1655"/>
    </row>
    <row r="115" spans="2:25" s="1617" customFormat="1" x14ac:dyDescent="0.2">
      <c r="B115" s="1755" t="str">
        <f>IF(Presentation!$D$2="Français",'TRAD-Adults YEAR(1)'!D115,IF(Presentation!$D$2="Anglais",'TRAD-Adults YEAR(1)'!E115,""))</f>
        <v>Qtés de boites pour les Initiations</v>
      </c>
      <c r="D115" s="1619" t="s">
        <v>291</v>
      </c>
      <c r="E115" s="1619" t="s">
        <v>982</v>
      </c>
      <c r="F115" s="1619"/>
      <c r="G115" s="1619"/>
      <c r="H115" s="1619"/>
      <c r="I115" s="1619"/>
      <c r="J115" s="1619"/>
      <c r="K115" s="1619"/>
      <c r="L115" s="1619"/>
      <c r="M115" s="1654"/>
      <c r="N115" s="1654"/>
      <c r="O115" s="1654"/>
      <c r="P115" s="1654"/>
      <c r="Q115" s="1654"/>
      <c r="R115" s="1655"/>
      <c r="S115" s="1654"/>
      <c r="T115" s="1654"/>
      <c r="U115" s="1654"/>
      <c r="V115" s="1654"/>
      <c r="W115" s="1654"/>
      <c r="X115" s="1655"/>
      <c r="Y115" s="1655"/>
    </row>
    <row r="116" spans="2:25" s="1617" customFormat="1" x14ac:dyDescent="0.2">
      <c r="B116" s="1755" t="str">
        <f>IF(Presentation!$D$2="Français",'TRAD-Adults YEAR(1)'!D116,IF(Presentation!$D$2="Anglais",'TRAD-Adults YEAR(1)'!E116,""))</f>
        <v>Qtés de boites pour initiation NVP</v>
      </c>
      <c r="D116" s="1619" t="s">
        <v>191</v>
      </c>
      <c r="E116" s="1619" t="s">
        <v>983</v>
      </c>
      <c r="F116" s="1619"/>
      <c r="G116" s="1619"/>
      <c r="H116" s="1619"/>
      <c r="I116" s="1619"/>
      <c r="J116" s="1619"/>
      <c r="K116" s="1619"/>
      <c r="L116" s="1619"/>
      <c r="M116" s="1654"/>
      <c r="N116" s="1654"/>
      <c r="O116" s="1654"/>
      <c r="P116" s="1654"/>
      <c r="Q116" s="1654"/>
      <c r="R116" s="1655"/>
      <c r="S116" s="1654"/>
      <c r="T116" s="1654"/>
      <c r="U116" s="1654"/>
      <c r="V116" s="1654"/>
      <c r="W116" s="1654"/>
      <c r="X116" s="1655"/>
      <c r="Y116" s="1655"/>
    </row>
    <row r="117" spans="2:25" s="1617" customFormat="1" x14ac:dyDescent="0.2">
      <c r="B117" s="1755" t="str">
        <f>IF(Presentation!$D$2="Français",'TRAD-Adults YEAR(1)'!D117,IF(Presentation!$D$2="Anglais",'TRAD-Adults YEAR(1)'!E117,""))</f>
        <v>Passage en 2ème ligne Entrées</v>
      </c>
      <c r="D117" s="1619" t="s">
        <v>601</v>
      </c>
      <c r="E117" s="1619" t="s">
        <v>984</v>
      </c>
      <c r="F117" s="1619"/>
      <c r="G117" s="1619"/>
      <c r="H117" s="1619"/>
      <c r="I117" s="1619"/>
      <c r="J117" s="1619"/>
      <c r="K117" s="1619"/>
      <c r="L117" s="1619"/>
      <c r="M117" s="1654"/>
      <c r="N117" s="1654"/>
      <c r="O117" s="1654"/>
      <c r="P117" s="1654"/>
      <c r="Q117" s="1654"/>
      <c r="R117" s="1655"/>
      <c r="S117" s="1654"/>
      <c r="T117" s="1654"/>
      <c r="U117" s="1654"/>
      <c r="V117" s="1654"/>
      <c r="W117" s="1654"/>
      <c r="X117" s="1655"/>
      <c r="Y117" s="1655"/>
    </row>
    <row r="118" spans="2:25" s="1617" customFormat="1" x14ac:dyDescent="0.2">
      <c r="B118" s="1755" t="str">
        <f>IF(Presentation!$D$2="Français",'TRAD-Adults YEAR(1)'!D118,IF(Presentation!$D$2="Anglais",'TRAD-Adults YEAR(1)'!E118,""))</f>
        <v>Passage en 2ème ligne - Défalcation 1ère ligne [1]</v>
      </c>
      <c r="D118" s="1619" t="s">
        <v>600</v>
      </c>
      <c r="E118" s="1619" t="s">
        <v>947</v>
      </c>
      <c r="F118" s="1619"/>
      <c r="G118" s="1619"/>
      <c r="H118" s="1619"/>
      <c r="I118" s="1619"/>
      <c r="J118" s="1619"/>
      <c r="K118" s="1619"/>
      <c r="L118" s="1619"/>
      <c r="M118" s="1654"/>
      <c r="N118" s="1654"/>
      <c r="O118" s="1654"/>
      <c r="P118" s="1654"/>
      <c r="Q118" s="1654"/>
      <c r="R118" s="1655"/>
      <c r="S118" s="1654"/>
      <c r="T118" s="1654"/>
      <c r="U118" s="1654"/>
      <c r="V118" s="1654"/>
      <c r="W118" s="1654"/>
      <c r="X118" s="1655"/>
      <c r="Y118" s="1655"/>
    </row>
    <row r="119" spans="2:25" s="1617" customFormat="1" x14ac:dyDescent="0.2">
      <c r="B119" s="1755" t="str">
        <f>IF(Presentation!$D$2="Français",'TRAD-Adults YEAR(1)'!D119,IF(Presentation!$D$2="Anglais",'TRAD-Adults YEAR(1)'!E119,""))</f>
        <v>TOTAL (nb de boites)</v>
      </c>
      <c r="D119" s="1619" t="s">
        <v>192</v>
      </c>
      <c r="E119" s="1619" t="s">
        <v>1471</v>
      </c>
      <c r="F119" s="1619"/>
      <c r="G119" s="1619"/>
      <c r="H119" s="1619"/>
      <c r="I119" s="1619"/>
      <c r="J119" s="1619"/>
      <c r="K119" s="1619"/>
      <c r="L119" s="1619"/>
      <c r="M119" s="1654"/>
      <c r="N119" s="1654"/>
      <c r="O119" s="1654"/>
      <c r="P119" s="1654"/>
      <c r="Q119" s="1654"/>
      <c r="R119" s="1655"/>
      <c r="S119" s="1654"/>
      <c r="T119" s="1654"/>
      <c r="U119" s="1654"/>
      <c r="V119" s="1654"/>
      <c r="W119" s="1654"/>
      <c r="X119" s="1655"/>
      <c r="Y119" s="1655"/>
    </row>
    <row r="120" spans="2:25" s="1617" customFormat="1" ht="30" x14ac:dyDescent="0.2">
      <c r="B120" s="1755" t="str">
        <f>IF(Presentation!$D$2="Français",'TRAD-Adults YEAR(1)'!D120,IF(Presentation!$D$2="Anglais",'TRAD-Adults YEAR(1)'!E120,""))</f>
        <v>Qtés de boites pour les patients présents en début de période</v>
      </c>
      <c r="D120" s="1619" t="s">
        <v>190</v>
      </c>
      <c r="E120" s="1619" t="s">
        <v>981</v>
      </c>
      <c r="F120" s="1619"/>
      <c r="G120" s="1619"/>
      <c r="H120" s="1619"/>
      <c r="I120" s="1619"/>
      <c r="J120" s="1619"/>
      <c r="K120" s="1619"/>
      <c r="L120" s="1619"/>
      <c r="M120" s="1654"/>
      <c r="N120" s="1654"/>
      <c r="O120" s="1654"/>
      <c r="P120" s="1654"/>
      <c r="Q120" s="1654"/>
      <c r="R120" s="1655"/>
      <c r="S120" s="1654"/>
      <c r="T120" s="1654"/>
      <c r="U120" s="1654"/>
      <c r="V120" s="1654"/>
      <c r="W120" s="1654"/>
      <c r="X120" s="1655"/>
      <c r="Y120" s="1655"/>
    </row>
    <row r="121" spans="2:25" s="1617" customFormat="1" x14ac:dyDescent="0.2">
      <c r="B121" s="1755" t="str">
        <f>IF(Presentation!$D$2="Français",'TRAD-Adults YEAR(1)'!D121,IF(Presentation!$D$2="Anglais",'TRAD-Adults YEAR(1)'!E121,""))</f>
        <v>Calculs AVEC marge de sécurité</v>
      </c>
      <c r="D121" s="1619" t="s">
        <v>1324</v>
      </c>
      <c r="E121" s="1619" t="s">
        <v>1325</v>
      </c>
      <c r="F121" s="1619"/>
      <c r="G121" s="1619"/>
      <c r="H121" s="1619"/>
      <c r="I121" s="1619"/>
      <c r="J121" s="1619"/>
      <c r="K121" s="1619"/>
      <c r="L121" s="1619"/>
      <c r="M121" s="1654"/>
      <c r="N121" s="1654"/>
      <c r="O121" s="1654"/>
      <c r="P121" s="1654"/>
      <c r="Q121" s="1654"/>
      <c r="R121" s="1655"/>
      <c r="S121" s="1654"/>
      <c r="T121" s="1654"/>
      <c r="U121" s="1654"/>
      <c r="V121" s="1654"/>
      <c r="W121" s="1654"/>
      <c r="X121" s="1655"/>
      <c r="Y121" s="1655"/>
    </row>
    <row r="122" spans="2:25" s="1617" customFormat="1" x14ac:dyDescent="0.2">
      <c r="B122" s="1755" t="str">
        <f>IF(Presentation!$D$2="Français",'TRAD-Adults YEAR(1)'!D122,IF(Presentation!$D$2="Anglais",'TRAD-Adults YEAR(1)'!E122,""))</f>
        <v>TOTAL + Marge période définie (nb de boites)</v>
      </c>
      <c r="D122" s="1619" t="s">
        <v>226</v>
      </c>
      <c r="E122" s="1619" t="s">
        <v>985</v>
      </c>
      <c r="F122" s="1619"/>
      <c r="G122" s="1619"/>
      <c r="H122" s="1619"/>
      <c r="I122" s="1619"/>
      <c r="J122" s="1619"/>
      <c r="K122" s="1619"/>
      <c r="L122" s="1619"/>
      <c r="M122" s="1654"/>
      <c r="N122" s="1654"/>
      <c r="O122" s="1654"/>
      <c r="P122" s="1654"/>
      <c r="Q122" s="1654"/>
      <c r="R122" s="1655"/>
      <c r="S122" s="1654"/>
      <c r="T122" s="1654"/>
      <c r="U122" s="1654"/>
      <c r="V122" s="1654"/>
      <c r="W122" s="1654"/>
      <c r="X122" s="1655"/>
      <c r="Y122" s="1655"/>
    </row>
    <row r="123" spans="2:25" s="1617" customFormat="1" x14ac:dyDescent="0.2">
      <c r="B123" s="1755" t="str">
        <f>IF(Presentation!$D$2="Français",'TRAD-Adults YEAR(1)'!D123,IF(Presentation!$D$2="Anglais",'TRAD-Adults YEAR(1)'!E123,""))</f>
        <v>Marge période définie (nb de boites)</v>
      </c>
      <c r="D123" s="1619" t="s">
        <v>227</v>
      </c>
      <c r="E123" s="1619" t="s">
        <v>986</v>
      </c>
      <c r="F123" s="1619"/>
      <c r="G123" s="1619"/>
      <c r="H123" s="1619"/>
      <c r="I123" s="1619"/>
      <c r="J123" s="1619"/>
      <c r="K123" s="1619"/>
      <c r="L123" s="1619"/>
      <c r="M123" s="1654"/>
      <c r="N123" s="1654"/>
      <c r="O123" s="1654"/>
      <c r="P123" s="1654"/>
      <c r="Q123" s="1654"/>
      <c r="R123" s="1655"/>
      <c r="S123" s="1654"/>
      <c r="T123" s="1654"/>
      <c r="U123" s="1654"/>
      <c r="V123" s="1654"/>
      <c r="W123" s="1654"/>
      <c r="X123" s="1655"/>
      <c r="Y123" s="1655"/>
    </row>
    <row r="124" spans="2:25" s="1617" customFormat="1" x14ac:dyDescent="0.2">
      <c r="B124" s="1755" t="str">
        <f>IF(Presentation!$D$2="Français",'TRAD-Adults YEAR(1)'!D124,IF(Presentation!$D$2="Anglais",'TRAD-Adults YEAR(1)'!E124,""))</f>
        <v>MARGE</v>
      </c>
      <c r="D124" s="1619" t="s">
        <v>228</v>
      </c>
      <c r="E124" s="1619" t="s">
        <v>987</v>
      </c>
      <c r="F124" s="1619"/>
      <c r="G124" s="1619"/>
      <c r="H124" s="1619"/>
      <c r="I124" s="1619"/>
      <c r="J124" s="1619"/>
      <c r="K124" s="1619"/>
      <c r="L124" s="1619"/>
      <c r="M124" s="1654"/>
      <c r="N124" s="1654"/>
      <c r="O124" s="1654"/>
      <c r="P124" s="1654"/>
      <c r="Q124" s="1654"/>
      <c r="R124" s="1655"/>
      <c r="S124" s="1654"/>
      <c r="T124" s="1654"/>
      <c r="U124" s="1654"/>
      <c r="V124" s="1654"/>
      <c r="W124" s="1654"/>
      <c r="X124" s="1655"/>
      <c r="Y124" s="1655"/>
    </row>
    <row r="125" spans="2:25" s="1617" customFormat="1" ht="45" x14ac:dyDescent="0.2">
      <c r="B125" s="1755" t="str">
        <f>IF(Presentation!$D$2="Français",'TRAD-Adults YEAR(1)'!D125,IF(Presentation!$D$2="Anglais",'TRAD-Adults YEAR(1)'!E125,""))</f>
        <v>La défalcation sur les premières lignes se fait dans les cellules oranges selon les paramètres définis dans l'onglet Données. Elle est obtenue par le calcul suivant :</v>
      </c>
      <c r="D125" s="1619" t="s">
        <v>353</v>
      </c>
      <c r="E125" s="1619" t="s">
        <v>988</v>
      </c>
      <c r="F125" s="1619"/>
      <c r="G125" s="1619"/>
      <c r="H125" s="1619"/>
      <c r="I125" s="1619"/>
      <c r="J125" s="1619"/>
      <c r="K125" s="1619"/>
      <c r="L125" s="1746"/>
      <c r="M125" s="1654"/>
      <c r="N125" s="1654"/>
      <c r="O125" s="1654"/>
      <c r="P125" s="1654"/>
      <c r="Q125" s="1654"/>
      <c r="R125" s="1655"/>
      <c r="S125" s="1654"/>
      <c r="T125" s="1654"/>
      <c r="U125" s="1654"/>
      <c r="V125" s="1654"/>
      <c r="W125" s="1654"/>
      <c r="X125" s="1655"/>
      <c r="Y125" s="1655"/>
    </row>
    <row r="126" spans="2:25" s="1617" customFormat="1" ht="60" x14ac:dyDescent="0.2">
      <c r="B126" s="1755" t="str">
        <f>IF(Presentation!$D$2="Français",'TRAD-Adults YEAR(1)'!D126,IF(Presentation!$D$2="Anglais",'TRAD-Adults YEAR(1)'!E126,""))</f>
        <v xml:space="preserve"> =Nb de patients mois en 2ème lignes*proportion que représente le médicament dans les schémas de premières lignes à la fin de l'année* taux de défalcation défini (onglet 'Données Adultes')*Nb de bte/mois/patient</v>
      </c>
      <c r="D126" s="1619" t="s">
        <v>1514</v>
      </c>
      <c r="E126" s="1619" t="s">
        <v>1472</v>
      </c>
      <c r="F126" s="1619"/>
      <c r="G126" s="1619"/>
      <c r="H126" s="1619"/>
      <c r="I126" s="1619"/>
      <c r="J126" s="1619"/>
      <c r="K126" s="1619"/>
      <c r="L126" s="1619"/>
      <c r="M126" s="1619"/>
      <c r="N126" s="1654"/>
      <c r="O126" s="1654"/>
      <c r="P126" s="1654"/>
      <c r="Q126" s="1654"/>
      <c r="R126" s="1655"/>
      <c r="S126" s="1654"/>
      <c r="T126" s="1654"/>
      <c r="U126" s="1654"/>
      <c r="V126" s="1654"/>
      <c r="W126" s="1654"/>
      <c r="X126" s="1655"/>
      <c r="Y126" s="1655"/>
    </row>
    <row r="127" spans="2:25" s="1617" customFormat="1" ht="30" x14ac:dyDescent="0.2">
      <c r="B127" s="1755" t="str">
        <f>IF(Presentation!$D$2="Français",'TRAD-Adults YEAR(1)'!D127,IF(Presentation!$D$2="Anglais",'TRAD-Adults YEAR(1)'!E127,""))</f>
        <v>ajustement posologique de la DDI selon les paramètres définis dans l'onglet 'Données… Adultes'</v>
      </c>
      <c r="D127" s="1619" t="s">
        <v>318</v>
      </c>
      <c r="E127" s="1619" t="s">
        <v>989</v>
      </c>
      <c r="F127" s="1619"/>
      <c r="G127" s="1619"/>
      <c r="H127" s="1619"/>
      <c r="I127" s="1619"/>
      <c r="J127" s="1619"/>
      <c r="K127" s="1619"/>
      <c r="L127" s="1619"/>
      <c r="M127" s="1654"/>
      <c r="N127" s="1654"/>
      <c r="O127" s="1654"/>
      <c r="P127" s="1654"/>
      <c r="Q127" s="1654"/>
      <c r="R127" s="1655"/>
      <c r="S127" s="1654"/>
      <c r="T127" s="1654"/>
      <c r="U127" s="1654"/>
      <c r="V127" s="1654"/>
      <c r="W127" s="1654"/>
      <c r="X127" s="1655"/>
      <c r="Y127" s="1655"/>
    </row>
    <row r="128" spans="2:25" s="1617" customFormat="1" ht="45" x14ac:dyDescent="0.2">
      <c r="B128" s="1755" t="str">
        <f>IF(Presentation!$D$2="Français",'TRAD-Adults YEAR(1)'!D128,IF(Presentation!$D$2="Anglais",'TRAD-Adults YEAR(1)'!E128,""))</f>
        <v>Posologies calculées comme défini dans l'onglet 1. Présentation.  Le nombre de boite / mois / patient est considéré ici pour 1 caps / jour.</v>
      </c>
      <c r="D128" s="1619" t="s">
        <v>340</v>
      </c>
      <c r="E128" s="1619" t="s">
        <v>990</v>
      </c>
      <c r="F128" s="1619"/>
      <c r="G128" s="1619"/>
      <c r="H128" s="1619"/>
      <c r="I128" s="1619"/>
      <c r="J128" s="1619"/>
      <c r="K128" s="1619"/>
      <c r="L128" s="1619"/>
      <c r="M128" s="1654"/>
      <c r="N128" s="1654"/>
      <c r="O128" s="1654"/>
      <c r="P128" s="1654"/>
      <c r="Q128" s="1654"/>
      <c r="R128" s="1655"/>
      <c r="S128" s="1654"/>
      <c r="T128" s="1654"/>
      <c r="U128" s="1654"/>
      <c r="V128" s="1654"/>
      <c r="W128" s="1654"/>
      <c r="X128" s="1655"/>
      <c r="Y128" s="1655"/>
    </row>
    <row r="129" spans="2:25" s="1617" customFormat="1" ht="30" x14ac:dyDescent="0.2">
      <c r="B129" s="1755" t="str">
        <f>IF(Presentation!$D$2="Français",'TRAD-Adults YEAR(1)'!D129,IF(Presentation!$D$2="Anglais",'TRAD-Adults YEAR(1)'!E129,""))</f>
        <v>Nous avons considéré ici la nouvelle forme galénique du DRV à 600 mg</v>
      </c>
      <c r="D129" s="1619" t="s">
        <v>339</v>
      </c>
      <c r="E129" s="1619" t="s">
        <v>1439</v>
      </c>
      <c r="F129" s="1619"/>
      <c r="G129" s="1619"/>
      <c r="H129" s="1619"/>
      <c r="I129" s="1619"/>
      <c r="J129" s="1619"/>
      <c r="K129" s="1619"/>
      <c r="L129" s="1619"/>
      <c r="M129" s="1654"/>
      <c r="N129" s="1654"/>
      <c r="O129" s="1654"/>
      <c r="P129" s="1654"/>
      <c r="Q129" s="1654"/>
      <c r="R129" s="1655"/>
      <c r="S129" s="1654"/>
      <c r="T129" s="1654"/>
      <c r="U129" s="1654"/>
      <c r="V129" s="1654"/>
      <c r="W129" s="1654"/>
      <c r="X129" s="1655"/>
      <c r="Y129" s="1655"/>
    </row>
    <row r="130" spans="2:25" s="1617" customFormat="1" x14ac:dyDescent="0.2">
      <c r="B130" s="1755" t="str">
        <f>IF(Presentation!$D$2="Français",'TRAD-Adults YEAR(1)'!D130,IF(Presentation!$D$2="Anglais",'TRAD-Adults YEAR(1)'!E130,""))</f>
        <v>Patients suivis</v>
      </c>
      <c r="D130" s="1619" t="s">
        <v>603</v>
      </c>
      <c r="E130" s="1619" t="s">
        <v>1440</v>
      </c>
      <c r="F130" s="1619"/>
      <c r="G130" s="1619"/>
      <c r="H130" s="1619"/>
      <c r="I130" s="1619"/>
      <c r="J130" s="1619"/>
      <c r="K130" s="1619"/>
      <c r="L130" s="1619"/>
      <c r="M130" s="1619"/>
      <c r="N130" s="1619"/>
      <c r="O130" s="1619"/>
      <c r="P130" s="1619"/>
      <c r="Q130" s="1619"/>
      <c r="R130" s="1619"/>
      <c r="S130" s="1619"/>
      <c r="T130" s="1619"/>
      <c r="U130" s="1619"/>
      <c r="V130" s="1619"/>
      <c r="W130" s="1619"/>
      <c r="X130" s="1619"/>
      <c r="Y130" s="1619"/>
    </row>
    <row r="131" spans="2:25" s="1617" customFormat="1" x14ac:dyDescent="0.2">
      <c r="B131" s="1755" t="str">
        <f>IF(Presentation!$D$2="Français",'TRAD-Adults YEAR(1)'!D131,IF(Presentation!$D$2="Anglais",'TRAD-Adults YEAR(1)'!E131,""))</f>
        <v>Différence de marge / année précédente</v>
      </c>
      <c r="D131" s="1619" t="s">
        <v>229</v>
      </c>
      <c r="E131" s="1619" t="s">
        <v>1002</v>
      </c>
    </row>
    <row r="132" spans="2:25" s="1623" customFormat="1" x14ac:dyDescent="0.2">
      <c r="B132" s="1755" t="str">
        <f>IF(Presentation!$D$2="Français",'TRAD-Adults YEAR(1)'!D132,IF(Presentation!$D$2="Anglais",'TRAD-Adults YEAR(1)'!E132,""))</f>
        <v>NNRTI 3ème ligne</v>
      </c>
      <c r="D132" s="1619" t="s">
        <v>333</v>
      </c>
      <c r="E132" s="1619" t="s">
        <v>471</v>
      </c>
    </row>
    <row r="133" spans="2:25" s="1623" customFormat="1" x14ac:dyDescent="0.2">
      <c r="B133" s="1755" t="str">
        <f>IF(Presentation!$D$2="Français",'TRAD-Adults YEAR(1)'!D133,IF(Presentation!$D$2="Anglais",'TRAD-Adults YEAR(1)'!E133,""))</f>
        <v>Patients sous traitement</v>
      </c>
      <c r="D133" s="1619" t="s">
        <v>602</v>
      </c>
      <c r="E133" s="1619" t="s">
        <v>999</v>
      </c>
    </row>
    <row r="134" spans="2:25" s="1623" customFormat="1" x14ac:dyDescent="0.2">
      <c r="B134" s="1755" t="str">
        <f>IF(Presentation!$D$2="Français",'TRAD-Adults YEAR(1)'!D134,IF(Presentation!$D$2="Anglais",'TRAD-Adults YEAR(1)'!E134,""))</f>
        <v>Patients initiés/swichés / mois</v>
      </c>
      <c r="D134" s="1619" t="s">
        <v>622</v>
      </c>
      <c r="E134" s="1619" t="s">
        <v>1000</v>
      </c>
    </row>
    <row r="135" spans="2:25" s="1623" customFormat="1" x14ac:dyDescent="0.2">
      <c r="B135" s="1755" t="str">
        <f>IF(Presentation!$D$2="Français",'TRAD-Adults YEAR(1)'!D135,IF(Presentation!$D$2="Anglais",'TRAD-Adults YEAR(1)'!E135,""))</f>
        <v>Défalcation (nb patients switchés/mois)</v>
      </c>
      <c r="D135" s="1619" t="s">
        <v>627</v>
      </c>
      <c r="E135" s="1619" t="s">
        <v>1001</v>
      </c>
    </row>
    <row r="136" spans="2:25" s="1623" customFormat="1" x14ac:dyDescent="0.2">
      <c r="B136" s="1755" t="str">
        <f>IF(Presentation!$D$2="Français",'TRAD-Adults YEAR(1)'!D136,IF(Presentation!$D$2="Anglais",'TRAD-Adults YEAR(1)'!E136,""))</f>
        <v>total divers 3èmes l</v>
      </c>
      <c r="D136" s="1619" t="s">
        <v>197</v>
      </c>
      <c r="E136" s="1619" t="s">
        <v>994</v>
      </c>
    </row>
    <row r="137" spans="2:25" s="1623" customFormat="1" x14ac:dyDescent="0.2">
      <c r="B137" s="1631"/>
    </row>
    <row r="138" spans="2:25" s="1623" customFormat="1" x14ac:dyDescent="0.2">
      <c r="B138" s="1631"/>
    </row>
    <row r="139" spans="2:25" s="1623" customFormat="1" x14ac:dyDescent="0.2">
      <c r="B139" s="1631"/>
    </row>
    <row r="140" spans="2:25" s="1623" customFormat="1" x14ac:dyDescent="0.2">
      <c r="B140" s="1631"/>
    </row>
    <row r="141" spans="2:25" s="1623" customFormat="1" x14ac:dyDescent="0.2">
      <c r="B141" s="1631"/>
    </row>
    <row r="142" spans="2:25" s="1623" customFormat="1" x14ac:dyDescent="0.2">
      <c r="B142" s="1631"/>
    </row>
    <row r="143" spans="2:25" s="1623" customFormat="1" x14ac:dyDescent="0.2">
      <c r="B143" s="1631"/>
    </row>
    <row r="144" spans="2:25" s="1623" customFormat="1" x14ac:dyDescent="0.2">
      <c r="B144" s="1631"/>
    </row>
    <row r="145" spans="2:2" s="1623" customFormat="1" x14ac:dyDescent="0.2">
      <c r="B145" s="1631"/>
    </row>
    <row r="146" spans="2:2" s="1623" customFormat="1" x14ac:dyDescent="0.2">
      <c r="B146" s="1631"/>
    </row>
    <row r="147" spans="2:2" s="1623" customFormat="1" x14ac:dyDescent="0.2">
      <c r="B147" s="1631"/>
    </row>
    <row r="148" spans="2:2" s="1623" customFormat="1" x14ac:dyDescent="0.2">
      <c r="B148" s="1631"/>
    </row>
    <row r="149" spans="2:2" s="1623" customFormat="1" x14ac:dyDescent="0.2">
      <c r="B149" s="1631"/>
    </row>
    <row r="150" spans="2:2" s="1623" customFormat="1" x14ac:dyDescent="0.2">
      <c r="B150" s="1631"/>
    </row>
    <row r="151" spans="2:2" s="1623" customFormat="1" x14ac:dyDescent="0.2">
      <c r="B151" s="1631"/>
    </row>
    <row r="152" spans="2:2" s="1623" customFormat="1" x14ac:dyDescent="0.2">
      <c r="B152" s="1631"/>
    </row>
    <row r="153" spans="2:2" s="1623" customFormat="1" x14ac:dyDescent="0.2">
      <c r="B153" s="1631"/>
    </row>
    <row r="154" spans="2:2" s="1623" customFormat="1" x14ac:dyDescent="0.2">
      <c r="B154" s="1631"/>
    </row>
    <row r="155" spans="2:2" s="1623" customFormat="1" x14ac:dyDescent="0.2">
      <c r="B155" s="1631"/>
    </row>
    <row r="156" spans="2:2" s="1623" customFormat="1" x14ac:dyDescent="0.2">
      <c r="B156" s="1631"/>
    </row>
    <row r="157" spans="2:2" s="1623" customFormat="1" x14ac:dyDescent="0.2">
      <c r="B157" s="1631"/>
    </row>
    <row r="158" spans="2:2" s="1623" customFormat="1" x14ac:dyDescent="0.2">
      <c r="B158" s="1631"/>
    </row>
    <row r="159" spans="2:2" s="1623" customFormat="1" x14ac:dyDescent="0.2">
      <c r="B159" s="1631"/>
    </row>
    <row r="160" spans="2:2" s="1623" customFormat="1" x14ac:dyDescent="0.2">
      <c r="B160" s="1631"/>
    </row>
    <row r="161" spans="2:2" s="1623" customFormat="1" x14ac:dyDescent="0.2">
      <c r="B161" s="1631"/>
    </row>
    <row r="162" spans="2:2" s="1623" customFormat="1" x14ac:dyDescent="0.2">
      <c r="B162" s="1631"/>
    </row>
    <row r="163" spans="2:2" s="1623" customFormat="1" x14ac:dyDescent="0.2">
      <c r="B163" s="1631"/>
    </row>
    <row r="164" spans="2:2" s="1623" customFormat="1" x14ac:dyDescent="0.2">
      <c r="B164" s="1631"/>
    </row>
    <row r="165" spans="2:2" s="1623" customFormat="1" x14ac:dyDescent="0.2">
      <c r="B165" s="1631"/>
    </row>
    <row r="166" spans="2:2" s="1623" customFormat="1" x14ac:dyDescent="0.2">
      <c r="B166" s="1631"/>
    </row>
    <row r="167" spans="2:2" s="1623" customFormat="1" x14ac:dyDescent="0.2">
      <c r="B167" s="1631"/>
    </row>
    <row r="168" spans="2:2" s="1623" customFormat="1" x14ac:dyDescent="0.2">
      <c r="B168" s="1631"/>
    </row>
    <row r="169" spans="2:2" s="1623" customFormat="1" x14ac:dyDescent="0.2">
      <c r="B169" s="1631"/>
    </row>
    <row r="170" spans="2:2" s="1623" customFormat="1" x14ac:dyDescent="0.2">
      <c r="B170" s="1631"/>
    </row>
    <row r="171" spans="2:2" s="1623" customFormat="1" x14ac:dyDescent="0.2">
      <c r="B171" s="1631"/>
    </row>
    <row r="172" spans="2:2" s="1623" customFormat="1" x14ac:dyDescent="0.2">
      <c r="B172" s="1631"/>
    </row>
    <row r="173" spans="2:2" s="1623" customFormat="1" x14ac:dyDescent="0.2">
      <c r="B173" s="1631"/>
    </row>
    <row r="174" spans="2:2" s="1623" customFormat="1" x14ac:dyDescent="0.2">
      <c r="B174" s="1631"/>
    </row>
    <row r="175" spans="2:2" s="1623" customFormat="1" x14ac:dyDescent="0.2">
      <c r="B175" s="1631"/>
    </row>
    <row r="176" spans="2:2" s="1623" customFormat="1" x14ac:dyDescent="0.2">
      <c r="B176" s="1631"/>
    </row>
    <row r="177" spans="2:2" s="1623" customFormat="1" x14ac:dyDescent="0.2">
      <c r="B177" s="1631"/>
    </row>
    <row r="178" spans="2:2" s="1623" customFormat="1" x14ac:dyDescent="0.2">
      <c r="B178" s="1631"/>
    </row>
    <row r="179" spans="2:2" s="1623" customFormat="1" x14ac:dyDescent="0.2">
      <c r="B179" s="1631"/>
    </row>
    <row r="180" spans="2:2" s="1623" customFormat="1" x14ac:dyDescent="0.2">
      <c r="B180" s="1631"/>
    </row>
    <row r="181" spans="2:2" s="1623" customFormat="1" x14ac:dyDescent="0.2">
      <c r="B181" s="1631"/>
    </row>
    <row r="182" spans="2:2" s="1623" customFormat="1" x14ac:dyDescent="0.2">
      <c r="B182" s="1631"/>
    </row>
    <row r="183" spans="2:2" s="1623" customFormat="1" x14ac:dyDescent="0.2">
      <c r="B183" s="1631"/>
    </row>
    <row r="184" spans="2:2" s="1623" customFormat="1" x14ac:dyDescent="0.2">
      <c r="B184" s="1631"/>
    </row>
    <row r="185" spans="2:2" s="1623" customFormat="1" x14ac:dyDescent="0.2">
      <c r="B185" s="1631"/>
    </row>
    <row r="186" spans="2:2" s="1623" customFormat="1" x14ac:dyDescent="0.2">
      <c r="B186" s="1631"/>
    </row>
    <row r="187" spans="2:2" s="1623" customFormat="1" x14ac:dyDescent="0.2">
      <c r="B187" s="1631"/>
    </row>
    <row r="188" spans="2:2" s="1623" customFormat="1" x14ac:dyDescent="0.2">
      <c r="B188" s="1631"/>
    </row>
    <row r="189" spans="2:2" s="1623" customFormat="1" x14ac:dyDescent="0.2">
      <c r="B189" s="1631"/>
    </row>
    <row r="190" spans="2:2" s="1623" customFormat="1" x14ac:dyDescent="0.2">
      <c r="B190" s="1631"/>
    </row>
    <row r="191" spans="2:2" s="1623" customFormat="1" x14ac:dyDescent="0.2">
      <c r="B191" s="1631"/>
    </row>
    <row r="192" spans="2:2" s="1623" customFormat="1" x14ac:dyDescent="0.2">
      <c r="B192" s="1631"/>
    </row>
    <row r="193" spans="2:2" s="1623" customFormat="1" x14ac:dyDescent="0.2">
      <c r="B193" s="1631"/>
    </row>
    <row r="194" spans="2:2" s="1623" customFormat="1" x14ac:dyDescent="0.2">
      <c r="B194" s="1631"/>
    </row>
    <row r="195" spans="2:2" s="1623" customFormat="1" x14ac:dyDescent="0.2">
      <c r="B195" s="1631"/>
    </row>
    <row r="196" spans="2:2" s="1623" customFormat="1" x14ac:dyDescent="0.2">
      <c r="B196" s="1631"/>
    </row>
    <row r="197" spans="2:2" s="1623" customFormat="1" x14ac:dyDescent="0.2">
      <c r="B197" s="1631"/>
    </row>
    <row r="198" spans="2:2" s="1623" customFormat="1" x14ac:dyDescent="0.2">
      <c r="B198" s="1631"/>
    </row>
    <row r="199" spans="2:2" s="1623" customFormat="1" x14ac:dyDescent="0.2">
      <c r="B199" s="1631"/>
    </row>
    <row r="200" spans="2:2" s="1623" customFormat="1" x14ac:dyDescent="0.2">
      <c r="B200" s="1631"/>
    </row>
    <row r="201" spans="2:2" s="1623" customFormat="1" x14ac:dyDescent="0.2">
      <c r="B201" s="1631"/>
    </row>
    <row r="202" spans="2:2" s="1623" customFormat="1" x14ac:dyDescent="0.2">
      <c r="B202" s="1631"/>
    </row>
    <row r="203" spans="2:2" s="1623" customFormat="1" x14ac:dyDescent="0.2">
      <c r="B203" s="1631"/>
    </row>
    <row r="204" spans="2:2" s="1623" customFormat="1" x14ac:dyDescent="0.2">
      <c r="B204" s="1631"/>
    </row>
    <row r="205" spans="2:2" s="1623" customFormat="1" x14ac:dyDescent="0.2">
      <c r="B205" s="1631"/>
    </row>
    <row r="206" spans="2:2" s="1623" customFormat="1" x14ac:dyDescent="0.2">
      <c r="B206" s="1631"/>
    </row>
    <row r="207" spans="2:2" s="1623" customFormat="1" x14ac:dyDescent="0.2">
      <c r="B207" s="1631"/>
    </row>
    <row r="208" spans="2:2" s="1623" customFormat="1" x14ac:dyDescent="0.2">
      <c r="B208" s="1631"/>
    </row>
    <row r="209" spans="2:2" s="1623" customFormat="1" x14ac:dyDescent="0.2">
      <c r="B209" s="1631"/>
    </row>
    <row r="210" spans="2:2" s="1623" customFormat="1" x14ac:dyDescent="0.2">
      <c r="B210" s="1631"/>
    </row>
    <row r="211" spans="2:2" s="1623" customFormat="1" x14ac:dyDescent="0.2">
      <c r="B211" s="1631"/>
    </row>
    <row r="212" spans="2:2" s="1623" customFormat="1" x14ac:dyDescent="0.2">
      <c r="B212" s="1631"/>
    </row>
    <row r="213" spans="2:2" s="1623" customFormat="1" x14ac:dyDescent="0.2">
      <c r="B213" s="1631"/>
    </row>
    <row r="214" spans="2:2" s="1623" customFormat="1" x14ac:dyDescent="0.2">
      <c r="B214" s="1631"/>
    </row>
    <row r="215" spans="2:2" s="1623" customFormat="1" x14ac:dyDescent="0.2">
      <c r="B215" s="1631"/>
    </row>
    <row r="216" spans="2:2" s="1623" customFormat="1" x14ac:dyDescent="0.2">
      <c r="B216" s="1631"/>
    </row>
    <row r="217" spans="2:2" s="1623" customFormat="1" x14ac:dyDescent="0.2">
      <c r="B217" s="1631"/>
    </row>
    <row r="218" spans="2:2" s="1623" customFormat="1" x14ac:dyDescent="0.2">
      <c r="B218" s="1631"/>
    </row>
    <row r="219" spans="2:2" s="1623" customFormat="1" x14ac:dyDescent="0.2">
      <c r="B219" s="1631"/>
    </row>
    <row r="220" spans="2:2" s="1623" customFormat="1" x14ac:dyDescent="0.2">
      <c r="B220" s="1631"/>
    </row>
    <row r="221" spans="2:2" s="1623" customFormat="1" x14ac:dyDescent="0.2">
      <c r="B221" s="1631"/>
    </row>
    <row r="222" spans="2:2" s="1623" customFormat="1" x14ac:dyDescent="0.2">
      <c r="B222" s="1631"/>
    </row>
    <row r="223" spans="2:2" s="1623" customFormat="1" x14ac:dyDescent="0.2">
      <c r="B223" s="1631"/>
    </row>
    <row r="224" spans="2:2" s="1623" customFormat="1" x14ac:dyDescent="0.2">
      <c r="B224" s="1631"/>
    </row>
    <row r="225" spans="2:2" s="1623" customFormat="1" x14ac:dyDescent="0.2">
      <c r="B225" s="1631"/>
    </row>
    <row r="226" spans="2:2" s="1623" customFormat="1" x14ac:dyDescent="0.2">
      <c r="B226" s="1631"/>
    </row>
    <row r="227" spans="2:2" s="1623" customFormat="1" x14ac:dyDescent="0.2">
      <c r="B227" s="1631"/>
    </row>
    <row r="228" spans="2:2" s="1623" customFormat="1" x14ac:dyDescent="0.2">
      <c r="B228" s="1631"/>
    </row>
    <row r="229" spans="2:2" s="1623" customFormat="1" x14ac:dyDescent="0.2">
      <c r="B229" s="1631"/>
    </row>
    <row r="230" spans="2:2" s="1623" customFormat="1" x14ac:dyDescent="0.2">
      <c r="B230" s="1631"/>
    </row>
    <row r="231" spans="2:2" s="1623" customFormat="1" x14ac:dyDescent="0.2">
      <c r="B231" s="1631"/>
    </row>
    <row r="232" spans="2:2" s="1623" customFormat="1" x14ac:dyDescent="0.2">
      <c r="B232" s="1631"/>
    </row>
    <row r="233" spans="2:2" s="1623" customFormat="1" x14ac:dyDescent="0.2">
      <c r="B233" s="1631"/>
    </row>
    <row r="234" spans="2:2" s="1623" customFormat="1" x14ac:dyDescent="0.2">
      <c r="B234" s="1631"/>
    </row>
    <row r="235" spans="2:2" s="1623" customFormat="1" x14ac:dyDescent="0.2">
      <c r="B235" s="1631"/>
    </row>
    <row r="236" spans="2:2" s="1623" customFormat="1" x14ac:dyDescent="0.2">
      <c r="B236" s="1631"/>
    </row>
    <row r="237" spans="2:2" s="1623" customFormat="1" x14ac:dyDescent="0.2">
      <c r="B237" s="1631"/>
    </row>
    <row r="238" spans="2:2" s="1623" customFormat="1" x14ac:dyDescent="0.2">
      <c r="B238" s="1631"/>
    </row>
    <row r="239" spans="2:2" s="1623" customFormat="1" x14ac:dyDescent="0.2">
      <c r="B239" s="1631"/>
    </row>
    <row r="240" spans="2:2" s="1623" customFormat="1" x14ac:dyDescent="0.2">
      <c r="B240" s="1631"/>
    </row>
    <row r="241" spans="2:2" s="1623" customFormat="1" x14ac:dyDescent="0.2">
      <c r="B241" s="1631"/>
    </row>
    <row r="242" spans="2:2" s="1623" customFormat="1" x14ac:dyDescent="0.2">
      <c r="B242" s="1631"/>
    </row>
    <row r="243" spans="2:2" s="1623" customFormat="1" x14ac:dyDescent="0.2">
      <c r="B243" s="1631"/>
    </row>
    <row r="244" spans="2:2" s="1623" customFormat="1" x14ac:dyDescent="0.2">
      <c r="B244" s="1631"/>
    </row>
    <row r="245" spans="2:2" s="1623" customFormat="1" x14ac:dyDescent="0.2">
      <c r="B245" s="1631"/>
    </row>
    <row r="246" spans="2:2" s="1623" customFormat="1" x14ac:dyDescent="0.2">
      <c r="B246" s="1631"/>
    </row>
    <row r="247" spans="2:2" s="1623" customFormat="1" x14ac:dyDescent="0.2">
      <c r="B247" s="1631"/>
    </row>
    <row r="248" spans="2:2" s="1623" customFormat="1" x14ac:dyDescent="0.2">
      <c r="B248" s="1631"/>
    </row>
    <row r="249" spans="2:2" s="1623" customFormat="1" x14ac:dyDescent="0.2">
      <c r="B249" s="1631"/>
    </row>
    <row r="250" spans="2:2" s="1623" customFormat="1" x14ac:dyDescent="0.2">
      <c r="B250" s="1631"/>
    </row>
    <row r="251" spans="2:2" s="1623" customFormat="1" x14ac:dyDescent="0.2">
      <c r="B251" s="1631"/>
    </row>
    <row r="252" spans="2:2" s="1623" customFormat="1" x14ac:dyDescent="0.2">
      <c r="B252" s="1631"/>
    </row>
    <row r="253" spans="2:2" s="1623" customFormat="1" x14ac:dyDescent="0.2">
      <c r="B253" s="1631"/>
    </row>
    <row r="254" spans="2:2" s="1623" customFormat="1" x14ac:dyDescent="0.2">
      <c r="B254" s="1631"/>
    </row>
    <row r="255" spans="2:2" s="1623" customFormat="1" x14ac:dyDescent="0.2">
      <c r="B255" s="1631"/>
    </row>
    <row r="256" spans="2:2" s="1623" customFormat="1" x14ac:dyDescent="0.2">
      <c r="B256" s="1631"/>
    </row>
    <row r="257" spans="2:2" s="1623" customFormat="1" x14ac:dyDescent="0.2">
      <c r="B257" s="1631"/>
    </row>
    <row r="258" spans="2:2" s="1623" customFormat="1" x14ac:dyDescent="0.2">
      <c r="B258" s="1631"/>
    </row>
    <row r="259" spans="2:2" s="1623" customFormat="1" x14ac:dyDescent="0.2">
      <c r="B259" s="1631"/>
    </row>
    <row r="260" spans="2:2" s="1623" customFormat="1" x14ac:dyDescent="0.2">
      <c r="B260" s="1631"/>
    </row>
    <row r="261" spans="2:2" s="1623" customFormat="1" x14ac:dyDescent="0.2">
      <c r="B261" s="1631"/>
    </row>
    <row r="262" spans="2:2" s="1623" customFormat="1" x14ac:dyDescent="0.2">
      <c r="B262" s="1631"/>
    </row>
    <row r="263" spans="2:2" s="1623" customFormat="1" x14ac:dyDescent="0.2">
      <c r="B263" s="1631"/>
    </row>
    <row r="264" spans="2:2" s="1623" customFormat="1" x14ac:dyDescent="0.2">
      <c r="B264" s="1631"/>
    </row>
    <row r="265" spans="2:2" s="1623" customFormat="1" x14ac:dyDescent="0.2">
      <c r="B265" s="1631"/>
    </row>
    <row r="266" spans="2:2" s="1623" customFormat="1" x14ac:dyDescent="0.2">
      <c r="B266" s="1631"/>
    </row>
    <row r="267" spans="2:2" s="1623" customFormat="1" x14ac:dyDescent="0.2">
      <c r="B267" s="1631"/>
    </row>
    <row r="268" spans="2:2" s="1623" customFormat="1" x14ac:dyDescent="0.2">
      <c r="B268" s="1631"/>
    </row>
    <row r="269" spans="2:2" s="1623" customFormat="1" x14ac:dyDescent="0.2">
      <c r="B269" s="1631"/>
    </row>
    <row r="270" spans="2:2" s="1623" customFormat="1" x14ac:dyDescent="0.2">
      <c r="B270" s="1631"/>
    </row>
    <row r="271" spans="2:2" s="1623" customFormat="1" x14ac:dyDescent="0.2">
      <c r="B271" s="1631"/>
    </row>
    <row r="272" spans="2:2" s="1623" customFormat="1" x14ac:dyDescent="0.2">
      <c r="B272" s="1631"/>
    </row>
    <row r="273" spans="2:2" s="1623" customFormat="1" x14ac:dyDescent="0.2">
      <c r="B273" s="1631"/>
    </row>
    <row r="274" spans="2:2" s="1623" customFormat="1" x14ac:dyDescent="0.2">
      <c r="B274" s="1631"/>
    </row>
    <row r="275" spans="2:2" s="1623" customFormat="1" x14ac:dyDescent="0.2">
      <c r="B275" s="1631"/>
    </row>
    <row r="276" spans="2:2" s="1623" customFormat="1" x14ac:dyDescent="0.2">
      <c r="B276" s="1631"/>
    </row>
    <row r="277" spans="2:2" s="1623" customFormat="1" x14ac:dyDescent="0.2">
      <c r="B277" s="1631"/>
    </row>
    <row r="278" spans="2:2" s="1623" customFormat="1" x14ac:dyDescent="0.2">
      <c r="B278" s="1631"/>
    </row>
    <row r="279" spans="2:2" s="1623" customFormat="1" x14ac:dyDescent="0.2">
      <c r="B279" s="1631"/>
    </row>
    <row r="280" spans="2:2" s="1623" customFormat="1" x14ac:dyDescent="0.2">
      <c r="B280" s="1631"/>
    </row>
    <row r="281" spans="2:2" s="1623" customFormat="1" x14ac:dyDescent="0.2">
      <c r="B281" s="1631"/>
    </row>
    <row r="282" spans="2:2" s="1623" customFormat="1" x14ac:dyDescent="0.2">
      <c r="B282" s="1631"/>
    </row>
    <row r="283" spans="2:2" s="1623" customFormat="1" x14ac:dyDescent="0.2">
      <c r="B283" s="1631"/>
    </row>
    <row r="284" spans="2:2" s="1623" customFormat="1" x14ac:dyDescent="0.2">
      <c r="B284" s="1631"/>
    </row>
    <row r="285" spans="2:2" s="1623" customFormat="1" x14ac:dyDescent="0.2">
      <c r="B285" s="1631"/>
    </row>
    <row r="286" spans="2:2" s="1623" customFormat="1" x14ac:dyDescent="0.2">
      <c r="B286" s="1631"/>
    </row>
    <row r="287" spans="2:2" s="1623" customFormat="1" x14ac:dyDescent="0.2">
      <c r="B287" s="1631"/>
    </row>
    <row r="288" spans="2:2" s="1623" customFormat="1" x14ac:dyDescent="0.2">
      <c r="B288" s="1631"/>
    </row>
    <row r="289" spans="2:2" s="1623" customFormat="1" x14ac:dyDescent="0.2">
      <c r="B289" s="1631"/>
    </row>
    <row r="290" spans="2:2" s="1623" customFormat="1" x14ac:dyDescent="0.2">
      <c r="B290" s="1631"/>
    </row>
    <row r="291" spans="2:2" s="1623" customFormat="1" x14ac:dyDescent="0.2">
      <c r="B291" s="1631"/>
    </row>
    <row r="292" spans="2:2" s="1623" customFormat="1" x14ac:dyDescent="0.2">
      <c r="B292" s="1631"/>
    </row>
    <row r="293" spans="2:2" s="1623" customFormat="1" x14ac:dyDescent="0.2">
      <c r="B293" s="1631"/>
    </row>
    <row r="294" spans="2:2" s="1623" customFormat="1" x14ac:dyDescent="0.2">
      <c r="B294" s="1631"/>
    </row>
    <row r="295" spans="2:2" s="1623" customFormat="1" x14ac:dyDescent="0.2">
      <c r="B295" s="1631"/>
    </row>
    <row r="296" spans="2:2" s="1623" customFormat="1" x14ac:dyDescent="0.2">
      <c r="B296" s="1631"/>
    </row>
    <row r="297" spans="2:2" s="1623" customFormat="1" x14ac:dyDescent="0.2">
      <c r="B297" s="1631"/>
    </row>
    <row r="298" spans="2:2" s="1623" customFormat="1" x14ac:dyDescent="0.2">
      <c r="B298" s="1631"/>
    </row>
    <row r="299" spans="2:2" s="1623" customFormat="1" x14ac:dyDescent="0.2">
      <c r="B299" s="1631"/>
    </row>
    <row r="300" spans="2:2" s="1623" customFormat="1" x14ac:dyDescent="0.2">
      <c r="B300" s="1631"/>
    </row>
    <row r="301" spans="2:2" s="1623" customFormat="1" x14ac:dyDescent="0.2">
      <c r="B301" s="1631"/>
    </row>
    <row r="302" spans="2:2" s="1623" customFormat="1" x14ac:dyDescent="0.2">
      <c r="B302" s="1631"/>
    </row>
    <row r="303" spans="2:2" s="1623" customFormat="1" x14ac:dyDescent="0.2">
      <c r="B303" s="1631"/>
    </row>
    <row r="304" spans="2:2" s="1623" customFormat="1" x14ac:dyDescent="0.2">
      <c r="B304" s="1631"/>
    </row>
    <row r="305" spans="2:2" s="1623" customFormat="1" x14ac:dyDescent="0.2">
      <c r="B305" s="1631"/>
    </row>
    <row r="306" spans="2:2" s="1623" customFormat="1" x14ac:dyDescent="0.2">
      <c r="B306" s="1631"/>
    </row>
    <row r="307" spans="2:2" s="1623" customFormat="1" x14ac:dyDescent="0.2">
      <c r="B307" s="1631"/>
    </row>
    <row r="308" spans="2:2" s="1623" customFormat="1" x14ac:dyDescent="0.2">
      <c r="B308" s="1631"/>
    </row>
    <row r="309" spans="2:2" s="1623" customFormat="1" x14ac:dyDescent="0.2">
      <c r="B309" s="1631"/>
    </row>
    <row r="310" spans="2:2" s="1623" customFormat="1" x14ac:dyDescent="0.2">
      <c r="B310" s="1631"/>
    </row>
    <row r="311" spans="2:2" s="1623" customFormat="1" x14ac:dyDescent="0.2">
      <c r="B311" s="1631"/>
    </row>
    <row r="312" spans="2:2" s="1623" customFormat="1" x14ac:dyDescent="0.2">
      <c r="B312" s="1631"/>
    </row>
    <row r="313" spans="2:2" s="1623" customFormat="1" x14ac:dyDescent="0.2">
      <c r="B313" s="1631"/>
    </row>
    <row r="314" spans="2:2" s="1623" customFormat="1" x14ac:dyDescent="0.2">
      <c r="B314" s="1631"/>
    </row>
    <row r="315" spans="2:2" s="1623" customFormat="1" x14ac:dyDescent="0.2">
      <c r="B315" s="1631"/>
    </row>
    <row r="316" spans="2:2" s="1623" customFormat="1" x14ac:dyDescent="0.2">
      <c r="B316" s="1631"/>
    </row>
    <row r="317" spans="2:2" s="1623" customFormat="1" x14ac:dyDescent="0.2">
      <c r="B317" s="1631"/>
    </row>
    <row r="318" spans="2:2" s="1623" customFormat="1" x14ac:dyDescent="0.2">
      <c r="B318" s="1631"/>
    </row>
    <row r="319" spans="2:2" s="1623" customFormat="1" x14ac:dyDescent="0.2">
      <c r="B319" s="1631"/>
    </row>
    <row r="320" spans="2:2" s="1623" customFormat="1" x14ac:dyDescent="0.2">
      <c r="B320" s="1631"/>
    </row>
    <row r="321" spans="2:2" s="1623" customFormat="1" x14ac:dyDescent="0.2">
      <c r="B321" s="1631"/>
    </row>
    <row r="322" spans="2:2" s="1623" customFormat="1" x14ac:dyDescent="0.2">
      <c r="B322" s="1631"/>
    </row>
    <row r="323" spans="2:2" s="1623" customFormat="1" x14ac:dyDescent="0.2">
      <c r="B323" s="1631"/>
    </row>
    <row r="324" spans="2:2" s="1623" customFormat="1" x14ac:dyDescent="0.2">
      <c r="B324" s="1631"/>
    </row>
    <row r="325" spans="2:2" s="1623" customFormat="1" x14ac:dyDescent="0.2">
      <c r="B325" s="1631"/>
    </row>
    <row r="326" spans="2:2" s="1623" customFormat="1" x14ac:dyDescent="0.2">
      <c r="B326" s="1631"/>
    </row>
    <row r="327" spans="2:2" s="1623" customFormat="1" x14ac:dyDescent="0.2">
      <c r="B327" s="1631"/>
    </row>
    <row r="328" spans="2:2" s="1623" customFormat="1" x14ac:dyDescent="0.2">
      <c r="B328" s="1631"/>
    </row>
    <row r="329" spans="2:2" s="1623" customFormat="1" x14ac:dyDescent="0.2">
      <c r="B329" s="1631"/>
    </row>
    <row r="330" spans="2:2" s="1623" customFormat="1" x14ac:dyDescent="0.2">
      <c r="B330" s="1631"/>
    </row>
    <row r="331" spans="2:2" s="1623" customFormat="1" x14ac:dyDescent="0.2">
      <c r="B331" s="1631"/>
    </row>
    <row r="332" spans="2:2" s="1623" customFormat="1" x14ac:dyDescent="0.2">
      <c r="B332" s="1631"/>
    </row>
    <row r="333" spans="2:2" s="1623" customFormat="1" x14ac:dyDescent="0.2">
      <c r="B333" s="1631"/>
    </row>
    <row r="334" spans="2:2" s="1623" customFormat="1" x14ac:dyDescent="0.2">
      <c r="B334" s="1631"/>
    </row>
    <row r="335" spans="2:2" s="1623" customFormat="1" x14ac:dyDescent="0.2">
      <c r="B335" s="1631"/>
    </row>
    <row r="336" spans="2:2" s="1623" customFormat="1" x14ac:dyDescent="0.2">
      <c r="B336" s="1631"/>
    </row>
    <row r="337" spans="2:2" s="1623" customFormat="1" x14ac:dyDescent="0.2">
      <c r="B337" s="1631"/>
    </row>
    <row r="338" spans="2:2" s="1623" customFormat="1" x14ac:dyDescent="0.2">
      <c r="B338" s="1631"/>
    </row>
    <row r="339" spans="2:2" s="1623" customFormat="1" x14ac:dyDescent="0.2">
      <c r="B339" s="1631"/>
    </row>
    <row r="340" spans="2:2" s="1623" customFormat="1" x14ac:dyDescent="0.2">
      <c r="B340" s="1631"/>
    </row>
    <row r="341" spans="2:2" s="1623" customFormat="1" x14ac:dyDescent="0.2">
      <c r="B341" s="1631"/>
    </row>
    <row r="342" spans="2:2" s="1623" customFormat="1" x14ac:dyDescent="0.2">
      <c r="B342" s="1631"/>
    </row>
    <row r="343" spans="2:2" s="1623" customFormat="1" x14ac:dyDescent="0.2">
      <c r="B343" s="1631"/>
    </row>
    <row r="344" spans="2:2" s="1623" customFormat="1" x14ac:dyDescent="0.2">
      <c r="B344" s="1631"/>
    </row>
    <row r="345" spans="2:2" s="1623" customFormat="1" x14ac:dyDescent="0.2">
      <c r="B345" s="1631"/>
    </row>
    <row r="346" spans="2:2" s="1623" customFormat="1" x14ac:dyDescent="0.2">
      <c r="B346" s="1631"/>
    </row>
    <row r="347" spans="2:2" s="1623" customFormat="1" x14ac:dyDescent="0.2">
      <c r="B347" s="1631"/>
    </row>
    <row r="348" spans="2:2" s="1623" customFormat="1" x14ac:dyDescent="0.2">
      <c r="B348" s="1631"/>
    </row>
    <row r="349" spans="2:2" s="1623" customFormat="1" x14ac:dyDescent="0.2">
      <c r="B349" s="1631"/>
    </row>
    <row r="350" spans="2:2" s="1623" customFormat="1" x14ac:dyDescent="0.2">
      <c r="B350" s="1631"/>
    </row>
    <row r="351" spans="2:2" s="1623" customFormat="1" x14ac:dyDescent="0.2">
      <c r="B351" s="1631"/>
    </row>
    <row r="352" spans="2:2" s="1623" customFormat="1" x14ac:dyDescent="0.2">
      <c r="B352" s="1631"/>
    </row>
    <row r="353" spans="2:2" s="1623" customFormat="1" x14ac:dyDescent="0.2">
      <c r="B353" s="1631"/>
    </row>
    <row r="354" spans="2:2" s="1623" customFormat="1" x14ac:dyDescent="0.2">
      <c r="B354" s="1631"/>
    </row>
    <row r="355" spans="2:2" s="1623" customFormat="1" x14ac:dyDescent="0.2">
      <c r="B355" s="1631"/>
    </row>
    <row r="356" spans="2:2" s="1623" customFormat="1" x14ac:dyDescent="0.2">
      <c r="B356" s="1631"/>
    </row>
    <row r="357" spans="2:2" s="1623" customFormat="1" x14ac:dyDescent="0.2">
      <c r="B357" s="1631"/>
    </row>
    <row r="358" spans="2:2" s="1623" customFormat="1" x14ac:dyDescent="0.2">
      <c r="B358" s="1631"/>
    </row>
    <row r="359" spans="2:2" s="1623" customFormat="1" x14ac:dyDescent="0.2">
      <c r="B359" s="1631"/>
    </row>
    <row r="360" spans="2:2" s="1623" customFormat="1" x14ac:dyDescent="0.2">
      <c r="B360" s="1631"/>
    </row>
    <row r="361" spans="2:2" s="1623" customFormat="1" x14ac:dyDescent="0.2">
      <c r="B361" s="1631"/>
    </row>
    <row r="362" spans="2:2" s="1623" customFormat="1" x14ac:dyDescent="0.2">
      <c r="B362" s="1631"/>
    </row>
    <row r="363" spans="2:2" s="1623" customFormat="1" x14ac:dyDescent="0.2">
      <c r="B363" s="1631"/>
    </row>
    <row r="364" spans="2:2" s="1623" customFormat="1" x14ac:dyDescent="0.2">
      <c r="B364" s="1631"/>
    </row>
    <row r="365" spans="2:2" s="1623" customFormat="1" x14ac:dyDescent="0.2">
      <c r="B365" s="1631"/>
    </row>
    <row r="366" spans="2:2" s="1623" customFormat="1" x14ac:dyDescent="0.2">
      <c r="B366" s="1631"/>
    </row>
    <row r="367" spans="2:2" s="1623" customFormat="1" x14ac:dyDescent="0.2">
      <c r="B367" s="1631"/>
    </row>
    <row r="368" spans="2:2" s="1623" customFormat="1" x14ac:dyDescent="0.2">
      <c r="B368" s="1631"/>
    </row>
    <row r="369" spans="2:2" s="1623" customFormat="1" x14ac:dyDescent="0.2">
      <c r="B369" s="1631"/>
    </row>
    <row r="370" spans="2:2" s="1623" customFormat="1" x14ac:dyDescent="0.2">
      <c r="B370" s="1631"/>
    </row>
    <row r="371" spans="2:2" s="1623" customFormat="1" x14ac:dyDescent="0.2">
      <c r="B371" s="1631"/>
    </row>
    <row r="372" spans="2:2" s="1623" customFormat="1" x14ac:dyDescent="0.2">
      <c r="B372" s="1631"/>
    </row>
    <row r="373" spans="2:2" s="1623" customFormat="1" x14ac:dyDescent="0.2">
      <c r="B373" s="1631"/>
    </row>
    <row r="374" spans="2:2" s="1623" customFormat="1" x14ac:dyDescent="0.2">
      <c r="B374" s="1631"/>
    </row>
    <row r="375" spans="2:2" s="1623" customFormat="1" x14ac:dyDescent="0.2">
      <c r="B375" s="1631"/>
    </row>
    <row r="376" spans="2:2" s="1623" customFormat="1" x14ac:dyDescent="0.2">
      <c r="B376" s="1631"/>
    </row>
    <row r="377" spans="2:2" s="1623" customFormat="1" x14ac:dyDescent="0.2">
      <c r="B377" s="1631"/>
    </row>
    <row r="378" spans="2:2" s="1623" customFormat="1" x14ac:dyDescent="0.2">
      <c r="B378" s="1631"/>
    </row>
    <row r="379" spans="2:2" s="1623" customFormat="1" x14ac:dyDescent="0.2">
      <c r="B379" s="1631"/>
    </row>
    <row r="380" spans="2:2" s="1623" customFormat="1" x14ac:dyDescent="0.2">
      <c r="B380" s="1631"/>
    </row>
    <row r="381" spans="2:2" s="1623" customFormat="1" x14ac:dyDescent="0.2">
      <c r="B381" s="1631"/>
    </row>
    <row r="382" spans="2:2" s="1623" customFormat="1" x14ac:dyDescent="0.2">
      <c r="B382" s="1631"/>
    </row>
    <row r="383" spans="2:2" s="1623" customFormat="1" x14ac:dyDescent="0.2">
      <c r="B383" s="1631"/>
    </row>
    <row r="384" spans="2:2" s="1623" customFormat="1" x14ac:dyDescent="0.2">
      <c r="B384" s="1631"/>
    </row>
    <row r="385" spans="2:2" s="1623" customFormat="1" x14ac:dyDescent="0.2">
      <c r="B385" s="1631"/>
    </row>
    <row r="386" spans="2:2" s="1623" customFormat="1" x14ac:dyDescent="0.2">
      <c r="B386" s="1631"/>
    </row>
    <row r="387" spans="2:2" s="1623" customFormat="1" x14ac:dyDescent="0.2">
      <c r="B387" s="1631"/>
    </row>
    <row r="388" spans="2:2" s="1623" customFormat="1" x14ac:dyDescent="0.2">
      <c r="B388" s="1631"/>
    </row>
    <row r="389" spans="2:2" s="1623" customFormat="1" x14ac:dyDescent="0.2">
      <c r="B389" s="1631"/>
    </row>
    <row r="390" spans="2:2" s="1623" customFormat="1" x14ac:dyDescent="0.2">
      <c r="B390" s="1631"/>
    </row>
    <row r="391" spans="2:2" s="1623" customFormat="1" x14ac:dyDescent="0.2">
      <c r="B391" s="1631"/>
    </row>
    <row r="392" spans="2:2" s="1623" customFormat="1" x14ac:dyDescent="0.2">
      <c r="B392" s="1631"/>
    </row>
    <row r="393" spans="2:2" s="1623" customFormat="1" x14ac:dyDescent="0.2">
      <c r="B393" s="1631"/>
    </row>
    <row r="394" spans="2:2" s="1623" customFormat="1" x14ac:dyDescent="0.2">
      <c r="B394" s="1631"/>
    </row>
    <row r="395" spans="2:2" s="1623" customFormat="1" x14ac:dyDescent="0.2">
      <c r="B395" s="1631"/>
    </row>
    <row r="396" spans="2:2" s="1623" customFormat="1" x14ac:dyDescent="0.2">
      <c r="B396" s="1631"/>
    </row>
    <row r="397" spans="2:2" s="1623" customFormat="1" x14ac:dyDescent="0.2">
      <c r="B397" s="1631"/>
    </row>
    <row r="398" spans="2:2" s="1623" customFormat="1" x14ac:dyDescent="0.2">
      <c r="B398" s="1631"/>
    </row>
    <row r="399" spans="2:2" s="1623" customFormat="1" x14ac:dyDescent="0.2">
      <c r="B399" s="1631"/>
    </row>
    <row r="400" spans="2:2" s="1623" customFormat="1" x14ac:dyDescent="0.2">
      <c r="B400" s="1631"/>
    </row>
    <row r="401" spans="2:2" s="1623" customFormat="1" x14ac:dyDescent="0.2">
      <c r="B401" s="1631"/>
    </row>
    <row r="402" spans="2:2" s="1623" customFormat="1" x14ac:dyDescent="0.2">
      <c r="B402" s="1631"/>
    </row>
    <row r="403" spans="2:2" s="1623" customFormat="1" x14ac:dyDescent="0.2">
      <c r="B403" s="1631"/>
    </row>
    <row r="404" spans="2:2" s="1623" customFormat="1" x14ac:dyDescent="0.2">
      <c r="B404" s="1631"/>
    </row>
    <row r="405" spans="2:2" s="1623" customFormat="1" x14ac:dyDescent="0.2">
      <c r="B405" s="1631"/>
    </row>
    <row r="406" spans="2:2" s="1623" customFormat="1" x14ac:dyDescent="0.2">
      <c r="B406" s="1631"/>
    </row>
    <row r="407" spans="2:2" s="1623" customFormat="1" x14ac:dyDescent="0.2">
      <c r="B407" s="1631"/>
    </row>
    <row r="408" spans="2:2" s="1623" customFormat="1" x14ac:dyDescent="0.2">
      <c r="B408" s="1631"/>
    </row>
    <row r="409" spans="2:2" s="1623" customFormat="1" x14ac:dyDescent="0.2">
      <c r="B409" s="1631"/>
    </row>
    <row r="410" spans="2:2" s="1623" customFormat="1" x14ac:dyDescent="0.2">
      <c r="B410" s="1631"/>
    </row>
    <row r="411" spans="2:2" s="1623" customFormat="1" x14ac:dyDescent="0.2">
      <c r="B411" s="1631"/>
    </row>
    <row r="412" spans="2:2" s="1623" customFormat="1" x14ac:dyDescent="0.2">
      <c r="B412" s="1631"/>
    </row>
    <row r="413" spans="2:2" s="1623" customFormat="1" x14ac:dyDescent="0.2">
      <c r="B413" s="1631"/>
    </row>
    <row r="414" spans="2:2" s="1623" customFormat="1" x14ac:dyDescent="0.2">
      <c r="B414" s="1631"/>
    </row>
    <row r="415" spans="2:2" s="1623" customFormat="1" x14ac:dyDescent="0.2">
      <c r="B415" s="1631"/>
    </row>
    <row r="416" spans="2:2" s="1623" customFormat="1" x14ac:dyDescent="0.2">
      <c r="B416" s="1631"/>
    </row>
    <row r="417" spans="2:2" s="1623" customFormat="1" x14ac:dyDescent="0.2">
      <c r="B417" s="1631"/>
    </row>
    <row r="418" spans="2:2" s="1623" customFormat="1" x14ac:dyDescent="0.2">
      <c r="B418" s="1631"/>
    </row>
    <row r="419" spans="2:2" s="1623" customFormat="1" x14ac:dyDescent="0.2">
      <c r="B419" s="1631"/>
    </row>
    <row r="420" spans="2:2" s="1623" customFormat="1" x14ac:dyDescent="0.2">
      <c r="B420" s="1631"/>
    </row>
    <row r="421" spans="2:2" s="1623" customFormat="1" x14ac:dyDescent="0.2">
      <c r="B421" s="1631"/>
    </row>
    <row r="422" spans="2:2" s="1623" customFormat="1" x14ac:dyDescent="0.2">
      <c r="B422" s="1631"/>
    </row>
    <row r="423" spans="2:2" s="1623" customFormat="1" x14ac:dyDescent="0.2">
      <c r="B423" s="1631"/>
    </row>
    <row r="424" spans="2:2" s="1623" customFormat="1" x14ac:dyDescent="0.2">
      <c r="B424" s="1631"/>
    </row>
    <row r="425" spans="2:2" s="1623" customFormat="1" x14ac:dyDescent="0.2">
      <c r="B425" s="1631"/>
    </row>
    <row r="426" spans="2:2" s="1623" customFormat="1" x14ac:dyDescent="0.2">
      <c r="B426" s="1631"/>
    </row>
    <row r="427" spans="2:2" s="1623" customFormat="1" x14ac:dyDescent="0.2">
      <c r="B427" s="1631"/>
    </row>
    <row r="428" spans="2:2" s="1623" customFormat="1" x14ac:dyDescent="0.2">
      <c r="B428" s="1631"/>
    </row>
    <row r="429" spans="2:2" s="1623" customFormat="1" x14ac:dyDescent="0.2">
      <c r="B429" s="1631"/>
    </row>
    <row r="430" spans="2:2" s="1623" customFormat="1" x14ac:dyDescent="0.2">
      <c r="B430" s="1631"/>
    </row>
    <row r="431" spans="2:2" s="1623" customFormat="1" x14ac:dyDescent="0.2">
      <c r="B431" s="1631"/>
    </row>
    <row r="432" spans="2:2" s="1623" customFormat="1" x14ac:dyDescent="0.2">
      <c r="B432" s="1631"/>
    </row>
    <row r="433" spans="2:2" s="1623" customFormat="1" x14ac:dyDescent="0.2">
      <c r="B433" s="1631"/>
    </row>
    <row r="434" spans="2:2" s="1623" customFormat="1" x14ac:dyDescent="0.2">
      <c r="B434" s="1631"/>
    </row>
    <row r="435" spans="2:2" s="1623" customFormat="1" x14ac:dyDescent="0.2">
      <c r="B435" s="1631"/>
    </row>
    <row r="436" spans="2:2" s="1623" customFormat="1" x14ac:dyDescent="0.2">
      <c r="B436" s="1631"/>
    </row>
    <row r="437" spans="2:2" s="1623" customFormat="1" x14ac:dyDescent="0.2">
      <c r="B437" s="1631"/>
    </row>
    <row r="438" spans="2:2" s="1623" customFormat="1" x14ac:dyDescent="0.2">
      <c r="B438" s="1631"/>
    </row>
    <row r="439" spans="2:2" s="1623" customFormat="1" x14ac:dyDescent="0.2">
      <c r="B439" s="1631"/>
    </row>
    <row r="440" spans="2:2" s="1623" customFormat="1" x14ac:dyDescent="0.2">
      <c r="B440" s="1631"/>
    </row>
    <row r="441" spans="2:2" s="1623" customFormat="1" x14ac:dyDescent="0.2">
      <c r="B441" s="1631"/>
    </row>
    <row r="442" spans="2:2" s="1623" customFormat="1" x14ac:dyDescent="0.2">
      <c r="B442" s="1631"/>
    </row>
    <row r="443" spans="2:2" s="1623" customFormat="1" x14ac:dyDescent="0.2">
      <c r="B443" s="1631"/>
    </row>
    <row r="444" spans="2:2" s="1623" customFormat="1" x14ac:dyDescent="0.2">
      <c r="B444" s="1631"/>
    </row>
    <row r="445" spans="2:2" s="1623" customFormat="1" x14ac:dyDescent="0.2">
      <c r="B445" s="1631"/>
    </row>
    <row r="446" spans="2:2" s="1623" customFormat="1" x14ac:dyDescent="0.2">
      <c r="B446" s="1631"/>
    </row>
    <row r="447" spans="2:2" s="1623" customFormat="1" x14ac:dyDescent="0.2">
      <c r="B447" s="1631"/>
    </row>
    <row r="448" spans="2:2" s="1623" customFormat="1" x14ac:dyDescent="0.2">
      <c r="B448" s="1631"/>
    </row>
    <row r="449" spans="2:2" s="1623" customFormat="1" x14ac:dyDescent="0.2">
      <c r="B449" s="1631"/>
    </row>
    <row r="450" spans="2:2" s="1623" customFormat="1" x14ac:dyDescent="0.2">
      <c r="B450" s="1631"/>
    </row>
    <row r="451" spans="2:2" s="1623" customFormat="1" x14ac:dyDescent="0.2">
      <c r="B451" s="1631"/>
    </row>
    <row r="452" spans="2:2" s="1623" customFormat="1" x14ac:dyDescent="0.2">
      <c r="B452" s="1631"/>
    </row>
    <row r="453" spans="2:2" s="1623" customFormat="1" x14ac:dyDescent="0.2">
      <c r="B453" s="1631"/>
    </row>
    <row r="454" spans="2:2" s="1623" customFormat="1" x14ac:dyDescent="0.2">
      <c r="B454" s="1631"/>
    </row>
    <row r="455" spans="2:2" s="1623" customFormat="1" x14ac:dyDescent="0.2">
      <c r="B455" s="1631"/>
    </row>
    <row r="456" spans="2:2" s="1623" customFormat="1" x14ac:dyDescent="0.2">
      <c r="B456" s="1631"/>
    </row>
    <row r="457" spans="2:2" s="1623" customFormat="1" x14ac:dyDescent="0.2">
      <c r="B457" s="1631"/>
    </row>
    <row r="458" spans="2:2" s="1623" customFormat="1" x14ac:dyDescent="0.2">
      <c r="B458" s="1631"/>
    </row>
    <row r="459" spans="2:2" s="1623" customFormat="1" x14ac:dyDescent="0.2">
      <c r="B459" s="1631"/>
    </row>
    <row r="460" spans="2:2" s="1623" customFormat="1" x14ac:dyDescent="0.2">
      <c r="B460" s="1631"/>
    </row>
    <row r="461" spans="2:2" s="1623" customFormat="1" x14ac:dyDescent="0.2">
      <c r="B461" s="1631"/>
    </row>
    <row r="462" spans="2:2" s="1623" customFormat="1" x14ac:dyDescent="0.2">
      <c r="B462" s="1631"/>
    </row>
    <row r="463" spans="2:2" s="1623" customFormat="1" x14ac:dyDescent="0.2">
      <c r="B463" s="1631"/>
    </row>
    <row r="464" spans="2:2" s="1623" customFormat="1" x14ac:dyDescent="0.2">
      <c r="B464" s="1631"/>
    </row>
    <row r="465" spans="2:2" s="1623" customFormat="1" x14ac:dyDescent="0.2">
      <c r="B465" s="1631"/>
    </row>
    <row r="466" spans="2:2" s="1623" customFormat="1" x14ac:dyDescent="0.2">
      <c r="B466" s="1631"/>
    </row>
    <row r="467" spans="2:2" s="1623" customFormat="1" x14ac:dyDescent="0.2">
      <c r="B467" s="1631"/>
    </row>
    <row r="468" spans="2:2" s="1623" customFormat="1" x14ac:dyDescent="0.2">
      <c r="B468" s="1631"/>
    </row>
    <row r="469" spans="2:2" s="1623" customFormat="1" x14ac:dyDescent="0.2">
      <c r="B469" s="1631"/>
    </row>
    <row r="470" spans="2:2" s="1623" customFormat="1" x14ac:dyDescent="0.2">
      <c r="B470" s="1631"/>
    </row>
    <row r="471" spans="2:2" s="1623" customFormat="1" x14ac:dyDescent="0.2">
      <c r="B471" s="1631"/>
    </row>
    <row r="472" spans="2:2" s="1623" customFormat="1" x14ac:dyDescent="0.2">
      <c r="B472" s="1631"/>
    </row>
    <row r="473" spans="2:2" s="1623" customFormat="1" x14ac:dyDescent="0.2">
      <c r="B473" s="1631"/>
    </row>
    <row r="474" spans="2:2" s="1623" customFormat="1" x14ac:dyDescent="0.2">
      <c r="B474" s="1631"/>
    </row>
    <row r="475" spans="2:2" s="1623" customFormat="1" x14ac:dyDescent="0.2">
      <c r="B475" s="1631"/>
    </row>
    <row r="476" spans="2:2" s="1623" customFormat="1" x14ac:dyDescent="0.2">
      <c r="B476" s="1631"/>
    </row>
    <row r="477" spans="2:2" s="1623" customFormat="1" x14ac:dyDescent="0.2">
      <c r="B477" s="1631"/>
    </row>
    <row r="478" spans="2:2" s="1623" customFormat="1" x14ac:dyDescent="0.2">
      <c r="B478" s="1631"/>
    </row>
    <row r="479" spans="2:2" s="1623" customFormat="1" x14ac:dyDescent="0.2">
      <c r="B479" s="1631"/>
    </row>
    <row r="480" spans="2:2" s="1623" customFormat="1" x14ac:dyDescent="0.2">
      <c r="B480" s="1631"/>
    </row>
    <row r="481" spans="2:2" s="1623" customFormat="1" x14ac:dyDescent="0.2">
      <c r="B481" s="1631"/>
    </row>
    <row r="482" spans="2:2" s="1623" customFormat="1" x14ac:dyDescent="0.2">
      <c r="B482" s="1631"/>
    </row>
    <row r="483" spans="2:2" s="1623" customFormat="1" x14ac:dyDescent="0.2">
      <c r="B483" s="1631"/>
    </row>
    <row r="484" spans="2:2" s="1623" customFormat="1" x14ac:dyDescent="0.2">
      <c r="B484" s="1631"/>
    </row>
    <row r="485" spans="2:2" s="1623" customFormat="1" x14ac:dyDescent="0.2">
      <c r="B485" s="1631"/>
    </row>
    <row r="486" spans="2:2" s="1623" customFormat="1" x14ac:dyDescent="0.2">
      <c r="B486" s="1631"/>
    </row>
    <row r="487" spans="2:2" s="1623" customFormat="1" x14ac:dyDescent="0.2">
      <c r="B487" s="1631"/>
    </row>
    <row r="488" spans="2:2" s="1623" customFormat="1" x14ac:dyDescent="0.2">
      <c r="B488" s="1631"/>
    </row>
    <row r="489" spans="2:2" s="1623" customFormat="1" x14ac:dyDescent="0.2">
      <c r="B489" s="1631"/>
    </row>
    <row r="490" spans="2:2" s="1623" customFormat="1" x14ac:dyDescent="0.2">
      <c r="B490" s="1631"/>
    </row>
    <row r="491" spans="2:2" s="1623" customFormat="1" x14ac:dyDescent="0.2">
      <c r="B491" s="1631"/>
    </row>
    <row r="492" spans="2:2" s="1623" customFormat="1" x14ac:dyDescent="0.2">
      <c r="B492" s="1631"/>
    </row>
    <row r="493" spans="2:2" s="1623" customFormat="1" x14ac:dyDescent="0.2">
      <c r="B493" s="1631"/>
    </row>
    <row r="494" spans="2:2" s="1623" customFormat="1" x14ac:dyDescent="0.2">
      <c r="B494" s="1631"/>
    </row>
    <row r="495" spans="2:2" s="1623" customFormat="1" x14ac:dyDescent="0.2">
      <c r="B495" s="1631"/>
    </row>
    <row r="496" spans="2:2" s="1623" customFormat="1" x14ac:dyDescent="0.2">
      <c r="B496" s="1631"/>
    </row>
    <row r="497" spans="2:2" s="1623" customFormat="1" x14ac:dyDescent="0.2">
      <c r="B497" s="1631"/>
    </row>
    <row r="498" spans="2:2" s="1623" customFormat="1" x14ac:dyDescent="0.2">
      <c r="B498" s="1631"/>
    </row>
    <row r="499" spans="2:2" s="1623" customFormat="1" x14ac:dyDescent="0.2">
      <c r="B499" s="1631"/>
    </row>
    <row r="500" spans="2:2" s="1623" customFormat="1" x14ac:dyDescent="0.2">
      <c r="B500" s="1631"/>
    </row>
    <row r="501" spans="2:2" s="1623" customFormat="1" x14ac:dyDescent="0.2">
      <c r="B501" s="1631"/>
    </row>
    <row r="502" spans="2:2" s="1623" customFormat="1" x14ac:dyDescent="0.2">
      <c r="B502" s="1631"/>
    </row>
    <row r="503" spans="2:2" s="1623" customFormat="1" x14ac:dyDescent="0.2">
      <c r="B503" s="1631"/>
    </row>
    <row r="504" spans="2:2" s="1623" customFormat="1" x14ac:dyDescent="0.2">
      <c r="B504" s="1631"/>
    </row>
    <row r="505" spans="2:2" s="1623" customFormat="1" x14ac:dyDescent="0.2">
      <c r="B505" s="1631"/>
    </row>
    <row r="506" spans="2:2" s="1623" customFormat="1" x14ac:dyDescent="0.2">
      <c r="B506" s="1631"/>
    </row>
    <row r="507" spans="2:2" s="1623" customFormat="1" x14ac:dyDescent="0.2">
      <c r="B507" s="1631"/>
    </row>
    <row r="508" spans="2:2" s="1623" customFormat="1" x14ac:dyDescent="0.2">
      <c r="B508" s="1631"/>
    </row>
    <row r="509" spans="2:2" s="1623" customFormat="1" x14ac:dyDescent="0.2">
      <c r="B509" s="1631"/>
    </row>
    <row r="510" spans="2:2" s="1623" customFormat="1" x14ac:dyDescent="0.2">
      <c r="B510" s="1631"/>
    </row>
    <row r="511" spans="2:2" s="1623" customFormat="1" x14ac:dyDescent="0.2">
      <c r="B511" s="1631"/>
    </row>
    <row r="512" spans="2:2" s="1623" customFormat="1" x14ac:dyDescent="0.2">
      <c r="B512" s="1631"/>
    </row>
    <row r="513" spans="2:2" s="1623" customFormat="1" x14ac:dyDescent="0.2">
      <c r="B513" s="1631"/>
    </row>
    <row r="514" spans="2:2" s="1623" customFormat="1" x14ac:dyDescent="0.2">
      <c r="B514" s="1631"/>
    </row>
    <row r="515" spans="2:2" s="1623" customFormat="1" x14ac:dyDescent="0.2">
      <c r="B515" s="1631"/>
    </row>
    <row r="516" spans="2:2" s="1623" customFormat="1" x14ac:dyDescent="0.2">
      <c r="B516" s="1631"/>
    </row>
    <row r="517" spans="2:2" s="1623" customFormat="1" x14ac:dyDescent="0.2">
      <c r="B517" s="1631"/>
    </row>
    <row r="518" spans="2:2" s="1623" customFormat="1" x14ac:dyDescent="0.2">
      <c r="B518" s="1631"/>
    </row>
    <row r="519" spans="2:2" s="1623" customFormat="1" x14ac:dyDescent="0.2">
      <c r="B519" s="1631"/>
    </row>
    <row r="520" spans="2:2" s="1623" customFormat="1" x14ac:dyDescent="0.2">
      <c r="B520" s="1631"/>
    </row>
    <row r="521" spans="2:2" s="1623" customFormat="1" x14ac:dyDescent="0.2">
      <c r="B521" s="1631"/>
    </row>
    <row r="522" spans="2:2" s="1623" customFormat="1" x14ac:dyDescent="0.2">
      <c r="B522" s="1631"/>
    </row>
    <row r="523" spans="2:2" s="1623" customFormat="1" x14ac:dyDescent="0.2">
      <c r="B523" s="1631"/>
    </row>
    <row r="524" spans="2:2" s="1623" customFormat="1" x14ac:dyDescent="0.2">
      <c r="B524" s="1631"/>
    </row>
    <row r="525" spans="2:2" s="1623" customFormat="1" x14ac:dyDescent="0.2">
      <c r="B525" s="1631"/>
    </row>
    <row r="526" spans="2:2" s="1623" customFormat="1" x14ac:dyDescent="0.2">
      <c r="B526" s="1631"/>
    </row>
    <row r="527" spans="2:2" s="1623" customFormat="1" x14ac:dyDescent="0.2">
      <c r="B527" s="1631"/>
    </row>
    <row r="528" spans="2:2" s="1623" customFormat="1" x14ac:dyDescent="0.2">
      <c r="B528" s="1631"/>
    </row>
    <row r="529" spans="2:2" s="1623" customFormat="1" x14ac:dyDescent="0.2">
      <c r="B529" s="1631"/>
    </row>
    <row r="530" spans="2:2" s="1623" customFormat="1" x14ac:dyDescent="0.2">
      <c r="B530" s="1631"/>
    </row>
    <row r="531" spans="2:2" s="1623" customFormat="1" x14ac:dyDescent="0.2">
      <c r="B531" s="1631"/>
    </row>
    <row r="532" spans="2:2" s="1623" customFormat="1" x14ac:dyDescent="0.2">
      <c r="B532" s="1631"/>
    </row>
    <row r="533" spans="2:2" s="1623" customFormat="1" x14ac:dyDescent="0.2">
      <c r="B533" s="1631"/>
    </row>
    <row r="534" spans="2:2" s="1623" customFormat="1" x14ac:dyDescent="0.2">
      <c r="B534" s="1631"/>
    </row>
    <row r="535" spans="2:2" s="1623" customFormat="1" x14ac:dyDescent="0.2">
      <c r="B535" s="1631"/>
    </row>
    <row r="536" spans="2:2" s="1623" customFormat="1" x14ac:dyDescent="0.2">
      <c r="B536" s="1631"/>
    </row>
    <row r="537" spans="2:2" s="1623" customFormat="1" x14ac:dyDescent="0.2">
      <c r="B537" s="1631"/>
    </row>
    <row r="538" spans="2:2" s="1623" customFormat="1" x14ac:dyDescent="0.2">
      <c r="B538" s="1631"/>
    </row>
    <row r="539" spans="2:2" s="1623" customFormat="1" x14ac:dyDescent="0.2">
      <c r="B539" s="1631"/>
    </row>
    <row r="540" spans="2:2" s="1623" customFormat="1" x14ac:dyDescent="0.2">
      <c r="B540" s="1631"/>
    </row>
    <row r="541" spans="2:2" s="1623" customFormat="1" x14ac:dyDescent="0.2">
      <c r="B541" s="1631"/>
    </row>
    <row r="542" spans="2:2" s="1623" customFormat="1" x14ac:dyDescent="0.2">
      <c r="B542" s="1631"/>
    </row>
    <row r="543" spans="2:2" s="1623" customFormat="1" x14ac:dyDescent="0.2">
      <c r="B543" s="1631"/>
    </row>
    <row r="544" spans="2:2" s="1623" customFormat="1" x14ac:dyDescent="0.2">
      <c r="B544" s="1631"/>
    </row>
    <row r="545" spans="2:2" s="1623" customFormat="1" x14ac:dyDescent="0.2">
      <c r="B545" s="1631"/>
    </row>
    <row r="546" spans="2:2" s="1623" customFormat="1" x14ac:dyDescent="0.2">
      <c r="B546" s="1631"/>
    </row>
    <row r="547" spans="2:2" s="1623" customFormat="1" x14ac:dyDescent="0.2">
      <c r="B547" s="1631"/>
    </row>
    <row r="548" spans="2:2" s="1623" customFormat="1" x14ac:dyDescent="0.2">
      <c r="B548" s="1631"/>
    </row>
    <row r="549" spans="2:2" s="1623" customFormat="1" x14ac:dyDescent="0.2">
      <c r="B549" s="1631"/>
    </row>
    <row r="550" spans="2:2" s="1623" customFormat="1" x14ac:dyDescent="0.2">
      <c r="B550" s="1631"/>
    </row>
    <row r="551" spans="2:2" s="1623" customFormat="1" x14ac:dyDescent="0.2">
      <c r="B551" s="1631"/>
    </row>
    <row r="552" spans="2:2" s="1623" customFormat="1" x14ac:dyDescent="0.2">
      <c r="B552" s="1631"/>
    </row>
    <row r="553" spans="2:2" s="1623" customFormat="1" x14ac:dyDescent="0.2">
      <c r="B553" s="1631"/>
    </row>
    <row r="554" spans="2:2" s="1623" customFormat="1" x14ac:dyDescent="0.2">
      <c r="B554" s="1631"/>
    </row>
    <row r="555" spans="2:2" s="1623" customFormat="1" x14ac:dyDescent="0.2">
      <c r="B555" s="1631"/>
    </row>
    <row r="556" spans="2:2" s="1623" customFormat="1" x14ac:dyDescent="0.2">
      <c r="B556" s="1631"/>
    </row>
    <row r="557" spans="2:2" s="1623" customFormat="1" x14ac:dyDescent="0.2">
      <c r="B557" s="1631"/>
    </row>
    <row r="558" spans="2:2" s="1623" customFormat="1" x14ac:dyDescent="0.2">
      <c r="B558" s="1631"/>
    </row>
    <row r="559" spans="2:2" s="1623" customFormat="1" x14ac:dyDescent="0.2">
      <c r="B559" s="1631"/>
    </row>
    <row r="560" spans="2:2" s="1623" customFormat="1" x14ac:dyDescent="0.2">
      <c r="B560" s="1631"/>
    </row>
    <row r="561" spans="2:2" s="1623" customFormat="1" x14ac:dyDescent="0.2">
      <c r="B561" s="1631"/>
    </row>
    <row r="562" spans="2:2" s="1623" customFormat="1" x14ac:dyDescent="0.2">
      <c r="B562" s="1631"/>
    </row>
    <row r="563" spans="2:2" s="1623" customFormat="1" x14ac:dyDescent="0.2">
      <c r="B563" s="1631"/>
    </row>
    <row r="564" spans="2:2" s="1623" customFormat="1" x14ac:dyDescent="0.2">
      <c r="B564" s="1631"/>
    </row>
    <row r="565" spans="2:2" s="1623" customFormat="1" x14ac:dyDescent="0.2">
      <c r="B565" s="1631"/>
    </row>
    <row r="566" spans="2:2" s="1623" customFormat="1" x14ac:dyDescent="0.2">
      <c r="B566" s="1631"/>
    </row>
    <row r="567" spans="2:2" s="1623" customFormat="1" x14ac:dyDescent="0.2">
      <c r="B567" s="1631"/>
    </row>
    <row r="568" spans="2:2" s="1623" customFormat="1" x14ac:dyDescent="0.2">
      <c r="B568" s="1631"/>
    </row>
    <row r="569" spans="2:2" s="1623" customFormat="1" x14ac:dyDescent="0.2">
      <c r="B569" s="1631"/>
    </row>
    <row r="570" spans="2:2" s="1623" customFormat="1" x14ac:dyDescent="0.2">
      <c r="B570" s="1631"/>
    </row>
    <row r="571" spans="2:2" s="1623" customFormat="1" x14ac:dyDescent="0.2">
      <c r="B571" s="1631"/>
    </row>
    <row r="572" spans="2:2" s="1623" customFormat="1" x14ac:dyDescent="0.2">
      <c r="B572" s="1631"/>
    </row>
    <row r="573" spans="2:2" s="1623" customFormat="1" x14ac:dyDescent="0.2">
      <c r="B573" s="1631"/>
    </row>
    <row r="574" spans="2:2" s="1623" customFormat="1" x14ac:dyDescent="0.2">
      <c r="B574" s="1631"/>
    </row>
    <row r="575" spans="2:2" s="1623" customFormat="1" x14ac:dyDescent="0.2">
      <c r="B575" s="1631"/>
    </row>
    <row r="576" spans="2:2" s="1623" customFormat="1" x14ac:dyDescent="0.2">
      <c r="B576" s="1631"/>
    </row>
    <row r="577" spans="2:2" s="1623" customFormat="1" x14ac:dyDescent="0.2">
      <c r="B577" s="1631"/>
    </row>
    <row r="578" spans="2:2" s="1623" customFormat="1" x14ac:dyDescent="0.2">
      <c r="B578" s="1631"/>
    </row>
    <row r="579" spans="2:2" s="1623" customFormat="1" x14ac:dyDescent="0.2">
      <c r="B579" s="1631"/>
    </row>
    <row r="580" spans="2:2" s="1623" customFormat="1" x14ac:dyDescent="0.2">
      <c r="B580" s="1631"/>
    </row>
    <row r="581" spans="2:2" s="1623" customFormat="1" x14ac:dyDescent="0.2">
      <c r="B581" s="1631"/>
    </row>
    <row r="582" spans="2:2" s="1623" customFormat="1" x14ac:dyDescent="0.2">
      <c r="B582" s="1631"/>
    </row>
    <row r="583" spans="2:2" s="1623" customFormat="1" x14ac:dyDescent="0.2">
      <c r="B583" s="1631"/>
    </row>
    <row r="584" spans="2:2" s="1623" customFormat="1" x14ac:dyDescent="0.2">
      <c r="B584" s="1631"/>
    </row>
    <row r="585" spans="2:2" s="1623" customFormat="1" x14ac:dyDescent="0.2">
      <c r="B585" s="1631"/>
    </row>
    <row r="586" spans="2:2" s="1623" customFormat="1" x14ac:dyDescent="0.2">
      <c r="B586" s="1631"/>
    </row>
    <row r="587" spans="2:2" s="1623" customFormat="1" x14ac:dyDescent="0.2">
      <c r="B587" s="1631"/>
    </row>
    <row r="588" spans="2:2" s="1623" customFormat="1" x14ac:dyDescent="0.2">
      <c r="B588" s="1631"/>
    </row>
    <row r="589" spans="2:2" s="1623" customFormat="1" x14ac:dyDescent="0.2">
      <c r="B589" s="1631"/>
    </row>
    <row r="590" spans="2:2" s="1623" customFormat="1" x14ac:dyDescent="0.2">
      <c r="B590" s="1631"/>
    </row>
    <row r="591" spans="2:2" s="1623" customFormat="1" x14ac:dyDescent="0.2">
      <c r="B591" s="1631"/>
    </row>
    <row r="592" spans="2:2" s="1623" customFormat="1" x14ac:dyDescent="0.2">
      <c r="B592" s="1631"/>
    </row>
    <row r="593" spans="2:2" s="1623" customFormat="1" x14ac:dyDescent="0.2">
      <c r="B593" s="1631"/>
    </row>
    <row r="594" spans="2:2" s="1623" customFormat="1" x14ac:dyDescent="0.2">
      <c r="B594" s="1631"/>
    </row>
    <row r="595" spans="2:2" s="1623" customFormat="1" x14ac:dyDescent="0.2">
      <c r="B595" s="1631"/>
    </row>
    <row r="596" spans="2:2" s="1623" customFormat="1" x14ac:dyDescent="0.2">
      <c r="B596" s="1631"/>
    </row>
    <row r="597" spans="2:2" s="1623" customFormat="1" x14ac:dyDescent="0.2">
      <c r="B597" s="1631"/>
    </row>
    <row r="598" spans="2:2" s="1623" customFormat="1" x14ac:dyDescent="0.2">
      <c r="B598" s="1631"/>
    </row>
    <row r="599" spans="2:2" s="1623" customFormat="1" x14ac:dyDescent="0.2">
      <c r="B599" s="1631"/>
    </row>
    <row r="600" spans="2:2" s="1623" customFormat="1" x14ac:dyDescent="0.2">
      <c r="B600" s="1631"/>
    </row>
    <row r="601" spans="2:2" s="1623" customFormat="1" x14ac:dyDescent="0.2">
      <c r="B601" s="1631"/>
    </row>
    <row r="602" spans="2:2" s="1623" customFormat="1" x14ac:dyDescent="0.2">
      <c r="B602" s="1631"/>
    </row>
    <row r="603" spans="2:2" s="1623" customFormat="1" x14ac:dyDescent="0.2">
      <c r="B603" s="1631"/>
    </row>
    <row r="604" spans="2:2" s="1623" customFormat="1" x14ac:dyDescent="0.2">
      <c r="B604" s="1631"/>
    </row>
    <row r="605" spans="2:2" s="1623" customFormat="1" x14ac:dyDescent="0.2">
      <c r="B605" s="1631"/>
    </row>
    <row r="606" spans="2:2" s="1623" customFormat="1" x14ac:dyDescent="0.2">
      <c r="B606" s="1631"/>
    </row>
    <row r="607" spans="2:2" s="1623" customFormat="1" x14ac:dyDescent="0.2">
      <c r="B607" s="1631"/>
    </row>
    <row r="608" spans="2:2" s="1623" customFormat="1" x14ac:dyDescent="0.2">
      <c r="B608" s="1631"/>
    </row>
    <row r="609" spans="2:2" s="1623" customFormat="1" x14ac:dyDescent="0.2">
      <c r="B609" s="1631"/>
    </row>
    <row r="610" spans="2:2" s="1623" customFormat="1" x14ac:dyDescent="0.2">
      <c r="B610" s="1631"/>
    </row>
    <row r="611" spans="2:2" s="1623" customFormat="1" x14ac:dyDescent="0.2">
      <c r="B611" s="1631"/>
    </row>
    <row r="612" spans="2:2" s="1623" customFormat="1" x14ac:dyDescent="0.2">
      <c r="B612" s="1631"/>
    </row>
    <row r="613" spans="2:2" s="1623" customFormat="1" x14ac:dyDescent="0.2">
      <c r="B613" s="1631"/>
    </row>
    <row r="614" spans="2:2" s="1623" customFormat="1" x14ac:dyDescent="0.2">
      <c r="B614" s="1631"/>
    </row>
    <row r="615" spans="2:2" s="1623" customFormat="1" x14ac:dyDescent="0.2">
      <c r="B615" s="1631"/>
    </row>
    <row r="616" spans="2:2" s="1623" customFormat="1" x14ac:dyDescent="0.2">
      <c r="B616" s="1631"/>
    </row>
    <row r="617" spans="2:2" s="1623" customFormat="1" x14ac:dyDescent="0.2">
      <c r="B617" s="1631"/>
    </row>
    <row r="618" spans="2:2" s="1623" customFormat="1" x14ac:dyDescent="0.2">
      <c r="B618" s="1631"/>
    </row>
    <row r="619" spans="2:2" s="1623" customFormat="1" x14ac:dyDescent="0.2">
      <c r="B619" s="1631"/>
    </row>
    <row r="620" spans="2:2" s="1623" customFormat="1" x14ac:dyDescent="0.2">
      <c r="B620" s="1631"/>
    </row>
    <row r="621" spans="2:2" s="1623" customFormat="1" x14ac:dyDescent="0.2">
      <c r="B621" s="1631"/>
    </row>
    <row r="622" spans="2:2" s="1623" customFormat="1" x14ac:dyDescent="0.2">
      <c r="B622" s="1631"/>
    </row>
    <row r="623" spans="2:2" s="1623" customFormat="1" x14ac:dyDescent="0.2">
      <c r="B623" s="1631"/>
    </row>
    <row r="624" spans="2:2" s="1623" customFormat="1" x14ac:dyDescent="0.2">
      <c r="B624" s="1631"/>
    </row>
    <row r="625" spans="2:2" s="1623" customFormat="1" x14ac:dyDescent="0.2">
      <c r="B625" s="1631"/>
    </row>
    <row r="626" spans="2:2" s="1623" customFormat="1" x14ac:dyDescent="0.2">
      <c r="B626" s="1631"/>
    </row>
    <row r="627" spans="2:2" s="1623" customFormat="1" x14ac:dyDescent="0.2">
      <c r="B627" s="1631"/>
    </row>
    <row r="628" spans="2:2" s="1623" customFormat="1" x14ac:dyDescent="0.2">
      <c r="B628" s="1631"/>
    </row>
    <row r="629" spans="2:2" s="1623" customFormat="1" x14ac:dyDescent="0.2">
      <c r="B629" s="1631"/>
    </row>
    <row r="630" spans="2:2" s="1623" customFormat="1" x14ac:dyDescent="0.2">
      <c r="B630" s="1631"/>
    </row>
    <row r="631" spans="2:2" s="1623" customFormat="1" x14ac:dyDescent="0.2">
      <c r="B631" s="1631"/>
    </row>
    <row r="632" spans="2:2" s="1623" customFormat="1" x14ac:dyDescent="0.2">
      <c r="B632" s="1631"/>
    </row>
    <row r="633" spans="2:2" s="1623" customFormat="1" x14ac:dyDescent="0.2">
      <c r="B633" s="1631"/>
    </row>
    <row r="634" spans="2:2" s="1623" customFormat="1" x14ac:dyDescent="0.2">
      <c r="B634" s="1631"/>
    </row>
    <row r="635" spans="2:2" s="1623" customFormat="1" x14ac:dyDescent="0.2">
      <c r="B635" s="1631"/>
    </row>
    <row r="636" spans="2:2" s="1623" customFormat="1" x14ac:dyDescent="0.2">
      <c r="B636" s="1631"/>
    </row>
    <row r="637" spans="2:2" s="1623" customFormat="1" x14ac:dyDescent="0.2">
      <c r="B637" s="1631"/>
    </row>
    <row r="638" spans="2:2" s="1623" customFormat="1" x14ac:dyDescent="0.2">
      <c r="B638" s="1631"/>
    </row>
    <row r="639" spans="2:2" s="1623" customFormat="1" x14ac:dyDescent="0.2">
      <c r="B639" s="1631"/>
    </row>
    <row r="640" spans="2:2" s="1623" customFormat="1" x14ac:dyDescent="0.2">
      <c r="B640" s="1631"/>
    </row>
    <row r="641" spans="2:2" s="1623" customFormat="1" x14ac:dyDescent="0.2">
      <c r="B641" s="1631"/>
    </row>
    <row r="642" spans="2:2" s="1623" customFormat="1" x14ac:dyDescent="0.2">
      <c r="B642" s="1631"/>
    </row>
    <row r="643" spans="2:2" s="1623" customFormat="1" x14ac:dyDescent="0.2">
      <c r="B643" s="1631"/>
    </row>
    <row r="644" spans="2:2" s="1623" customFormat="1" x14ac:dyDescent="0.2">
      <c r="B644" s="1631"/>
    </row>
    <row r="645" spans="2:2" s="1623" customFormat="1" x14ac:dyDescent="0.2">
      <c r="B645" s="1631"/>
    </row>
    <row r="646" spans="2:2" s="1623" customFormat="1" x14ac:dyDescent="0.2">
      <c r="B646" s="1631"/>
    </row>
    <row r="647" spans="2:2" s="1623" customFormat="1" x14ac:dyDescent="0.2">
      <c r="B647" s="1631"/>
    </row>
    <row r="648" spans="2:2" s="1623" customFormat="1" x14ac:dyDescent="0.2">
      <c r="B648" s="1631"/>
    </row>
    <row r="649" spans="2:2" s="1623" customFormat="1" x14ac:dyDescent="0.2">
      <c r="B649" s="1631"/>
    </row>
    <row r="650" spans="2:2" s="1623" customFormat="1" x14ac:dyDescent="0.2">
      <c r="B650" s="1631"/>
    </row>
    <row r="651" spans="2:2" s="1623" customFormat="1" x14ac:dyDescent="0.2">
      <c r="B651" s="1631"/>
    </row>
    <row r="652" spans="2:2" s="1623" customFormat="1" x14ac:dyDescent="0.2">
      <c r="B652" s="1631"/>
    </row>
    <row r="653" spans="2:2" s="1623" customFormat="1" x14ac:dyDescent="0.2">
      <c r="B653" s="1631"/>
    </row>
    <row r="654" spans="2:2" s="1623" customFormat="1" x14ac:dyDescent="0.2">
      <c r="B654" s="1631"/>
    </row>
    <row r="655" spans="2:2" s="1623" customFormat="1" x14ac:dyDescent="0.2">
      <c r="B655" s="1631"/>
    </row>
    <row r="656" spans="2:2" s="1623" customFormat="1" x14ac:dyDescent="0.2">
      <c r="B656" s="1631"/>
    </row>
    <row r="657" spans="2:2" s="1623" customFormat="1" x14ac:dyDescent="0.2">
      <c r="B657" s="1631"/>
    </row>
    <row r="658" spans="2:2" s="1623" customFormat="1" x14ac:dyDescent="0.2">
      <c r="B658" s="1631"/>
    </row>
    <row r="659" spans="2:2" s="1623" customFormat="1" x14ac:dyDescent="0.2">
      <c r="B659" s="1631"/>
    </row>
    <row r="660" spans="2:2" s="1623" customFormat="1" x14ac:dyDescent="0.2">
      <c r="B660" s="1631"/>
    </row>
    <row r="661" spans="2:2" s="1623" customFormat="1" x14ac:dyDescent="0.2">
      <c r="B661" s="1631"/>
    </row>
    <row r="662" spans="2:2" s="1623" customFormat="1" x14ac:dyDescent="0.2">
      <c r="B662" s="1631"/>
    </row>
    <row r="663" spans="2:2" s="1623" customFormat="1" x14ac:dyDescent="0.2">
      <c r="B663" s="1631"/>
    </row>
    <row r="664" spans="2:2" s="1623" customFormat="1" x14ac:dyDescent="0.2">
      <c r="B664" s="1631"/>
    </row>
    <row r="665" spans="2:2" s="1623" customFormat="1" x14ac:dyDescent="0.2">
      <c r="B665" s="1631"/>
    </row>
    <row r="666" spans="2:2" s="1623" customFormat="1" x14ac:dyDescent="0.2">
      <c r="B666" s="1631"/>
    </row>
    <row r="667" spans="2:2" s="1623" customFormat="1" x14ac:dyDescent="0.2">
      <c r="B667" s="1631"/>
    </row>
    <row r="668" spans="2:2" s="1623" customFormat="1" x14ac:dyDescent="0.2">
      <c r="B668" s="1631"/>
    </row>
    <row r="669" spans="2:2" s="1623" customFormat="1" x14ac:dyDescent="0.2">
      <c r="B669" s="1631"/>
    </row>
    <row r="670" spans="2:2" s="1623" customFormat="1" x14ac:dyDescent="0.2">
      <c r="B670" s="1631"/>
    </row>
    <row r="671" spans="2:2" s="1623" customFormat="1" x14ac:dyDescent="0.2">
      <c r="B671" s="1631"/>
    </row>
    <row r="672" spans="2:2" s="1623" customFormat="1" x14ac:dyDescent="0.2">
      <c r="B672" s="1631"/>
    </row>
    <row r="673" spans="2:2" s="1623" customFormat="1" x14ac:dyDescent="0.2">
      <c r="B673" s="1631"/>
    </row>
    <row r="674" spans="2:2" s="1623" customFormat="1" x14ac:dyDescent="0.2">
      <c r="B674" s="1631"/>
    </row>
    <row r="675" spans="2:2" s="1623" customFormat="1" x14ac:dyDescent="0.2">
      <c r="B675" s="1631"/>
    </row>
    <row r="676" spans="2:2" s="1623" customFormat="1" x14ac:dyDescent="0.2">
      <c r="B676" s="1631"/>
    </row>
    <row r="677" spans="2:2" s="1623" customFormat="1" x14ac:dyDescent="0.2">
      <c r="B677" s="1631"/>
    </row>
    <row r="678" spans="2:2" s="1623" customFormat="1" x14ac:dyDescent="0.2">
      <c r="B678" s="1631"/>
    </row>
    <row r="679" spans="2:2" s="1623" customFormat="1" x14ac:dyDescent="0.2">
      <c r="B679" s="1631"/>
    </row>
    <row r="680" spans="2:2" s="1623" customFormat="1" x14ac:dyDescent="0.2">
      <c r="B680" s="1631"/>
    </row>
    <row r="681" spans="2:2" s="1623" customFormat="1" x14ac:dyDescent="0.2">
      <c r="B681" s="1631"/>
    </row>
    <row r="682" spans="2:2" s="1623" customFormat="1" x14ac:dyDescent="0.2">
      <c r="B682" s="1631"/>
    </row>
    <row r="683" spans="2:2" s="1623" customFormat="1" x14ac:dyDescent="0.2">
      <c r="B683" s="1631"/>
    </row>
    <row r="684" spans="2:2" s="1623" customFormat="1" x14ac:dyDescent="0.2">
      <c r="B684" s="1631"/>
    </row>
    <row r="685" spans="2:2" s="1623" customFormat="1" x14ac:dyDescent="0.2">
      <c r="B685" s="1631"/>
    </row>
    <row r="686" spans="2:2" s="1623" customFormat="1" x14ac:dyDescent="0.2">
      <c r="B686" s="1631"/>
    </row>
    <row r="687" spans="2:2" s="1623" customFormat="1" x14ac:dyDescent="0.2">
      <c r="B687" s="1631"/>
    </row>
    <row r="688" spans="2:2" s="1623" customFormat="1" x14ac:dyDescent="0.2">
      <c r="B688" s="1631"/>
    </row>
    <row r="689" spans="2:2" s="1623" customFormat="1" x14ac:dyDescent="0.2">
      <c r="B689" s="1631"/>
    </row>
    <row r="690" spans="2:2" s="1623" customFormat="1" x14ac:dyDescent="0.2">
      <c r="B690" s="1631"/>
    </row>
    <row r="691" spans="2:2" s="1623" customFormat="1" x14ac:dyDescent="0.2">
      <c r="B691" s="1631"/>
    </row>
    <row r="692" spans="2:2" s="1623" customFormat="1" x14ac:dyDescent="0.2">
      <c r="B692" s="1631"/>
    </row>
    <row r="693" spans="2:2" s="1623" customFormat="1" x14ac:dyDescent="0.2">
      <c r="B693" s="1631"/>
    </row>
    <row r="694" spans="2:2" s="1623" customFormat="1" x14ac:dyDescent="0.2">
      <c r="B694" s="1631"/>
    </row>
    <row r="695" spans="2:2" s="1623" customFormat="1" x14ac:dyDescent="0.2">
      <c r="B695" s="1631"/>
    </row>
    <row r="696" spans="2:2" s="1623" customFormat="1" x14ac:dyDescent="0.2">
      <c r="B696" s="1631"/>
    </row>
    <row r="697" spans="2:2" s="1623" customFormat="1" x14ac:dyDescent="0.2">
      <c r="B697" s="1631"/>
    </row>
    <row r="698" spans="2:2" s="1623" customFormat="1" x14ac:dyDescent="0.2">
      <c r="B698" s="1631"/>
    </row>
    <row r="699" spans="2:2" s="1623" customFormat="1" x14ac:dyDescent="0.2">
      <c r="B699" s="1631"/>
    </row>
    <row r="700" spans="2:2" s="1623" customFormat="1" x14ac:dyDescent="0.2">
      <c r="B700" s="1631"/>
    </row>
    <row r="701" spans="2:2" s="1623" customFormat="1" x14ac:dyDescent="0.2">
      <c r="B701" s="1631"/>
    </row>
    <row r="702" spans="2:2" s="1623" customFormat="1" x14ac:dyDescent="0.2">
      <c r="B702" s="1631"/>
    </row>
    <row r="703" spans="2:2" s="1623" customFormat="1" x14ac:dyDescent="0.2">
      <c r="B703" s="1631"/>
    </row>
    <row r="704" spans="2:2" s="1623" customFormat="1" x14ac:dyDescent="0.2">
      <c r="B704" s="1631"/>
    </row>
    <row r="705" spans="2:2" s="1623" customFormat="1" x14ac:dyDescent="0.2">
      <c r="B705" s="1631"/>
    </row>
    <row r="706" spans="2:2" s="1623" customFormat="1" x14ac:dyDescent="0.2">
      <c r="B706" s="1631"/>
    </row>
    <row r="707" spans="2:2" s="1623" customFormat="1" x14ac:dyDescent="0.2">
      <c r="B707" s="1631"/>
    </row>
  </sheetData>
  <sheetProtection password="D0E7" sheet="1" objects="1" scenarios="1"/>
  <mergeCells count="6">
    <mergeCell ref="O103:P103"/>
    <mergeCell ref="J31:N31"/>
    <mergeCell ref="O31:P31"/>
    <mergeCell ref="J45:N45"/>
    <mergeCell ref="O45:P45"/>
    <mergeCell ref="O61:P61"/>
  </mergeCells>
  <pageMargins left="0.7" right="0.7" top="0.75" bottom="0.75" header="0.3" footer="0.3"/>
  <pageSetup paperSize="9" orientation="portrait" verticalDpi="0"/>
  <legacy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34</vt:i4>
      </vt:variant>
      <vt:variant>
        <vt:lpstr>Plages nommées</vt:lpstr>
      </vt:variant>
      <vt:variant>
        <vt:i4>4</vt:i4>
      </vt:variant>
    </vt:vector>
  </HeadingPairs>
  <TitlesOfParts>
    <vt:vector size="38" baseType="lpstr">
      <vt:lpstr>Presentation</vt:lpstr>
      <vt:lpstr>TRAD-Presentation</vt:lpstr>
      <vt:lpstr>General Data</vt:lpstr>
      <vt:lpstr>TRAD-General Data</vt:lpstr>
      <vt:lpstr>Data &amp; hypothesis Adults</vt:lpstr>
      <vt:lpstr>2nd line switch data</vt:lpstr>
      <vt:lpstr>TRAD-Data &amp; hypothesis Adults</vt:lpstr>
      <vt:lpstr>Adults YEAR1</vt:lpstr>
      <vt:lpstr>TRAD-Adults YEAR(1)</vt:lpstr>
      <vt:lpstr>TRAD-Adults YEAR (2)</vt:lpstr>
      <vt:lpstr>Adults YEAR2</vt:lpstr>
      <vt:lpstr>Adults YEAR3</vt:lpstr>
      <vt:lpstr>Adults YEAR4</vt:lpstr>
      <vt:lpstr>Adults YEAR5</vt:lpstr>
      <vt:lpstr>Data &amp; hypothesis Children</vt:lpstr>
      <vt:lpstr>TRAD-Data &amp; hypothesis Children</vt:lpstr>
      <vt:lpstr>Available Stocks</vt:lpstr>
      <vt:lpstr>TRAD-Available Stocks</vt:lpstr>
      <vt:lpstr>TRAD-Synthesis Adults</vt:lpstr>
      <vt:lpstr>Children YEAR1</vt:lpstr>
      <vt:lpstr>TRAD-Children YEAR(1)</vt:lpstr>
      <vt:lpstr>TRAD-Children YEAR(2)</vt:lpstr>
      <vt:lpstr>Children YEAR2</vt:lpstr>
      <vt:lpstr>Children YEAR3</vt:lpstr>
      <vt:lpstr>Children YEAR4</vt:lpstr>
      <vt:lpstr>Children YEAR5</vt:lpstr>
      <vt:lpstr>TRAD-Synthesis Children</vt:lpstr>
      <vt:lpstr>Synthesis Adults</vt:lpstr>
      <vt:lpstr>Synthesis Children</vt:lpstr>
      <vt:lpstr>Global Synthesis</vt:lpstr>
      <vt:lpstr>TRAD-Global Synthesis</vt:lpstr>
      <vt:lpstr>Prices 10-2011 GPRM</vt:lpstr>
      <vt:lpstr>Prix VPP 102012 convert</vt:lpstr>
      <vt:lpstr>TRAD-Prices 10-2011 GPRM</vt:lpstr>
      <vt:lpstr>'Global Synthesis'!Impression_des_titres</vt:lpstr>
      <vt:lpstr>'Available Stocks'!Zone_d_impression</vt:lpstr>
      <vt:lpstr>'Data &amp; hypothesis Adults'!Zone_d_impression</vt:lpstr>
      <vt:lpstr>'Global Synthesis'!Zone_d_impression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Etienne Guillard</dc:creator>
  <cp:lastModifiedBy>Etienne Guillard</cp:lastModifiedBy>
  <cp:lastPrinted>2014-06-13T11:14:06Z</cp:lastPrinted>
  <dcterms:created xsi:type="dcterms:W3CDTF">2008-11-15T18:45:05Z</dcterms:created>
  <dcterms:modified xsi:type="dcterms:W3CDTF">2015-03-16T16:24:57Z</dcterms:modified>
</cp:coreProperties>
</file>